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date1904="1"/>
  <mc:AlternateContent xmlns:mc="http://schemas.openxmlformats.org/markup-compatibility/2006">
    <mc:Choice Requires="x15">
      <x15ac:absPath xmlns:x15ac="http://schemas.microsoft.com/office/spreadsheetml/2010/11/ac" url="E:\HuaweiMoveData\Users\ouyan\Desktop\"/>
    </mc:Choice>
  </mc:AlternateContent>
  <bookViews>
    <workbookView windowWidth="27945" windowHeight="12255" tabRatio="843" firstSheet="8" activeTab="8"/>
  </bookViews>
  <sheets>
    <sheet name="项目封面" sheetId="14" r:id="rId1"/>
    <sheet name="①市场背景调查" sheetId="6" r:id="rId2"/>
    <sheet name="②谷歌趋势" sheetId="5" r:id="rId3"/>
    <sheet name="③站内竞争情况" sheetId="7" r:id="rId4"/>
    <sheet name="top200数据" sheetId="1" r:id="rId5"/>
    <sheet name="④top100打标数据" sheetId="3" r:id="rId6"/>
    <sheet name="⑤市场大盘分析" sheetId="8" r:id="rId7"/>
    <sheet name="Sheet2" sheetId="25" state="hidden" r:id="rId8"/>
    <sheet name="⑥竞品分析" sheetId="10" r:id="rId9"/>
    <sheet name="⑦QA&amp;RV分析" sheetId="13" r:id="rId10"/>
    <sheet name="⑧单品利润测算" sheetId="12" r:id="rId11"/>
    <sheet name="⑨-1项目ROI核算（5L单腔可视）" sheetId="20" r:id="rId12"/>
    <sheet name="⑨-2项目ROI核算（8L双腔可视）" sheetId="18" r:id="rId13"/>
    <sheet name="⑨-3项目ROI核算" sheetId="21" state="hidden" r:id="rId14"/>
    <sheet name="⑩供应商初步审查表" sheetId="15" r:id="rId15"/>
    <sheet name="⑪产品规格书" sheetId="16" r:id="rId16"/>
    <sheet name="⑫产品立项表" sheetId="19" r:id="rId17"/>
    <sheet name="⑬产品上市时间" sheetId="17" r:id="rId18"/>
    <sheet name="⑭合规排查（专利检索）" sheetId="28" r:id="rId19"/>
    <sheet name="Sheet4" sheetId="27" state="hidden" r:id="rId20"/>
    <sheet name="Sheet1" sheetId="24" state="hidden" r:id="rId21"/>
    <sheet name="Sheet5" sheetId="11" state="hidden" r:id="rId22"/>
  </sheets>
  <definedNames>
    <definedName name="_xlnm._FilterDatabase" localSheetId="5" hidden="1">④top100打标数据!$A$1:$BD$101</definedName>
    <definedName name="_xlnm._FilterDatabase" localSheetId="19" hidden="1">Sheet4!$A$1:$BD$101</definedName>
    <definedName name="_xlnm._FilterDatabase" localSheetId="20" hidden="1">Sheet1!$A$1:$AT$101</definedName>
    <definedName name="_xlnm._FilterDatabase" localSheetId="3" hidden="1">③站内竞争情况!$A$1:$AW$1480</definedName>
  </definedNames>
  <calcPr calcId="191029"/>
  <pivotCaches>
    <pivotCache cacheId="0" r:id="rId24"/>
    <pivotCache cacheId="1" r:id="rId25"/>
    <pivotCache cacheId="2"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3" name="ID_2388E227482B49E9B45441A7682F88AF"/>
        <xdr:cNvPicPr>
          <a:picLocks noChangeAspect="1"/>
        </xdr:cNvPicPr>
      </xdr:nvPicPr>
      <xdr:blipFill>
        <a:blip r:embed="rId1" cstate="print"/>
        <a:stretch>
          <a:fillRect/>
        </a:stretch>
      </xdr:blipFill>
      <xdr:spPr>
        <a:xfrm>
          <a:off x="191770" y="3740150"/>
          <a:ext cx="236855" cy="225425"/>
        </a:xfrm>
        <a:prstGeom prst="rect">
          <a:avLst/>
        </a:prstGeom>
      </xdr:spPr>
    </xdr:pic>
  </etc:cellImage>
  <etc:cellImage>
    <xdr:pic>
      <xdr:nvPicPr>
        <xdr:cNvPr id="2" name="ID_0AF7D39FECD34B5D8D4ED32FBC2DAA78"/>
        <xdr:cNvPicPr>
          <a:picLocks noChangeAspect="1"/>
        </xdr:cNvPicPr>
      </xdr:nvPicPr>
      <xdr:blipFill>
        <a:blip r:embed="rId2" cstate="print"/>
        <a:stretch>
          <a:fillRect/>
        </a:stretch>
      </xdr:blipFill>
      <xdr:spPr>
        <a:xfrm>
          <a:off x="191770" y="387350"/>
          <a:ext cx="236855" cy="225425"/>
        </a:xfrm>
        <a:prstGeom prst="rect">
          <a:avLst/>
        </a:prstGeom>
      </xdr:spPr>
    </xdr:pic>
  </etc:cellImage>
  <etc:cellImage>
    <xdr:pic>
      <xdr:nvPicPr>
        <xdr:cNvPr id="3" name="ID_50D73D10EDC6485E9781DC4C638AFFDB"/>
        <xdr:cNvPicPr>
          <a:picLocks noChangeAspect="1"/>
        </xdr:cNvPicPr>
      </xdr:nvPicPr>
      <xdr:blipFill>
        <a:blip r:embed="rId3" cstate="print"/>
        <a:stretch>
          <a:fillRect/>
        </a:stretch>
      </xdr:blipFill>
      <xdr:spPr>
        <a:xfrm>
          <a:off x="191770" y="692150"/>
          <a:ext cx="236855" cy="225425"/>
        </a:xfrm>
        <a:prstGeom prst="rect">
          <a:avLst/>
        </a:prstGeom>
      </xdr:spPr>
    </xdr:pic>
  </etc:cellImage>
  <etc:cellImage>
    <xdr:pic>
      <xdr:nvPicPr>
        <xdr:cNvPr id="4" name="ID_B13033644EC1416C8599B90863A369F3"/>
        <xdr:cNvPicPr>
          <a:picLocks noChangeAspect="1"/>
        </xdr:cNvPicPr>
      </xdr:nvPicPr>
      <xdr:blipFill>
        <a:blip r:embed="rId4" cstate="print"/>
        <a:stretch>
          <a:fillRect/>
        </a:stretch>
      </xdr:blipFill>
      <xdr:spPr>
        <a:xfrm>
          <a:off x="191770" y="996950"/>
          <a:ext cx="236855" cy="225425"/>
        </a:xfrm>
        <a:prstGeom prst="rect">
          <a:avLst/>
        </a:prstGeom>
      </xdr:spPr>
    </xdr:pic>
  </etc:cellImage>
  <etc:cellImage>
    <xdr:pic>
      <xdr:nvPicPr>
        <xdr:cNvPr id="5" name="ID_1D83F4269E6D4F44BBED3EF85B366C7D"/>
        <xdr:cNvPicPr>
          <a:picLocks noChangeAspect="1"/>
        </xdr:cNvPicPr>
      </xdr:nvPicPr>
      <xdr:blipFill>
        <a:blip r:embed="rId5" cstate="print"/>
        <a:stretch>
          <a:fillRect/>
        </a:stretch>
      </xdr:blipFill>
      <xdr:spPr>
        <a:xfrm>
          <a:off x="191770" y="1301750"/>
          <a:ext cx="236855" cy="225425"/>
        </a:xfrm>
        <a:prstGeom prst="rect">
          <a:avLst/>
        </a:prstGeom>
      </xdr:spPr>
    </xdr:pic>
  </etc:cellImage>
  <etc:cellImage>
    <xdr:pic>
      <xdr:nvPicPr>
        <xdr:cNvPr id="6" name="ID_AD94F38361834BC7BCD346511BE5A985"/>
        <xdr:cNvPicPr>
          <a:picLocks noChangeAspect="1"/>
        </xdr:cNvPicPr>
      </xdr:nvPicPr>
      <xdr:blipFill>
        <a:blip r:embed="rId6" cstate="print"/>
        <a:stretch>
          <a:fillRect/>
        </a:stretch>
      </xdr:blipFill>
      <xdr:spPr>
        <a:xfrm>
          <a:off x="191770" y="1606550"/>
          <a:ext cx="236855" cy="225425"/>
        </a:xfrm>
        <a:prstGeom prst="rect">
          <a:avLst/>
        </a:prstGeom>
      </xdr:spPr>
    </xdr:pic>
  </etc:cellImage>
  <etc:cellImage>
    <xdr:pic>
      <xdr:nvPicPr>
        <xdr:cNvPr id="7" name="ID_27EB01D2296D43EF9003AF60ACA08F04"/>
        <xdr:cNvPicPr>
          <a:picLocks noChangeAspect="1"/>
        </xdr:cNvPicPr>
      </xdr:nvPicPr>
      <xdr:blipFill>
        <a:blip r:embed="rId7" cstate="print"/>
        <a:stretch>
          <a:fillRect/>
        </a:stretch>
      </xdr:blipFill>
      <xdr:spPr>
        <a:xfrm>
          <a:off x="191770" y="1911350"/>
          <a:ext cx="236855" cy="225425"/>
        </a:xfrm>
        <a:prstGeom prst="rect">
          <a:avLst/>
        </a:prstGeom>
      </xdr:spPr>
    </xdr:pic>
  </etc:cellImage>
  <etc:cellImage>
    <xdr:pic>
      <xdr:nvPicPr>
        <xdr:cNvPr id="8" name="ID_1DA1114F5B194C34B8177EA324E86F13"/>
        <xdr:cNvPicPr>
          <a:picLocks noChangeAspect="1"/>
        </xdr:cNvPicPr>
      </xdr:nvPicPr>
      <xdr:blipFill>
        <a:blip r:embed="rId8" cstate="print"/>
        <a:stretch>
          <a:fillRect/>
        </a:stretch>
      </xdr:blipFill>
      <xdr:spPr>
        <a:xfrm>
          <a:off x="191770" y="2216150"/>
          <a:ext cx="236855" cy="225425"/>
        </a:xfrm>
        <a:prstGeom prst="rect">
          <a:avLst/>
        </a:prstGeom>
      </xdr:spPr>
    </xdr:pic>
  </etc:cellImage>
  <etc:cellImage>
    <xdr:pic>
      <xdr:nvPicPr>
        <xdr:cNvPr id="9" name="ID_D48B972C5FDC4EC18716DF8AB5924A0B"/>
        <xdr:cNvPicPr>
          <a:picLocks noChangeAspect="1"/>
        </xdr:cNvPicPr>
      </xdr:nvPicPr>
      <xdr:blipFill>
        <a:blip r:embed="rId9" cstate="print"/>
        <a:stretch>
          <a:fillRect/>
        </a:stretch>
      </xdr:blipFill>
      <xdr:spPr>
        <a:xfrm>
          <a:off x="191770" y="2520950"/>
          <a:ext cx="236855" cy="225425"/>
        </a:xfrm>
        <a:prstGeom prst="rect">
          <a:avLst/>
        </a:prstGeom>
      </xdr:spPr>
    </xdr:pic>
  </etc:cellImage>
  <etc:cellImage>
    <xdr:pic>
      <xdr:nvPicPr>
        <xdr:cNvPr id="10" name="ID_FF65840B8DDB4073B4CD635B60479263"/>
        <xdr:cNvPicPr>
          <a:picLocks noChangeAspect="1"/>
        </xdr:cNvPicPr>
      </xdr:nvPicPr>
      <xdr:blipFill>
        <a:blip r:embed="rId10" cstate="print"/>
        <a:stretch>
          <a:fillRect/>
        </a:stretch>
      </xdr:blipFill>
      <xdr:spPr>
        <a:xfrm>
          <a:off x="191770" y="2825750"/>
          <a:ext cx="236855" cy="225425"/>
        </a:xfrm>
        <a:prstGeom prst="rect">
          <a:avLst/>
        </a:prstGeom>
      </xdr:spPr>
    </xdr:pic>
  </etc:cellImage>
  <etc:cellImage>
    <xdr:pic>
      <xdr:nvPicPr>
        <xdr:cNvPr id="11" name="ID_5B412FB7F8D4434FA59692D8E5304052"/>
        <xdr:cNvPicPr>
          <a:picLocks noChangeAspect="1"/>
        </xdr:cNvPicPr>
      </xdr:nvPicPr>
      <xdr:blipFill>
        <a:blip r:embed="rId11" cstate="print"/>
        <a:stretch>
          <a:fillRect/>
        </a:stretch>
      </xdr:blipFill>
      <xdr:spPr>
        <a:xfrm>
          <a:off x="191770" y="3130550"/>
          <a:ext cx="236855" cy="225425"/>
        </a:xfrm>
        <a:prstGeom prst="rect">
          <a:avLst/>
        </a:prstGeom>
      </xdr:spPr>
    </xdr:pic>
  </etc:cellImage>
  <etc:cellImage>
    <xdr:pic>
      <xdr:nvPicPr>
        <xdr:cNvPr id="12" name="ID_DA8614D653D14F26808A91006DFA609A"/>
        <xdr:cNvPicPr>
          <a:picLocks noChangeAspect="1"/>
        </xdr:cNvPicPr>
      </xdr:nvPicPr>
      <xdr:blipFill>
        <a:blip r:embed="rId12" cstate="print"/>
        <a:stretch>
          <a:fillRect/>
        </a:stretch>
      </xdr:blipFill>
      <xdr:spPr>
        <a:xfrm>
          <a:off x="191770" y="3435350"/>
          <a:ext cx="236855" cy="225425"/>
        </a:xfrm>
        <a:prstGeom prst="rect">
          <a:avLst/>
        </a:prstGeom>
      </xdr:spPr>
    </xdr:pic>
  </etc:cellImage>
  <etc:cellImage>
    <xdr:pic>
      <xdr:nvPicPr>
        <xdr:cNvPr id="14" name="ID_7480317C958641ABA3737EBB9E9197DE"/>
        <xdr:cNvPicPr>
          <a:picLocks noChangeAspect="1"/>
        </xdr:cNvPicPr>
      </xdr:nvPicPr>
      <xdr:blipFill>
        <a:blip r:embed="rId13" cstate="print"/>
        <a:stretch>
          <a:fillRect/>
        </a:stretch>
      </xdr:blipFill>
      <xdr:spPr>
        <a:xfrm>
          <a:off x="191770" y="4044950"/>
          <a:ext cx="236855" cy="225425"/>
        </a:xfrm>
        <a:prstGeom prst="rect">
          <a:avLst/>
        </a:prstGeom>
      </xdr:spPr>
    </xdr:pic>
  </etc:cellImage>
  <etc:cellImage>
    <xdr:pic>
      <xdr:nvPicPr>
        <xdr:cNvPr id="15" name="ID_0894C5A4E5BD4E3683D0E3CBF5D9D6A6"/>
        <xdr:cNvPicPr>
          <a:picLocks noChangeAspect="1"/>
        </xdr:cNvPicPr>
      </xdr:nvPicPr>
      <xdr:blipFill>
        <a:blip r:embed="rId14" cstate="print"/>
        <a:stretch>
          <a:fillRect/>
        </a:stretch>
      </xdr:blipFill>
      <xdr:spPr>
        <a:xfrm>
          <a:off x="191770" y="4349750"/>
          <a:ext cx="236855" cy="225425"/>
        </a:xfrm>
        <a:prstGeom prst="rect">
          <a:avLst/>
        </a:prstGeom>
      </xdr:spPr>
    </xdr:pic>
  </etc:cellImage>
  <etc:cellImage>
    <xdr:pic>
      <xdr:nvPicPr>
        <xdr:cNvPr id="16" name="ID_889907F383A34AD393555FE24CFF1DD5"/>
        <xdr:cNvPicPr>
          <a:picLocks noChangeAspect="1"/>
        </xdr:cNvPicPr>
      </xdr:nvPicPr>
      <xdr:blipFill>
        <a:blip r:embed="rId15" cstate="print"/>
        <a:stretch>
          <a:fillRect/>
        </a:stretch>
      </xdr:blipFill>
      <xdr:spPr>
        <a:xfrm>
          <a:off x="191770" y="4654550"/>
          <a:ext cx="236855" cy="225425"/>
        </a:xfrm>
        <a:prstGeom prst="rect">
          <a:avLst/>
        </a:prstGeom>
      </xdr:spPr>
    </xdr:pic>
  </etc:cellImage>
  <etc:cellImage>
    <xdr:pic>
      <xdr:nvPicPr>
        <xdr:cNvPr id="17" name="ID_8F62DC518A7749E98A78FF871E269E65"/>
        <xdr:cNvPicPr>
          <a:picLocks noChangeAspect="1"/>
        </xdr:cNvPicPr>
      </xdr:nvPicPr>
      <xdr:blipFill>
        <a:blip r:embed="rId16" cstate="print"/>
        <a:stretch>
          <a:fillRect/>
        </a:stretch>
      </xdr:blipFill>
      <xdr:spPr>
        <a:xfrm>
          <a:off x="191770" y="4959350"/>
          <a:ext cx="236855" cy="225425"/>
        </a:xfrm>
        <a:prstGeom prst="rect">
          <a:avLst/>
        </a:prstGeom>
      </xdr:spPr>
    </xdr:pic>
  </etc:cellImage>
  <etc:cellImage>
    <xdr:pic>
      <xdr:nvPicPr>
        <xdr:cNvPr id="18" name="ID_0783D5F3879443B9AA001FCE11B877E6"/>
        <xdr:cNvPicPr>
          <a:picLocks noChangeAspect="1"/>
        </xdr:cNvPicPr>
      </xdr:nvPicPr>
      <xdr:blipFill>
        <a:blip r:embed="rId17" cstate="print"/>
        <a:stretch>
          <a:fillRect/>
        </a:stretch>
      </xdr:blipFill>
      <xdr:spPr>
        <a:xfrm>
          <a:off x="191770" y="5264150"/>
          <a:ext cx="236855" cy="225425"/>
        </a:xfrm>
        <a:prstGeom prst="rect">
          <a:avLst/>
        </a:prstGeom>
      </xdr:spPr>
    </xdr:pic>
  </etc:cellImage>
  <etc:cellImage>
    <xdr:pic>
      <xdr:nvPicPr>
        <xdr:cNvPr id="19" name="ID_E0EFCA93C3234D23B2B3BFC2B4FE602B"/>
        <xdr:cNvPicPr>
          <a:picLocks noChangeAspect="1"/>
        </xdr:cNvPicPr>
      </xdr:nvPicPr>
      <xdr:blipFill>
        <a:blip r:embed="rId18" cstate="print"/>
        <a:stretch>
          <a:fillRect/>
        </a:stretch>
      </xdr:blipFill>
      <xdr:spPr>
        <a:xfrm>
          <a:off x="191770" y="5568950"/>
          <a:ext cx="236855" cy="225425"/>
        </a:xfrm>
        <a:prstGeom prst="rect">
          <a:avLst/>
        </a:prstGeom>
      </xdr:spPr>
    </xdr:pic>
  </etc:cellImage>
  <etc:cellImage>
    <xdr:pic>
      <xdr:nvPicPr>
        <xdr:cNvPr id="20" name="ID_7C0005BFB5A64106920B92E3A61DE3C6"/>
        <xdr:cNvPicPr>
          <a:picLocks noChangeAspect="1"/>
        </xdr:cNvPicPr>
      </xdr:nvPicPr>
      <xdr:blipFill>
        <a:blip r:embed="rId19" cstate="print"/>
        <a:stretch>
          <a:fillRect/>
        </a:stretch>
      </xdr:blipFill>
      <xdr:spPr>
        <a:xfrm>
          <a:off x="191770" y="5873750"/>
          <a:ext cx="236855" cy="225425"/>
        </a:xfrm>
        <a:prstGeom prst="rect">
          <a:avLst/>
        </a:prstGeom>
      </xdr:spPr>
    </xdr:pic>
  </etc:cellImage>
  <etc:cellImage>
    <xdr:pic>
      <xdr:nvPicPr>
        <xdr:cNvPr id="21" name="ID_1A0C77516E4B418B88B728B6092F21CC"/>
        <xdr:cNvPicPr>
          <a:picLocks noChangeAspect="1"/>
        </xdr:cNvPicPr>
      </xdr:nvPicPr>
      <xdr:blipFill>
        <a:blip r:embed="rId20" cstate="print"/>
        <a:stretch>
          <a:fillRect/>
        </a:stretch>
      </xdr:blipFill>
      <xdr:spPr>
        <a:xfrm>
          <a:off x="191770" y="6178550"/>
          <a:ext cx="236855" cy="225425"/>
        </a:xfrm>
        <a:prstGeom prst="rect">
          <a:avLst/>
        </a:prstGeom>
      </xdr:spPr>
    </xdr:pic>
  </etc:cellImage>
  <etc:cellImage>
    <xdr:pic>
      <xdr:nvPicPr>
        <xdr:cNvPr id="22" name="ID_89F005672EDE4B7D9C755F740DE55A55"/>
        <xdr:cNvPicPr>
          <a:picLocks noChangeAspect="1"/>
        </xdr:cNvPicPr>
      </xdr:nvPicPr>
      <xdr:blipFill>
        <a:blip r:embed="rId21" cstate="print"/>
        <a:stretch>
          <a:fillRect/>
        </a:stretch>
      </xdr:blipFill>
      <xdr:spPr>
        <a:xfrm>
          <a:off x="191770" y="6483350"/>
          <a:ext cx="236855" cy="225425"/>
        </a:xfrm>
        <a:prstGeom prst="rect">
          <a:avLst/>
        </a:prstGeom>
      </xdr:spPr>
    </xdr:pic>
  </etc:cellImage>
  <etc:cellImage>
    <xdr:pic>
      <xdr:nvPicPr>
        <xdr:cNvPr id="23" name="ID_4DE2769D295A490BB275B6E0EDB90B6B"/>
        <xdr:cNvPicPr>
          <a:picLocks noChangeAspect="1"/>
        </xdr:cNvPicPr>
      </xdr:nvPicPr>
      <xdr:blipFill>
        <a:blip r:embed="rId22" cstate="print"/>
        <a:stretch>
          <a:fillRect/>
        </a:stretch>
      </xdr:blipFill>
      <xdr:spPr>
        <a:xfrm>
          <a:off x="191770" y="7092950"/>
          <a:ext cx="236855" cy="225425"/>
        </a:xfrm>
        <a:prstGeom prst="rect">
          <a:avLst/>
        </a:prstGeom>
      </xdr:spPr>
    </xdr:pic>
  </etc:cellImage>
  <etc:cellImage>
    <xdr:pic>
      <xdr:nvPicPr>
        <xdr:cNvPr id="24" name="ID_D84A71EE775540DE9FD60A8D33110265"/>
        <xdr:cNvPicPr>
          <a:picLocks noChangeAspect="1"/>
        </xdr:cNvPicPr>
      </xdr:nvPicPr>
      <xdr:blipFill>
        <a:blip r:embed="rId23" cstate="print"/>
        <a:stretch>
          <a:fillRect/>
        </a:stretch>
      </xdr:blipFill>
      <xdr:spPr>
        <a:xfrm>
          <a:off x="191770" y="6788150"/>
          <a:ext cx="236855" cy="225425"/>
        </a:xfrm>
        <a:prstGeom prst="rect">
          <a:avLst/>
        </a:prstGeom>
      </xdr:spPr>
    </xdr:pic>
  </etc:cellImage>
  <etc:cellImage>
    <xdr:pic>
      <xdr:nvPicPr>
        <xdr:cNvPr id="25" name="ID_B9FD149D2A7E4E918A8A34D91F312C68"/>
        <xdr:cNvPicPr>
          <a:picLocks noChangeAspect="1"/>
        </xdr:cNvPicPr>
      </xdr:nvPicPr>
      <xdr:blipFill>
        <a:blip r:embed="rId24" cstate="print"/>
        <a:stretch>
          <a:fillRect/>
        </a:stretch>
      </xdr:blipFill>
      <xdr:spPr>
        <a:xfrm>
          <a:off x="191770" y="7397750"/>
          <a:ext cx="236855" cy="225425"/>
        </a:xfrm>
        <a:prstGeom prst="rect">
          <a:avLst/>
        </a:prstGeom>
      </xdr:spPr>
    </xdr:pic>
  </etc:cellImage>
  <etc:cellImage>
    <xdr:pic>
      <xdr:nvPicPr>
        <xdr:cNvPr id="26" name="ID_CD0498A408E245CB946CB8C91DC5B810"/>
        <xdr:cNvPicPr>
          <a:picLocks noChangeAspect="1"/>
        </xdr:cNvPicPr>
      </xdr:nvPicPr>
      <xdr:blipFill>
        <a:blip r:embed="rId25" cstate="print"/>
        <a:stretch>
          <a:fillRect/>
        </a:stretch>
      </xdr:blipFill>
      <xdr:spPr>
        <a:xfrm>
          <a:off x="191770" y="7702550"/>
          <a:ext cx="236855" cy="225425"/>
        </a:xfrm>
        <a:prstGeom prst="rect">
          <a:avLst/>
        </a:prstGeom>
      </xdr:spPr>
    </xdr:pic>
  </etc:cellImage>
  <etc:cellImage>
    <xdr:pic>
      <xdr:nvPicPr>
        <xdr:cNvPr id="27" name="ID_32FE90107A424BBE9A11FCD32AC29247"/>
        <xdr:cNvPicPr>
          <a:picLocks noChangeAspect="1"/>
        </xdr:cNvPicPr>
      </xdr:nvPicPr>
      <xdr:blipFill>
        <a:blip r:embed="rId26" cstate="print"/>
        <a:stretch>
          <a:fillRect/>
        </a:stretch>
      </xdr:blipFill>
      <xdr:spPr>
        <a:xfrm>
          <a:off x="191770" y="8312150"/>
          <a:ext cx="236855" cy="225425"/>
        </a:xfrm>
        <a:prstGeom prst="rect">
          <a:avLst/>
        </a:prstGeom>
      </xdr:spPr>
    </xdr:pic>
  </etc:cellImage>
  <etc:cellImage>
    <xdr:pic>
      <xdr:nvPicPr>
        <xdr:cNvPr id="28" name="ID_FE926B45CA304323B932DE7791FBF2E7"/>
        <xdr:cNvPicPr>
          <a:picLocks noChangeAspect="1"/>
        </xdr:cNvPicPr>
      </xdr:nvPicPr>
      <xdr:blipFill>
        <a:blip r:embed="rId27" cstate="print"/>
        <a:stretch>
          <a:fillRect/>
        </a:stretch>
      </xdr:blipFill>
      <xdr:spPr>
        <a:xfrm>
          <a:off x="191770" y="8007350"/>
          <a:ext cx="236855" cy="225425"/>
        </a:xfrm>
        <a:prstGeom prst="rect">
          <a:avLst/>
        </a:prstGeom>
      </xdr:spPr>
    </xdr:pic>
  </etc:cellImage>
  <etc:cellImage>
    <xdr:pic>
      <xdr:nvPicPr>
        <xdr:cNvPr id="29" name="ID_8E7C7A0F4E83414787F030B3A76CFF26"/>
        <xdr:cNvPicPr>
          <a:picLocks noChangeAspect="1"/>
        </xdr:cNvPicPr>
      </xdr:nvPicPr>
      <xdr:blipFill>
        <a:blip r:embed="rId28" cstate="print"/>
        <a:stretch>
          <a:fillRect/>
        </a:stretch>
      </xdr:blipFill>
      <xdr:spPr>
        <a:xfrm>
          <a:off x="191770" y="8616950"/>
          <a:ext cx="236855" cy="225425"/>
        </a:xfrm>
        <a:prstGeom prst="rect">
          <a:avLst/>
        </a:prstGeom>
      </xdr:spPr>
    </xdr:pic>
  </etc:cellImage>
  <etc:cellImage>
    <xdr:pic>
      <xdr:nvPicPr>
        <xdr:cNvPr id="30" name="ID_C9E6618634FB46B9AE93261404AA4B3F"/>
        <xdr:cNvPicPr>
          <a:picLocks noChangeAspect="1"/>
        </xdr:cNvPicPr>
      </xdr:nvPicPr>
      <xdr:blipFill>
        <a:blip r:embed="rId29" cstate="print"/>
        <a:stretch>
          <a:fillRect/>
        </a:stretch>
      </xdr:blipFill>
      <xdr:spPr>
        <a:xfrm>
          <a:off x="191770" y="8921750"/>
          <a:ext cx="236855" cy="225425"/>
        </a:xfrm>
        <a:prstGeom prst="rect">
          <a:avLst/>
        </a:prstGeom>
      </xdr:spPr>
    </xdr:pic>
  </etc:cellImage>
  <etc:cellImage>
    <xdr:pic>
      <xdr:nvPicPr>
        <xdr:cNvPr id="31" name="ID_F971AD70C58C4355A3EEB8628B4CA834"/>
        <xdr:cNvPicPr>
          <a:picLocks noChangeAspect="1"/>
        </xdr:cNvPicPr>
      </xdr:nvPicPr>
      <xdr:blipFill>
        <a:blip r:embed="rId30" cstate="print"/>
        <a:stretch>
          <a:fillRect/>
        </a:stretch>
      </xdr:blipFill>
      <xdr:spPr>
        <a:xfrm>
          <a:off x="191770" y="9226550"/>
          <a:ext cx="236855" cy="225425"/>
        </a:xfrm>
        <a:prstGeom prst="rect">
          <a:avLst/>
        </a:prstGeom>
      </xdr:spPr>
    </xdr:pic>
  </etc:cellImage>
  <etc:cellImage>
    <xdr:pic>
      <xdr:nvPicPr>
        <xdr:cNvPr id="32" name="ID_9FCCA12980A0423E822746890F21D055"/>
        <xdr:cNvPicPr>
          <a:picLocks noChangeAspect="1"/>
        </xdr:cNvPicPr>
      </xdr:nvPicPr>
      <xdr:blipFill>
        <a:blip r:embed="rId31" cstate="print"/>
        <a:stretch>
          <a:fillRect/>
        </a:stretch>
      </xdr:blipFill>
      <xdr:spPr>
        <a:xfrm>
          <a:off x="191770" y="9531350"/>
          <a:ext cx="236855" cy="225425"/>
        </a:xfrm>
        <a:prstGeom prst="rect">
          <a:avLst/>
        </a:prstGeom>
      </xdr:spPr>
    </xdr:pic>
  </etc:cellImage>
  <etc:cellImage>
    <xdr:pic>
      <xdr:nvPicPr>
        <xdr:cNvPr id="33" name="ID_5FCE00E4DF3F43B29DB06CF9EF9EF117"/>
        <xdr:cNvPicPr>
          <a:picLocks noChangeAspect="1"/>
        </xdr:cNvPicPr>
      </xdr:nvPicPr>
      <xdr:blipFill>
        <a:blip r:embed="rId32" cstate="print"/>
        <a:stretch>
          <a:fillRect/>
        </a:stretch>
      </xdr:blipFill>
      <xdr:spPr>
        <a:xfrm>
          <a:off x="191770" y="9836150"/>
          <a:ext cx="236855" cy="225425"/>
        </a:xfrm>
        <a:prstGeom prst="rect">
          <a:avLst/>
        </a:prstGeom>
      </xdr:spPr>
    </xdr:pic>
  </etc:cellImage>
  <etc:cellImage>
    <xdr:pic>
      <xdr:nvPicPr>
        <xdr:cNvPr id="34" name="ID_16F8BF00D1764AD2AD6663A65C5DA25A"/>
        <xdr:cNvPicPr>
          <a:picLocks noChangeAspect="1"/>
        </xdr:cNvPicPr>
      </xdr:nvPicPr>
      <xdr:blipFill>
        <a:blip r:embed="rId33" cstate="print"/>
        <a:stretch>
          <a:fillRect/>
        </a:stretch>
      </xdr:blipFill>
      <xdr:spPr>
        <a:xfrm>
          <a:off x="191770" y="10140950"/>
          <a:ext cx="236855" cy="225425"/>
        </a:xfrm>
        <a:prstGeom prst="rect">
          <a:avLst/>
        </a:prstGeom>
      </xdr:spPr>
    </xdr:pic>
  </etc:cellImage>
  <etc:cellImage>
    <xdr:pic>
      <xdr:nvPicPr>
        <xdr:cNvPr id="35" name="ID_015973B8969844D19C21265EDF92E14F"/>
        <xdr:cNvPicPr>
          <a:picLocks noChangeAspect="1"/>
        </xdr:cNvPicPr>
      </xdr:nvPicPr>
      <xdr:blipFill>
        <a:blip r:embed="rId34" cstate="print"/>
        <a:stretch>
          <a:fillRect/>
        </a:stretch>
      </xdr:blipFill>
      <xdr:spPr>
        <a:xfrm>
          <a:off x="191770" y="10445750"/>
          <a:ext cx="236855" cy="225425"/>
        </a:xfrm>
        <a:prstGeom prst="rect">
          <a:avLst/>
        </a:prstGeom>
      </xdr:spPr>
    </xdr:pic>
  </etc:cellImage>
  <etc:cellImage>
    <xdr:pic>
      <xdr:nvPicPr>
        <xdr:cNvPr id="36" name="ID_D413095B41B042A8B68A32782FCFB190"/>
        <xdr:cNvPicPr>
          <a:picLocks noChangeAspect="1"/>
        </xdr:cNvPicPr>
      </xdr:nvPicPr>
      <xdr:blipFill>
        <a:blip r:embed="rId35" cstate="print"/>
        <a:stretch>
          <a:fillRect/>
        </a:stretch>
      </xdr:blipFill>
      <xdr:spPr>
        <a:xfrm>
          <a:off x="191770" y="11055350"/>
          <a:ext cx="236855" cy="225425"/>
        </a:xfrm>
        <a:prstGeom prst="rect">
          <a:avLst/>
        </a:prstGeom>
      </xdr:spPr>
    </xdr:pic>
  </etc:cellImage>
  <etc:cellImage>
    <xdr:pic>
      <xdr:nvPicPr>
        <xdr:cNvPr id="38" name="ID_8E18E083EBB243F8951678E7C8B7EAB6"/>
        <xdr:cNvPicPr>
          <a:picLocks noChangeAspect="1"/>
        </xdr:cNvPicPr>
      </xdr:nvPicPr>
      <xdr:blipFill>
        <a:blip r:embed="rId36" cstate="print"/>
        <a:stretch>
          <a:fillRect/>
        </a:stretch>
      </xdr:blipFill>
      <xdr:spPr>
        <a:xfrm>
          <a:off x="191770" y="11360150"/>
          <a:ext cx="236855" cy="225425"/>
        </a:xfrm>
        <a:prstGeom prst="rect">
          <a:avLst/>
        </a:prstGeom>
      </xdr:spPr>
    </xdr:pic>
  </etc:cellImage>
  <etc:cellImage>
    <xdr:pic>
      <xdr:nvPicPr>
        <xdr:cNvPr id="39" name="ID_702E9B5A5E16426B945C55F13B054BA5"/>
        <xdr:cNvPicPr>
          <a:picLocks noChangeAspect="1"/>
        </xdr:cNvPicPr>
      </xdr:nvPicPr>
      <xdr:blipFill>
        <a:blip r:embed="rId37" cstate="print"/>
        <a:stretch>
          <a:fillRect/>
        </a:stretch>
      </xdr:blipFill>
      <xdr:spPr>
        <a:xfrm>
          <a:off x="191770" y="10750550"/>
          <a:ext cx="236855" cy="225425"/>
        </a:xfrm>
        <a:prstGeom prst="rect">
          <a:avLst/>
        </a:prstGeom>
      </xdr:spPr>
    </xdr:pic>
  </etc:cellImage>
  <etc:cellImage>
    <xdr:pic>
      <xdr:nvPicPr>
        <xdr:cNvPr id="40" name="ID_CCC4F6F73C2844B28D96B1200F9B7BE4"/>
        <xdr:cNvPicPr>
          <a:picLocks noChangeAspect="1"/>
        </xdr:cNvPicPr>
      </xdr:nvPicPr>
      <xdr:blipFill>
        <a:blip r:embed="rId38" cstate="print"/>
        <a:stretch>
          <a:fillRect/>
        </a:stretch>
      </xdr:blipFill>
      <xdr:spPr>
        <a:xfrm>
          <a:off x="191770" y="11969750"/>
          <a:ext cx="236855" cy="225425"/>
        </a:xfrm>
        <a:prstGeom prst="rect">
          <a:avLst/>
        </a:prstGeom>
      </xdr:spPr>
    </xdr:pic>
  </etc:cellImage>
  <etc:cellImage>
    <xdr:pic>
      <xdr:nvPicPr>
        <xdr:cNvPr id="41" name="ID_356F145446BB40E39B11F2FE668B3138"/>
        <xdr:cNvPicPr>
          <a:picLocks noChangeAspect="1"/>
        </xdr:cNvPicPr>
      </xdr:nvPicPr>
      <xdr:blipFill>
        <a:blip r:embed="rId39" cstate="print"/>
        <a:stretch>
          <a:fillRect/>
        </a:stretch>
      </xdr:blipFill>
      <xdr:spPr>
        <a:xfrm>
          <a:off x="191770" y="12274550"/>
          <a:ext cx="236855" cy="225425"/>
        </a:xfrm>
        <a:prstGeom prst="rect">
          <a:avLst/>
        </a:prstGeom>
      </xdr:spPr>
    </xdr:pic>
  </etc:cellImage>
  <etc:cellImage>
    <xdr:pic>
      <xdr:nvPicPr>
        <xdr:cNvPr id="42" name="ID_A59C66EB378142738B31545BCB7BD240"/>
        <xdr:cNvPicPr>
          <a:picLocks noChangeAspect="1"/>
        </xdr:cNvPicPr>
      </xdr:nvPicPr>
      <xdr:blipFill>
        <a:blip r:embed="rId40" cstate="print"/>
        <a:stretch>
          <a:fillRect/>
        </a:stretch>
      </xdr:blipFill>
      <xdr:spPr>
        <a:xfrm>
          <a:off x="191770" y="12579350"/>
          <a:ext cx="236855" cy="225425"/>
        </a:xfrm>
        <a:prstGeom prst="rect">
          <a:avLst/>
        </a:prstGeom>
      </xdr:spPr>
    </xdr:pic>
  </etc:cellImage>
  <etc:cellImage>
    <xdr:pic>
      <xdr:nvPicPr>
        <xdr:cNvPr id="43" name="ID_A668F071062243849F704A4570976652"/>
        <xdr:cNvPicPr>
          <a:picLocks noChangeAspect="1"/>
        </xdr:cNvPicPr>
      </xdr:nvPicPr>
      <xdr:blipFill>
        <a:blip r:embed="rId41" cstate="print"/>
        <a:stretch>
          <a:fillRect/>
        </a:stretch>
      </xdr:blipFill>
      <xdr:spPr>
        <a:xfrm>
          <a:off x="191770" y="12884150"/>
          <a:ext cx="236855" cy="225425"/>
        </a:xfrm>
        <a:prstGeom prst="rect">
          <a:avLst/>
        </a:prstGeom>
      </xdr:spPr>
    </xdr:pic>
  </etc:cellImage>
  <etc:cellImage>
    <xdr:pic>
      <xdr:nvPicPr>
        <xdr:cNvPr id="45" name="ID_24452B07DC6D4C80BF208F5FB4A10E16"/>
        <xdr:cNvPicPr>
          <a:picLocks noChangeAspect="1"/>
        </xdr:cNvPicPr>
      </xdr:nvPicPr>
      <xdr:blipFill>
        <a:blip r:embed="rId42" cstate="print"/>
        <a:stretch>
          <a:fillRect/>
        </a:stretch>
      </xdr:blipFill>
      <xdr:spPr>
        <a:xfrm>
          <a:off x="191770" y="13493750"/>
          <a:ext cx="236855" cy="225425"/>
        </a:xfrm>
        <a:prstGeom prst="rect">
          <a:avLst/>
        </a:prstGeom>
      </xdr:spPr>
    </xdr:pic>
  </etc:cellImage>
  <etc:cellImage>
    <xdr:pic>
      <xdr:nvPicPr>
        <xdr:cNvPr id="46" name="ID_23424A20E7B94BBAAD3EAE9899D45FE9"/>
        <xdr:cNvPicPr>
          <a:picLocks noChangeAspect="1"/>
        </xdr:cNvPicPr>
      </xdr:nvPicPr>
      <xdr:blipFill>
        <a:blip r:embed="rId43" cstate="print"/>
        <a:stretch>
          <a:fillRect/>
        </a:stretch>
      </xdr:blipFill>
      <xdr:spPr>
        <a:xfrm>
          <a:off x="191770" y="13798550"/>
          <a:ext cx="236855" cy="225425"/>
        </a:xfrm>
        <a:prstGeom prst="rect">
          <a:avLst/>
        </a:prstGeom>
      </xdr:spPr>
    </xdr:pic>
  </etc:cellImage>
  <etc:cellImage>
    <xdr:pic>
      <xdr:nvPicPr>
        <xdr:cNvPr id="48" name="ID_769DC7F0202346C8923CB494CC3B5B88"/>
        <xdr:cNvPicPr>
          <a:picLocks noChangeAspect="1"/>
        </xdr:cNvPicPr>
      </xdr:nvPicPr>
      <xdr:blipFill>
        <a:blip r:embed="rId44" cstate="print"/>
        <a:stretch>
          <a:fillRect/>
        </a:stretch>
      </xdr:blipFill>
      <xdr:spPr>
        <a:xfrm>
          <a:off x="191770" y="14103350"/>
          <a:ext cx="236855" cy="225425"/>
        </a:xfrm>
        <a:prstGeom prst="rect">
          <a:avLst/>
        </a:prstGeom>
      </xdr:spPr>
    </xdr:pic>
  </etc:cellImage>
  <etc:cellImage>
    <xdr:pic>
      <xdr:nvPicPr>
        <xdr:cNvPr id="49" name="ID_429C7596921D4BCA8601D28C60AFE12F"/>
        <xdr:cNvPicPr>
          <a:picLocks noChangeAspect="1"/>
        </xdr:cNvPicPr>
      </xdr:nvPicPr>
      <xdr:blipFill>
        <a:blip r:embed="rId45" cstate="print"/>
        <a:stretch>
          <a:fillRect/>
        </a:stretch>
      </xdr:blipFill>
      <xdr:spPr>
        <a:xfrm>
          <a:off x="191770" y="14712950"/>
          <a:ext cx="236855" cy="225425"/>
        </a:xfrm>
        <a:prstGeom prst="rect">
          <a:avLst/>
        </a:prstGeom>
      </xdr:spPr>
    </xdr:pic>
  </etc:cellImage>
  <etc:cellImage>
    <xdr:pic>
      <xdr:nvPicPr>
        <xdr:cNvPr id="50" name="ID_C5C4587EE2674D1DAD85ADE941342DD7"/>
        <xdr:cNvPicPr>
          <a:picLocks noChangeAspect="1"/>
        </xdr:cNvPicPr>
      </xdr:nvPicPr>
      <xdr:blipFill>
        <a:blip r:embed="rId46" cstate="print"/>
        <a:stretch>
          <a:fillRect/>
        </a:stretch>
      </xdr:blipFill>
      <xdr:spPr>
        <a:xfrm>
          <a:off x="191770" y="15017750"/>
          <a:ext cx="236855" cy="225425"/>
        </a:xfrm>
        <a:prstGeom prst="rect">
          <a:avLst/>
        </a:prstGeom>
      </xdr:spPr>
    </xdr:pic>
  </etc:cellImage>
  <etc:cellImage>
    <xdr:pic>
      <xdr:nvPicPr>
        <xdr:cNvPr id="51" name="ID_A98B4F147413421C818AF8C974437F63"/>
        <xdr:cNvPicPr>
          <a:picLocks noChangeAspect="1"/>
        </xdr:cNvPicPr>
      </xdr:nvPicPr>
      <xdr:blipFill>
        <a:blip r:embed="rId47" cstate="print"/>
        <a:stretch>
          <a:fillRect/>
        </a:stretch>
      </xdr:blipFill>
      <xdr:spPr>
        <a:xfrm>
          <a:off x="191770" y="15322550"/>
          <a:ext cx="236855" cy="225425"/>
        </a:xfrm>
        <a:prstGeom prst="rect">
          <a:avLst/>
        </a:prstGeom>
      </xdr:spPr>
    </xdr:pic>
  </etc:cellImage>
  <etc:cellImage>
    <xdr:pic>
      <xdr:nvPicPr>
        <xdr:cNvPr id="52" name="ID_D8AC3FF434CF453BA6AC166E06A29100"/>
        <xdr:cNvPicPr>
          <a:picLocks noChangeAspect="1"/>
        </xdr:cNvPicPr>
      </xdr:nvPicPr>
      <xdr:blipFill>
        <a:blip r:embed="rId48" cstate="print"/>
        <a:stretch>
          <a:fillRect/>
        </a:stretch>
      </xdr:blipFill>
      <xdr:spPr>
        <a:xfrm>
          <a:off x="191770" y="15627350"/>
          <a:ext cx="236855" cy="225425"/>
        </a:xfrm>
        <a:prstGeom prst="rect">
          <a:avLst/>
        </a:prstGeom>
      </xdr:spPr>
    </xdr:pic>
  </etc:cellImage>
  <etc:cellImage>
    <xdr:pic>
      <xdr:nvPicPr>
        <xdr:cNvPr id="53" name="ID_47815B4B8E97431D8FB6B6F3A3D8D791"/>
        <xdr:cNvPicPr>
          <a:picLocks noChangeAspect="1"/>
        </xdr:cNvPicPr>
      </xdr:nvPicPr>
      <xdr:blipFill>
        <a:blip r:embed="rId49" cstate="print"/>
        <a:stretch>
          <a:fillRect/>
        </a:stretch>
      </xdr:blipFill>
      <xdr:spPr>
        <a:xfrm>
          <a:off x="191770" y="15932150"/>
          <a:ext cx="236855" cy="225425"/>
        </a:xfrm>
        <a:prstGeom prst="rect">
          <a:avLst/>
        </a:prstGeom>
      </xdr:spPr>
    </xdr:pic>
  </etc:cellImage>
  <etc:cellImage>
    <xdr:pic>
      <xdr:nvPicPr>
        <xdr:cNvPr id="54" name="ID_84D370C6EA21497C87E2D25580460178"/>
        <xdr:cNvPicPr>
          <a:picLocks noChangeAspect="1"/>
        </xdr:cNvPicPr>
      </xdr:nvPicPr>
      <xdr:blipFill>
        <a:blip r:embed="rId50" cstate="print"/>
        <a:stretch>
          <a:fillRect/>
        </a:stretch>
      </xdr:blipFill>
      <xdr:spPr>
        <a:xfrm>
          <a:off x="191770" y="16236950"/>
          <a:ext cx="236855" cy="225425"/>
        </a:xfrm>
        <a:prstGeom prst="rect">
          <a:avLst/>
        </a:prstGeom>
      </xdr:spPr>
    </xdr:pic>
  </etc:cellImage>
  <etc:cellImage>
    <xdr:pic>
      <xdr:nvPicPr>
        <xdr:cNvPr id="55" name="ID_BC1A732E1B994DBE9F7330E5CCE3C401"/>
        <xdr:cNvPicPr>
          <a:picLocks noChangeAspect="1"/>
        </xdr:cNvPicPr>
      </xdr:nvPicPr>
      <xdr:blipFill>
        <a:blip r:embed="rId51" cstate="print"/>
        <a:stretch>
          <a:fillRect/>
        </a:stretch>
      </xdr:blipFill>
      <xdr:spPr>
        <a:xfrm>
          <a:off x="191770" y="16541750"/>
          <a:ext cx="236855" cy="225425"/>
        </a:xfrm>
        <a:prstGeom prst="rect">
          <a:avLst/>
        </a:prstGeom>
      </xdr:spPr>
    </xdr:pic>
  </etc:cellImage>
  <etc:cellImage>
    <xdr:pic>
      <xdr:nvPicPr>
        <xdr:cNvPr id="56" name="ID_81EB173F04F4474CB8176057EE4D3F7E"/>
        <xdr:cNvPicPr>
          <a:picLocks noChangeAspect="1"/>
        </xdr:cNvPicPr>
      </xdr:nvPicPr>
      <xdr:blipFill>
        <a:blip r:embed="rId52" cstate="print"/>
        <a:stretch>
          <a:fillRect/>
        </a:stretch>
      </xdr:blipFill>
      <xdr:spPr>
        <a:xfrm>
          <a:off x="191770" y="16846550"/>
          <a:ext cx="236855" cy="225425"/>
        </a:xfrm>
        <a:prstGeom prst="rect">
          <a:avLst/>
        </a:prstGeom>
      </xdr:spPr>
    </xdr:pic>
  </etc:cellImage>
  <etc:cellImage>
    <xdr:pic>
      <xdr:nvPicPr>
        <xdr:cNvPr id="57" name="ID_31DB35F134E04573A8BFD3968D4D632C"/>
        <xdr:cNvPicPr>
          <a:picLocks noChangeAspect="1"/>
        </xdr:cNvPicPr>
      </xdr:nvPicPr>
      <xdr:blipFill>
        <a:blip r:embed="rId53" cstate="print"/>
        <a:stretch>
          <a:fillRect/>
        </a:stretch>
      </xdr:blipFill>
      <xdr:spPr>
        <a:xfrm>
          <a:off x="191770" y="17151350"/>
          <a:ext cx="236855" cy="225425"/>
        </a:xfrm>
        <a:prstGeom prst="rect">
          <a:avLst/>
        </a:prstGeom>
      </xdr:spPr>
    </xdr:pic>
  </etc:cellImage>
  <etc:cellImage>
    <xdr:pic>
      <xdr:nvPicPr>
        <xdr:cNvPr id="59" name="ID_951D411C75964C27A6CF9F8E0DE6354A"/>
        <xdr:cNvPicPr>
          <a:picLocks noChangeAspect="1"/>
        </xdr:cNvPicPr>
      </xdr:nvPicPr>
      <xdr:blipFill>
        <a:blip r:embed="rId54" cstate="print"/>
        <a:stretch>
          <a:fillRect/>
        </a:stretch>
      </xdr:blipFill>
      <xdr:spPr>
        <a:xfrm>
          <a:off x="191770" y="17760950"/>
          <a:ext cx="236855" cy="225425"/>
        </a:xfrm>
        <a:prstGeom prst="rect">
          <a:avLst/>
        </a:prstGeom>
      </xdr:spPr>
    </xdr:pic>
  </etc:cellImage>
  <etc:cellImage>
    <xdr:pic>
      <xdr:nvPicPr>
        <xdr:cNvPr id="60" name="ID_03442B6F452B47C19EECBABF6726F99E"/>
        <xdr:cNvPicPr>
          <a:picLocks noChangeAspect="1"/>
        </xdr:cNvPicPr>
      </xdr:nvPicPr>
      <xdr:blipFill>
        <a:blip r:embed="rId55" cstate="print"/>
        <a:stretch>
          <a:fillRect/>
        </a:stretch>
      </xdr:blipFill>
      <xdr:spPr>
        <a:xfrm>
          <a:off x="191770" y="18370550"/>
          <a:ext cx="236855" cy="225425"/>
        </a:xfrm>
        <a:prstGeom prst="rect">
          <a:avLst/>
        </a:prstGeom>
      </xdr:spPr>
    </xdr:pic>
  </etc:cellImage>
  <etc:cellImage>
    <xdr:pic>
      <xdr:nvPicPr>
        <xdr:cNvPr id="62" name="ID_B34D74B16C7741D8A4C79D2BFB4C53DC"/>
        <xdr:cNvPicPr>
          <a:picLocks noChangeAspect="1"/>
        </xdr:cNvPicPr>
      </xdr:nvPicPr>
      <xdr:blipFill>
        <a:blip r:embed="rId56" cstate="print"/>
        <a:stretch>
          <a:fillRect/>
        </a:stretch>
      </xdr:blipFill>
      <xdr:spPr>
        <a:xfrm>
          <a:off x="191770" y="18980150"/>
          <a:ext cx="236855" cy="225425"/>
        </a:xfrm>
        <a:prstGeom prst="rect">
          <a:avLst/>
        </a:prstGeom>
      </xdr:spPr>
    </xdr:pic>
  </etc:cellImage>
  <etc:cellImage>
    <xdr:pic>
      <xdr:nvPicPr>
        <xdr:cNvPr id="66" name="ID_AB3A14E56A244E5C8FD85999F4A0DAB8"/>
        <xdr:cNvPicPr>
          <a:picLocks noChangeAspect="1"/>
        </xdr:cNvPicPr>
      </xdr:nvPicPr>
      <xdr:blipFill>
        <a:blip r:embed="rId57" cstate="print"/>
        <a:stretch>
          <a:fillRect/>
        </a:stretch>
      </xdr:blipFill>
      <xdr:spPr>
        <a:xfrm>
          <a:off x="191770" y="20504150"/>
          <a:ext cx="236855" cy="225425"/>
        </a:xfrm>
        <a:prstGeom prst="rect">
          <a:avLst/>
        </a:prstGeom>
      </xdr:spPr>
    </xdr:pic>
  </etc:cellImage>
  <etc:cellImage>
    <xdr:pic>
      <xdr:nvPicPr>
        <xdr:cNvPr id="67" name="ID_5F0EB52D11F749A681A96ACAF55DD3C9"/>
        <xdr:cNvPicPr>
          <a:picLocks noChangeAspect="1"/>
        </xdr:cNvPicPr>
      </xdr:nvPicPr>
      <xdr:blipFill>
        <a:blip r:embed="rId58" cstate="print"/>
        <a:stretch>
          <a:fillRect/>
        </a:stretch>
      </xdr:blipFill>
      <xdr:spPr>
        <a:xfrm>
          <a:off x="191770" y="20199350"/>
          <a:ext cx="236855" cy="225425"/>
        </a:xfrm>
        <a:prstGeom prst="rect">
          <a:avLst/>
        </a:prstGeom>
      </xdr:spPr>
    </xdr:pic>
  </etc:cellImage>
  <etc:cellImage>
    <xdr:pic>
      <xdr:nvPicPr>
        <xdr:cNvPr id="70" name="ID_3359035A0EB4486C8E0C99C324D9369E"/>
        <xdr:cNvPicPr>
          <a:picLocks noChangeAspect="1"/>
        </xdr:cNvPicPr>
      </xdr:nvPicPr>
      <xdr:blipFill>
        <a:blip r:embed="rId59" cstate="print"/>
        <a:stretch>
          <a:fillRect/>
        </a:stretch>
      </xdr:blipFill>
      <xdr:spPr>
        <a:xfrm>
          <a:off x="191770" y="20808950"/>
          <a:ext cx="236855" cy="225425"/>
        </a:xfrm>
        <a:prstGeom prst="rect">
          <a:avLst/>
        </a:prstGeom>
      </xdr:spPr>
    </xdr:pic>
  </etc:cellImage>
  <etc:cellImage>
    <xdr:pic>
      <xdr:nvPicPr>
        <xdr:cNvPr id="71" name="ID_A3DDCA6D77094E39B18E031C5634CB19"/>
        <xdr:cNvPicPr>
          <a:picLocks noChangeAspect="1"/>
        </xdr:cNvPicPr>
      </xdr:nvPicPr>
      <xdr:blipFill>
        <a:blip r:embed="rId60" cstate="print"/>
        <a:stretch>
          <a:fillRect/>
        </a:stretch>
      </xdr:blipFill>
      <xdr:spPr>
        <a:xfrm>
          <a:off x="191770" y="21723350"/>
          <a:ext cx="236855" cy="225425"/>
        </a:xfrm>
        <a:prstGeom prst="rect">
          <a:avLst/>
        </a:prstGeom>
      </xdr:spPr>
    </xdr:pic>
  </etc:cellImage>
  <etc:cellImage>
    <xdr:pic>
      <xdr:nvPicPr>
        <xdr:cNvPr id="72" name="ID_B6F6933EE62E4A53A886A471662C86DA"/>
        <xdr:cNvPicPr>
          <a:picLocks noChangeAspect="1"/>
        </xdr:cNvPicPr>
      </xdr:nvPicPr>
      <xdr:blipFill>
        <a:blip r:embed="rId61" cstate="print"/>
        <a:stretch>
          <a:fillRect/>
        </a:stretch>
      </xdr:blipFill>
      <xdr:spPr>
        <a:xfrm>
          <a:off x="191770" y="21418550"/>
          <a:ext cx="236855" cy="225425"/>
        </a:xfrm>
        <a:prstGeom prst="rect">
          <a:avLst/>
        </a:prstGeom>
      </xdr:spPr>
    </xdr:pic>
  </etc:cellImage>
  <etc:cellImage>
    <xdr:pic>
      <xdr:nvPicPr>
        <xdr:cNvPr id="73" name="ID_EF65D598EDAF4C17857943433C0BF136"/>
        <xdr:cNvPicPr>
          <a:picLocks noChangeAspect="1"/>
        </xdr:cNvPicPr>
      </xdr:nvPicPr>
      <xdr:blipFill>
        <a:blip r:embed="rId62" cstate="print"/>
        <a:stretch>
          <a:fillRect/>
        </a:stretch>
      </xdr:blipFill>
      <xdr:spPr>
        <a:xfrm>
          <a:off x="191770" y="22028150"/>
          <a:ext cx="236855" cy="225425"/>
        </a:xfrm>
        <a:prstGeom prst="rect">
          <a:avLst/>
        </a:prstGeom>
      </xdr:spPr>
    </xdr:pic>
  </etc:cellImage>
  <etc:cellImage>
    <xdr:pic>
      <xdr:nvPicPr>
        <xdr:cNvPr id="74" name="ID_11FD34BFC63147058C904E2FB9871FEF"/>
        <xdr:cNvPicPr>
          <a:picLocks noChangeAspect="1"/>
        </xdr:cNvPicPr>
      </xdr:nvPicPr>
      <xdr:blipFill>
        <a:blip r:embed="rId63" cstate="print"/>
        <a:stretch>
          <a:fillRect/>
        </a:stretch>
      </xdr:blipFill>
      <xdr:spPr>
        <a:xfrm>
          <a:off x="191770" y="22332950"/>
          <a:ext cx="236855" cy="225425"/>
        </a:xfrm>
        <a:prstGeom prst="rect">
          <a:avLst/>
        </a:prstGeom>
      </xdr:spPr>
    </xdr:pic>
  </etc:cellImage>
  <etc:cellImage>
    <xdr:pic>
      <xdr:nvPicPr>
        <xdr:cNvPr id="75" name="ID_9DF9CEB498FB418992E800BFCF5AD6D3"/>
        <xdr:cNvPicPr>
          <a:picLocks noChangeAspect="1"/>
        </xdr:cNvPicPr>
      </xdr:nvPicPr>
      <xdr:blipFill>
        <a:blip r:embed="rId64" cstate="print"/>
        <a:stretch>
          <a:fillRect/>
        </a:stretch>
      </xdr:blipFill>
      <xdr:spPr>
        <a:xfrm>
          <a:off x="191770" y="22637750"/>
          <a:ext cx="236855" cy="225425"/>
        </a:xfrm>
        <a:prstGeom prst="rect">
          <a:avLst/>
        </a:prstGeom>
      </xdr:spPr>
    </xdr:pic>
  </etc:cellImage>
  <etc:cellImage>
    <xdr:pic>
      <xdr:nvPicPr>
        <xdr:cNvPr id="76" name="ID_F8BE4921899840688F15C3F81A5DF87E"/>
        <xdr:cNvPicPr>
          <a:picLocks noChangeAspect="1"/>
        </xdr:cNvPicPr>
      </xdr:nvPicPr>
      <xdr:blipFill>
        <a:blip r:embed="rId65" cstate="print"/>
        <a:stretch>
          <a:fillRect/>
        </a:stretch>
      </xdr:blipFill>
      <xdr:spPr>
        <a:xfrm>
          <a:off x="191770" y="22942550"/>
          <a:ext cx="236855" cy="225425"/>
        </a:xfrm>
        <a:prstGeom prst="rect">
          <a:avLst/>
        </a:prstGeom>
      </xdr:spPr>
    </xdr:pic>
  </etc:cellImage>
  <etc:cellImage>
    <xdr:pic>
      <xdr:nvPicPr>
        <xdr:cNvPr id="77" name="ID_17677B52920E4B909A41A0EFEB078404"/>
        <xdr:cNvPicPr>
          <a:picLocks noChangeAspect="1"/>
        </xdr:cNvPicPr>
      </xdr:nvPicPr>
      <xdr:blipFill>
        <a:blip r:embed="rId66" cstate="print"/>
        <a:stretch>
          <a:fillRect/>
        </a:stretch>
      </xdr:blipFill>
      <xdr:spPr>
        <a:xfrm>
          <a:off x="191770" y="23247350"/>
          <a:ext cx="236855" cy="225425"/>
        </a:xfrm>
        <a:prstGeom prst="rect">
          <a:avLst/>
        </a:prstGeom>
      </xdr:spPr>
    </xdr:pic>
  </etc:cellImage>
  <etc:cellImage>
    <xdr:pic>
      <xdr:nvPicPr>
        <xdr:cNvPr id="78" name="ID_13A80C1178744CF29D918BDB01BA63E7"/>
        <xdr:cNvPicPr>
          <a:picLocks noChangeAspect="1"/>
        </xdr:cNvPicPr>
      </xdr:nvPicPr>
      <xdr:blipFill>
        <a:blip r:embed="rId67" cstate="print"/>
        <a:stretch>
          <a:fillRect/>
        </a:stretch>
      </xdr:blipFill>
      <xdr:spPr>
        <a:xfrm>
          <a:off x="191770" y="23552150"/>
          <a:ext cx="236855" cy="225425"/>
        </a:xfrm>
        <a:prstGeom prst="rect">
          <a:avLst/>
        </a:prstGeom>
      </xdr:spPr>
    </xdr:pic>
  </etc:cellImage>
  <etc:cellImage>
    <xdr:pic>
      <xdr:nvPicPr>
        <xdr:cNvPr id="79" name="ID_CFBCF60568A54DB0BB543CEC31D52218"/>
        <xdr:cNvPicPr>
          <a:picLocks noChangeAspect="1"/>
        </xdr:cNvPicPr>
      </xdr:nvPicPr>
      <xdr:blipFill>
        <a:blip r:embed="rId68" cstate="print"/>
        <a:stretch>
          <a:fillRect/>
        </a:stretch>
      </xdr:blipFill>
      <xdr:spPr>
        <a:xfrm>
          <a:off x="191770" y="23856950"/>
          <a:ext cx="236855" cy="225425"/>
        </a:xfrm>
        <a:prstGeom prst="rect">
          <a:avLst/>
        </a:prstGeom>
      </xdr:spPr>
    </xdr:pic>
  </etc:cellImage>
  <etc:cellImage>
    <xdr:pic>
      <xdr:nvPicPr>
        <xdr:cNvPr id="80" name="ID_A411735AAE274F559A3D9F9B06D6D461"/>
        <xdr:cNvPicPr>
          <a:picLocks noChangeAspect="1"/>
        </xdr:cNvPicPr>
      </xdr:nvPicPr>
      <xdr:blipFill>
        <a:blip r:embed="rId69" cstate="print"/>
        <a:stretch>
          <a:fillRect/>
        </a:stretch>
      </xdr:blipFill>
      <xdr:spPr>
        <a:xfrm>
          <a:off x="191770" y="24771350"/>
          <a:ext cx="236855" cy="225425"/>
        </a:xfrm>
        <a:prstGeom prst="rect">
          <a:avLst/>
        </a:prstGeom>
      </xdr:spPr>
    </xdr:pic>
  </etc:cellImage>
  <etc:cellImage>
    <xdr:pic>
      <xdr:nvPicPr>
        <xdr:cNvPr id="82" name="ID_3A4664C99AFD4734985F7B07EDFAB71E"/>
        <xdr:cNvPicPr>
          <a:picLocks noChangeAspect="1"/>
        </xdr:cNvPicPr>
      </xdr:nvPicPr>
      <xdr:blipFill>
        <a:blip r:embed="rId70" cstate="print"/>
        <a:stretch>
          <a:fillRect/>
        </a:stretch>
      </xdr:blipFill>
      <xdr:spPr>
        <a:xfrm>
          <a:off x="191770" y="24466550"/>
          <a:ext cx="236855" cy="225425"/>
        </a:xfrm>
        <a:prstGeom prst="rect">
          <a:avLst/>
        </a:prstGeom>
      </xdr:spPr>
    </xdr:pic>
  </etc:cellImage>
  <etc:cellImage>
    <xdr:pic>
      <xdr:nvPicPr>
        <xdr:cNvPr id="83" name="ID_3C96FF7158924CD782FADA57DAD68D8C"/>
        <xdr:cNvPicPr>
          <a:picLocks noChangeAspect="1"/>
        </xdr:cNvPicPr>
      </xdr:nvPicPr>
      <xdr:blipFill>
        <a:blip r:embed="rId71" cstate="print"/>
        <a:stretch>
          <a:fillRect/>
        </a:stretch>
      </xdr:blipFill>
      <xdr:spPr>
        <a:xfrm>
          <a:off x="191770" y="25076150"/>
          <a:ext cx="236855" cy="225425"/>
        </a:xfrm>
        <a:prstGeom prst="rect">
          <a:avLst/>
        </a:prstGeom>
      </xdr:spPr>
    </xdr:pic>
  </etc:cellImage>
  <etc:cellImage>
    <xdr:pic>
      <xdr:nvPicPr>
        <xdr:cNvPr id="84" name="ID_F88C559211A444AF8BFF529472BB673E"/>
        <xdr:cNvPicPr>
          <a:picLocks noChangeAspect="1"/>
        </xdr:cNvPicPr>
      </xdr:nvPicPr>
      <xdr:blipFill>
        <a:blip r:embed="rId72" cstate="print"/>
        <a:stretch>
          <a:fillRect/>
        </a:stretch>
      </xdr:blipFill>
      <xdr:spPr>
        <a:xfrm>
          <a:off x="191770" y="25380950"/>
          <a:ext cx="236855" cy="225425"/>
        </a:xfrm>
        <a:prstGeom prst="rect">
          <a:avLst/>
        </a:prstGeom>
      </xdr:spPr>
    </xdr:pic>
  </etc:cellImage>
  <etc:cellImage>
    <xdr:pic>
      <xdr:nvPicPr>
        <xdr:cNvPr id="85" name="ID_FAC842F155214B01BC78151359A73E29"/>
        <xdr:cNvPicPr>
          <a:picLocks noChangeAspect="1"/>
        </xdr:cNvPicPr>
      </xdr:nvPicPr>
      <xdr:blipFill>
        <a:blip r:embed="rId73" cstate="print"/>
        <a:stretch>
          <a:fillRect/>
        </a:stretch>
      </xdr:blipFill>
      <xdr:spPr>
        <a:xfrm>
          <a:off x="191770" y="25685750"/>
          <a:ext cx="236855" cy="225425"/>
        </a:xfrm>
        <a:prstGeom prst="rect">
          <a:avLst/>
        </a:prstGeom>
      </xdr:spPr>
    </xdr:pic>
  </etc:cellImage>
  <etc:cellImage>
    <xdr:pic>
      <xdr:nvPicPr>
        <xdr:cNvPr id="86" name="ID_A1F3A6E3379E4798BE2BD0D6CFD40473"/>
        <xdr:cNvPicPr>
          <a:picLocks noChangeAspect="1"/>
        </xdr:cNvPicPr>
      </xdr:nvPicPr>
      <xdr:blipFill>
        <a:blip r:embed="rId74" cstate="print"/>
        <a:stretch>
          <a:fillRect/>
        </a:stretch>
      </xdr:blipFill>
      <xdr:spPr>
        <a:xfrm>
          <a:off x="191770" y="25990550"/>
          <a:ext cx="236855" cy="225425"/>
        </a:xfrm>
        <a:prstGeom prst="rect">
          <a:avLst/>
        </a:prstGeom>
      </xdr:spPr>
    </xdr:pic>
  </etc:cellImage>
  <etc:cellImage>
    <xdr:pic>
      <xdr:nvPicPr>
        <xdr:cNvPr id="87" name="ID_10683E0177C742228F913260A971A554"/>
        <xdr:cNvPicPr>
          <a:picLocks noChangeAspect="1"/>
        </xdr:cNvPicPr>
      </xdr:nvPicPr>
      <xdr:blipFill>
        <a:blip r:embed="rId75" cstate="print"/>
        <a:stretch>
          <a:fillRect/>
        </a:stretch>
      </xdr:blipFill>
      <xdr:spPr>
        <a:xfrm>
          <a:off x="191770" y="26295350"/>
          <a:ext cx="236855" cy="225425"/>
        </a:xfrm>
        <a:prstGeom prst="rect">
          <a:avLst/>
        </a:prstGeom>
      </xdr:spPr>
    </xdr:pic>
  </etc:cellImage>
  <etc:cellImage>
    <xdr:pic>
      <xdr:nvPicPr>
        <xdr:cNvPr id="88" name="ID_16B1C0A61ECF479AB924CC54119345D8"/>
        <xdr:cNvPicPr>
          <a:picLocks noChangeAspect="1"/>
        </xdr:cNvPicPr>
      </xdr:nvPicPr>
      <xdr:blipFill>
        <a:blip r:embed="rId76" cstate="print"/>
        <a:stretch>
          <a:fillRect/>
        </a:stretch>
      </xdr:blipFill>
      <xdr:spPr>
        <a:xfrm>
          <a:off x="191770" y="26600150"/>
          <a:ext cx="236855" cy="225425"/>
        </a:xfrm>
        <a:prstGeom prst="rect">
          <a:avLst/>
        </a:prstGeom>
      </xdr:spPr>
    </xdr:pic>
  </etc:cellImage>
  <etc:cellImage>
    <xdr:pic>
      <xdr:nvPicPr>
        <xdr:cNvPr id="89" name="ID_6713ABF4616041CF80AA4289A0AD21EE"/>
        <xdr:cNvPicPr>
          <a:picLocks noChangeAspect="1"/>
        </xdr:cNvPicPr>
      </xdr:nvPicPr>
      <xdr:blipFill>
        <a:blip r:embed="rId77" cstate="print"/>
        <a:stretch>
          <a:fillRect/>
        </a:stretch>
      </xdr:blipFill>
      <xdr:spPr>
        <a:xfrm>
          <a:off x="191770" y="26904950"/>
          <a:ext cx="236855" cy="225425"/>
        </a:xfrm>
        <a:prstGeom prst="rect">
          <a:avLst/>
        </a:prstGeom>
      </xdr:spPr>
    </xdr:pic>
  </etc:cellImage>
  <etc:cellImage>
    <xdr:pic>
      <xdr:nvPicPr>
        <xdr:cNvPr id="90" name="ID_C1439D7525314155A1AAEF75D2EA25B0"/>
        <xdr:cNvPicPr>
          <a:picLocks noChangeAspect="1"/>
        </xdr:cNvPicPr>
      </xdr:nvPicPr>
      <xdr:blipFill>
        <a:blip r:embed="rId78" cstate="print"/>
        <a:stretch>
          <a:fillRect/>
        </a:stretch>
      </xdr:blipFill>
      <xdr:spPr>
        <a:xfrm>
          <a:off x="191770" y="27209750"/>
          <a:ext cx="236855" cy="225425"/>
        </a:xfrm>
        <a:prstGeom prst="rect">
          <a:avLst/>
        </a:prstGeom>
      </xdr:spPr>
    </xdr:pic>
  </etc:cellImage>
  <etc:cellImage>
    <xdr:pic>
      <xdr:nvPicPr>
        <xdr:cNvPr id="91" name="ID_69F1754C84C24E4CB475EFE38F5B790E"/>
        <xdr:cNvPicPr>
          <a:picLocks noChangeAspect="1"/>
        </xdr:cNvPicPr>
      </xdr:nvPicPr>
      <xdr:blipFill>
        <a:blip r:embed="rId79" cstate="print"/>
        <a:stretch>
          <a:fillRect/>
        </a:stretch>
      </xdr:blipFill>
      <xdr:spPr>
        <a:xfrm>
          <a:off x="191770" y="27514550"/>
          <a:ext cx="236855" cy="225425"/>
        </a:xfrm>
        <a:prstGeom prst="rect">
          <a:avLst/>
        </a:prstGeom>
      </xdr:spPr>
    </xdr:pic>
  </etc:cellImage>
  <etc:cellImage>
    <xdr:pic>
      <xdr:nvPicPr>
        <xdr:cNvPr id="92" name="ID_C2A7066BB38C4925825FCB5233FF1D19"/>
        <xdr:cNvPicPr>
          <a:picLocks noChangeAspect="1"/>
        </xdr:cNvPicPr>
      </xdr:nvPicPr>
      <xdr:blipFill>
        <a:blip r:embed="rId80" cstate="print"/>
        <a:stretch>
          <a:fillRect/>
        </a:stretch>
      </xdr:blipFill>
      <xdr:spPr>
        <a:xfrm>
          <a:off x="191770" y="28124150"/>
          <a:ext cx="236855" cy="225425"/>
        </a:xfrm>
        <a:prstGeom prst="rect">
          <a:avLst/>
        </a:prstGeom>
      </xdr:spPr>
    </xdr:pic>
  </etc:cellImage>
  <etc:cellImage>
    <xdr:pic>
      <xdr:nvPicPr>
        <xdr:cNvPr id="93" name="ID_AF462A62724D4122841797D2178CBD4F"/>
        <xdr:cNvPicPr>
          <a:picLocks noChangeAspect="1"/>
        </xdr:cNvPicPr>
      </xdr:nvPicPr>
      <xdr:blipFill>
        <a:blip r:embed="rId81" cstate="print"/>
        <a:stretch>
          <a:fillRect/>
        </a:stretch>
      </xdr:blipFill>
      <xdr:spPr>
        <a:xfrm>
          <a:off x="191770" y="27819350"/>
          <a:ext cx="236855" cy="225425"/>
        </a:xfrm>
        <a:prstGeom prst="rect">
          <a:avLst/>
        </a:prstGeom>
      </xdr:spPr>
    </xdr:pic>
  </etc:cellImage>
  <etc:cellImage>
    <xdr:pic>
      <xdr:nvPicPr>
        <xdr:cNvPr id="94" name="ID_35D9A2171F4D495396045981EF9E1756"/>
        <xdr:cNvPicPr>
          <a:picLocks noChangeAspect="1"/>
        </xdr:cNvPicPr>
      </xdr:nvPicPr>
      <xdr:blipFill>
        <a:blip r:embed="rId82" cstate="print"/>
        <a:stretch>
          <a:fillRect/>
        </a:stretch>
      </xdr:blipFill>
      <xdr:spPr>
        <a:xfrm>
          <a:off x="191770" y="28428950"/>
          <a:ext cx="236855" cy="225425"/>
        </a:xfrm>
        <a:prstGeom prst="rect">
          <a:avLst/>
        </a:prstGeom>
      </xdr:spPr>
    </xdr:pic>
  </etc:cellImage>
  <etc:cellImage>
    <xdr:pic>
      <xdr:nvPicPr>
        <xdr:cNvPr id="95" name="ID_7BFF93D755934359A7AEC2C7EEB00DC4"/>
        <xdr:cNvPicPr>
          <a:picLocks noChangeAspect="1"/>
        </xdr:cNvPicPr>
      </xdr:nvPicPr>
      <xdr:blipFill>
        <a:blip r:embed="rId83" cstate="print"/>
        <a:stretch>
          <a:fillRect/>
        </a:stretch>
      </xdr:blipFill>
      <xdr:spPr>
        <a:xfrm>
          <a:off x="191770" y="29038550"/>
          <a:ext cx="236855" cy="225425"/>
        </a:xfrm>
        <a:prstGeom prst="rect">
          <a:avLst/>
        </a:prstGeom>
      </xdr:spPr>
    </xdr:pic>
  </etc:cellImage>
  <etc:cellImage>
    <xdr:pic>
      <xdr:nvPicPr>
        <xdr:cNvPr id="96" name="ID_27AA9C44BAA3413D8D8F89C71E2B35AF"/>
        <xdr:cNvPicPr>
          <a:picLocks noChangeAspect="1"/>
        </xdr:cNvPicPr>
      </xdr:nvPicPr>
      <xdr:blipFill>
        <a:blip r:embed="rId84" cstate="print"/>
        <a:stretch>
          <a:fillRect/>
        </a:stretch>
      </xdr:blipFill>
      <xdr:spPr>
        <a:xfrm>
          <a:off x="191770" y="29343350"/>
          <a:ext cx="236855" cy="225425"/>
        </a:xfrm>
        <a:prstGeom prst="rect">
          <a:avLst/>
        </a:prstGeom>
      </xdr:spPr>
    </xdr:pic>
  </etc:cellImage>
  <etc:cellImage>
    <xdr:pic>
      <xdr:nvPicPr>
        <xdr:cNvPr id="97" name="ID_DD4208A522B34381AD1A51C00493DDD2"/>
        <xdr:cNvPicPr>
          <a:picLocks noChangeAspect="1"/>
        </xdr:cNvPicPr>
      </xdr:nvPicPr>
      <xdr:blipFill>
        <a:blip r:embed="rId85" cstate="print"/>
        <a:stretch>
          <a:fillRect/>
        </a:stretch>
      </xdr:blipFill>
      <xdr:spPr>
        <a:xfrm>
          <a:off x="191770" y="28733750"/>
          <a:ext cx="236855" cy="225425"/>
        </a:xfrm>
        <a:prstGeom prst="rect">
          <a:avLst/>
        </a:prstGeom>
      </xdr:spPr>
    </xdr:pic>
  </etc:cellImage>
  <etc:cellImage>
    <xdr:pic>
      <xdr:nvPicPr>
        <xdr:cNvPr id="98" name="ID_B3CD866E89AB4FA7B413332177E78E0B"/>
        <xdr:cNvPicPr>
          <a:picLocks noChangeAspect="1"/>
        </xdr:cNvPicPr>
      </xdr:nvPicPr>
      <xdr:blipFill>
        <a:blip r:embed="rId86" cstate="print"/>
        <a:stretch>
          <a:fillRect/>
        </a:stretch>
      </xdr:blipFill>
      <xdr:spPr>
        <a:xfrm>
          <a:off x="191770" y="29648150"/>
          <a:ext cx="236855" cy="225425"/>
        </a:xfrm>
        <a:prstGeom prst="rect">
          <a:avLst/>
        </a:prstGeom>
      </xdr:spPr>
    </xdr:pic>
  </etc:cellImage>
  <etc:cellImage>
    <xdr:pic>
      <xdr:nvPicPr>
        <xdr:cNvPr id="100" name="ID_D086CFBECADB4B6B86189B257A5D7355"/>
        <xdr:cNvPicPr>
          <a:picLocks noChangeAspect="1"/>
        </xdr:cNvPicPr>
      </xdr:nvPicPr>
      <xdr:blipFill>
        <a:blip r:embed="rId87" cstate="print"/>
        <a:stretch>
          <a:fillRect/>
        </a:stretch>
      </xdr:blipFill>
      <xdr:spPr>
        <a:xfrm>
          <a:off x="191770" y="30562550"/>
          <a:ext cx="236855" cy="225425"/>
        </a:xfrm>
        <a:prstGeom prst="rect">
          <a:avLst/>
        </a:prstGeom>
      </xdr:spPr>
    </xdr:pic>
  </etc:cellImage>
  <etc:cellImage>
    <xdr:pic>
      <xdr:nvPicPr>
        <xdr:cNvPr id="102" name="ID_E2A89678215A4A0FB56F81CABF6054D7"/>
        <xdr:cNvPicPr>
          <a:picLocks noChangeAspect="1"/>
        </xdr:cNvPicPr>
      </xdr:nvPicPr>
      <xdr:blipFill>
        <a:blip r:embed="rId88" cstate="print"/>
        <a:stretch>
          <a:fillRect/>
        </a:stretch>
      </xdr:blipFill>
      <xdr:spPr>
        <a:xfrm>
          <a:off x="191770" y="30867350"/>
          <a:ext cx="236855" cy="225425"/>
        </a:xfrm>
        <a:prstGeom prst="rect">
          <a:avLst/>
        </a:prstGeom>
      </xdr:spPr>
    </xdr:pic>
  </etc:cellImage>
  <etc:cellImage>
    <xdr:pic>
      <xdr:nvPicPr>
        <xdr:cNvPr id="103" name="ID_A36FDBD4F61D407DB9E081795F133E81"/>
        <xdr:cNvPicPr>
          <a:picLocks noChangeAspect="1"/>
        </xdr:cNvPicPr>
      </xdr:nvPicPr>
      <xdr:blipFill>
        <a:blip r:embed="rId89" cstate="print"/>
        <a:stretch>
          <a:fillRect/>
        </a:stretch>
      </xdr:blipFill>
      <xdr:spPr>
        <a:xfrm>
          <a:off x="191770" y="31172150"/>
          <a:ext cx="236855" cy="225425"/>
        </a:xfrm>
        <a:prstGeom prst="rect">
          <a:avLst/>
        </a:prstGeom>
      </xdr:spPr>
    </xdr:pic>
  </etc:cellImage>
  <etc:cellImage>
    <xdr:pic>
      <xdr:nvPicPr>
        <xdr:cNvPr id="104" name="ID_B0623CAAA4C840F798674237B6DAFB85"/>
        <xdr:cNvPicPr>
          <a:picLocks noChangeAspect="1"/>
        </xdr:cNvPicPr>
      </xdr:nvPicPr>
      <xdr:blipFill>
        <a:blip r:embed="rId90" cstate="print"/>
        <a:stretch>
          <a:fillRect/>
        </a:stretch>
      </xdr:blipFill>
      <xdr:spPr>
        <a:xfrm>
          <a:off x="191770" y="31781750"/>
          <a:ext cx="236855" cy="225425"/>
        </a:xfrm>
        <a:prstGeom prst="rect">
          <a:avLst/>
        </a:prstGeom>
      </xdr:spPr>
    </xdr:pic>
  </etc:cellImage>
  <etc:cellImage>
    <xdr:pic>
      <xdr:nvPicPr>
        <xdr:cNvPr id="105" name="ID_9B49BD0BD3F94DB38D65AAE8D9D3E00F"/>
        <xdr:cNvPicPr>
          <a:picLocks noChangeAspect="1"/>
        </xdr:cNvPicPr>
      </xdr:nvPicPr>
      <xdr:blipFill>
        <a:blip r:embed="rId91" cstate="print"/>
        <a:stretch>
          <a:fillRect/>
        </a:stretch>
      </xdr:blipFill>
      <xdr:spPr>
        <a:xfrm>
          <a:off x="191770" y="31476950"/>
          <a:ext cx="236855" cy="225425"/>
        </a:xfrm>
        <a:prstGeom prst="rect">
          <a:avLst/>
        </a:prstGeom>
      </xdr:spPr>
    </xdr:pic>
  </etc:cellImage>
  <etc:cellImage>
    <xdr:pic>
      <xdr:nvPicPr>
        <xdr:cNvPr id="106" name="ID_519D37F05FBE4E449BB06B9C61FCEFB7"/>
        <xdr:cNvPicPr>
          <a:picLocks noChangeAspect="1"/>
        </xdr:cNvPicPr>
      </xdr:nvPicPr>
      <xdr:blipFill>
        <a:blip r:embed="rId92" cstate="print"/>
        <a:stretch>
          <a:fillRect/>
        </a:stretch>
      </xdr:blipFill>
      <xdr:spPr>
        <a:xfrm>
          <a:off x="191770" y="32391350"/>
          <a:ext cx="236855" cy="225425"/>
        </a:xfrm>
        <a:prstGeom prst="rect">
          <a:avLst/>
        </a:prstGeom>
      </xdr:spPr>
    </xdr:pic>
  </etc:cellImage>
  <etc:cellImage>
    <xdr:pic>
      <xdr:nvPicPr>
        <xdr:cNvPr id="107" name="ID_C4894AA45FF64839AA336C5352AF4BA2"/>
        <xdr:cNvPicPr>
          <a:picLocks noChangeAspect="1"/>
        </xdr:cNvPicPr>
      </xdr:nvPicPr>
      <xdr:blipFill>
        <a:blip r:embed="rId93" cstate="print"/>
        <a:stretch>
          <a:fillRect/>
        </a:stretch>
      </xdr:blipFill>
      <xdr:spPr>
        <a:xfrm>
          <a:off x="191770" y="32086550"/>
          <a:ext cx="236855" cy="225425"/>
        </a:xfrm>
        <a:prstGeom prst="rect">
          <a:avLst/>
        </a:prstGeom>
      </xdr:spPr>
    </xdr:pic>
  </etc:cellImage>
  <etc:cellImage>
    <xdr:pic>
      <xdr:nvPicPr>
        <xdr:cNvPr id="108" name="ID_CF7236A27C46434A8397FF124B9D96EA"/>
        <xdr:cNvPicPr>
          <a:picLocks noChangeAspect="1"/>
        </xdr:cNvPicPr>
      </xdr:nvPicPr>
      <xdr:blipFill>
        <a:blip r:embed="rId94" cstate="print"/>
        <a:stretch>
          <a:fillRect/>
        </a:stretch>
      </xdr:blipFill>
      <xdr:spPr>
        <a:xfrm>
          <a:off x="191770" y="32696150"/>
          <a:ext cx="236855" cy="225425"/>
        </a:xfrm>
        <a:prstGeom prst="rect">
          <a:avLst/>
        </a:prstGeom>
      </xdr:spPr>
    </xdr:pic>
  </etc:cellImage>
  <etc:cellImage>
    <xdr:pic>
      <xdr:nvPicPr>
        <xdr:cNvPr id="109" name="ID_DBFD2AA8D5634870BF0DA10746DFBC8B"/>
        <xdr:cNvPicPr>
          <a:picLocks noChangeAspect="1"/>
        </xdr:cNvPicPr>
      </xdr:nvPicPr>
      <xdr:blipFill>
        <a:blip r:embed="rId95" cstate="print"/>
        <a:stretch>
          <a:fillRect/>
        </a:stretch>
      </xdr:blipFill>
      <xdr:spPr>
        <a:xfrm>
          <a:off x="191770" y="33000950"/>
          <a:ext cx="236855" cy="225425"/>
        </a:xfrm>
        <a:prstGeom prst="rect">
          <a:avLst/>
        </a:prstGeom>
      </xdr:spPr>
    </xdr:pic>
  </etc:cellImage>
  <etc:cellImage>
    <xdr:pic>
      <xdr:nvPicPr>
        <xdr:cNvPr id="111" name="ID_33112E0DBE04487593F4F7FABCB9A460"/>
        <xdr:cNvPicPr>
          <a:picLocks noChangeAspect="1"/>
        </xdr:cNvPicPr>
      </xdr:nvPicPr>
      <xdr:blipFill>
        <a:blip r:embed="rId96" cstate="print"/>
        <a:stretch>
          <a:fillRect/>
        </a:stretch>
      </xdr:blipFill>
      <xdr:spPr>
        <a:xfrm>
          <a:off x="191770" y="33610550"/>
          <a:ext cx="236855" cy="225425"/>
        </a:xfrm>
        <a:prstGeom prst="rect">
          <a:avLst/>
        </a:prstGeom>
      </xdr:spPr>
    </xdr:pic>
  </etc:cellImage>
  <etc:cellImage>
    <xdr:pic>
      <xdr:nvPicPr>
        <xdr:cNvPr id="112" name="ID_D6910A8588E64E95AF4CC045AA2E2246"/>
        <xdr:cNvPicPr>
          <a:picLocks noChangeAspect="1"/>
        </xdr:cNvPicPr>
      </xdr:nvPicPr>
      <xdr:blipFill>
        <a:blip r:embed="rId97" cstate="print"/>
        <a:stretch>
          <a:fillRect/>
        </a:stretch>
      </xdr:blipFill>
      <xdr:spPr>
        <a:xfrm>
          <a:off x="191770" y="33915350"/>
          <a:ext cx="236855" cy="225425"/>
        </a:xfrm>
        <a:prstGeom prst="rect">
          <a:avLst/>
        </a:prstGeom>
      </xdr:spPr>
    </xdr:pic>
  </etc:cellImage>
  <etc:cellImage>
    <xdr:pic>
      <xdr:nvPicPr>
        <xdr:cNvPr id="113" name="ID_B5A22AD49AA34AB39873D4E6BB0BA4D0"/>
        <xdr:cNvPicPr>
          <a:picLocks noChangeAspect="1"/>
        </xdr:cNvPicPr>
      </xdr:nvPicPr>
      <xdr:blipFill>
        <a:blip r:embed="rId98" cstate="print"/>
        <a:stretch>
          <a:fillRect/>
        </a:stretch>
      </xdr:blipFill>
      <xdr:spPr>
        <a:xfrm>
          <a:off x="191770" y="34220150"/>
          <a:ext cx="236855" cy="225425"/>
        </a:xfrm>
        <a:prstGeom prst="rect">
          <a:avLst/>
        </a:prstGeom>
      </xdr:spPr>
    </xdr:pic>
  </etc:cellImage>
  <etc:cellImage>
    <xdr:pic>
      <xdr:nvPicPr>
        <xdr:cNvPr id="114" name="ID_DFBCB95530A0409EA777C6A7D1A9A4FC"/>
        <xdr:cNvPicPr>
          <a:picLocks noChangeAspect="1"/>
        </xdr:cNvPicPr>
      </xdr:nvPicPr>
      <xdr:blipFill>
        <a:blip r:embed="rId99" cstate="print"/>
        <a:stretch>
          <a:fillRect/>
        </a:stretch>
      </xdr:blipFill>
      <xdr:spPr>
        <a:xfrm>
          <a:off x="191770" y="34524950"/>
          <a:ext cx="236855" cy="225425"/>
        </a:xfrm>
        <a:prstGeom prst="rect">
          <a:avLst/>
        </a:prstGeom>
      </xdr:spPr>
    </xdr:pic>
  </etc:cellImage>
  <etc:cellImage>
    <xdr:pic>
      <xdr:nvPicPr>
        <xdr:cNvPr id="115" name="ID_24344BA306204A4CB953CDE27DAA96A5"/>
        <xdr:cNvPicPr>
          <a:picLocks noChangeAspect="1"/>
        </xdr:cNvPicPr>
      </xdr:nvPicPr>
      <xdr:blipFill>
        <a:blip r:embed="rId100" cstate="print"/>
        <a:stretch>
          <a:fillRect/>
        </a:stretch>
      </xdr:blipFill>
      <xdr:spPr>
        <a:xfrm>
          <a:off x="191770" y="34829750"/>
          <a:ext cx="236855" cy="225425"/>
        </a:xfrm>
        <a:prstGeom prst="rect">
          <a:avLst/>
        </a:prstGeom>
      </xdr:spPr>
    </xdr:pic>
  </etc:cellImage>
  <etc:cellImage>
    <xdr:pic>
      <xdr:nvPicPr>
        <xdr:cNvPr id="37" name="ID_A7F8F51A10534987854CF1A454E11C96"/>
        <xdr:cNvPicPr>
          <a:picLocks noChangeAspect="1"/>
        </xdr:cNvPicPr>
      </xdr:nvPicPr>
      <xdr:blipFill>
        <a:blip r:embed="rId101" cstate="print"/>
        <a:stretch>
          <a:fillRect/>
        </a:stretch>
      </xdr:blipFill>
      <xdr:spPr>
        <a:xfrm>
          <a:off x="191770" y="3435350"/>
          <a:ext cx="236855" cy="225425"/>
        </a:xfrm>
        <a:prstGeom prst="rect">
          <a:avLst/>
        </a:prstGeom>
      </xdr:spPr>
    </xdr:pic>
  </etc:cellImage>
  <etc:cellImage>
    <xdr:pic>
      <xdr:nvPicPr>
        <xdr:cNvPr id="44" name="ID_5387F172C28449FC96FCFC30B369BE97"/>
        <xdr:cNvPicPr>
          <a:picLocks noChangeAspect="1"/>
        </xdr:cNvPicPr>
      </xdr:nvPicPr>
      <xdr:blipFill>
        <a:blip r:embed="rId102" cstate="print"/>
        <a:stretch>
          <a:fillRect/>
        </a:stretch>
      </xdr:blipFill>
      <xdr:spPr>
        <a:xfrm>
          <a:off x="191770" y="387350"/>
          <a:ext cx="236855" cy="225425"/>
        </a:xfrm>
        <a:prstGeom prst="rect">
          <a:avLst/>
        </a:prstGeom>
      </xdr:spPr>
    </xdr:pic>
  </etc:cellImage>
  <etc:cellImage>
    <xdr:pic>
      <xdr:nvPicPr>
        <xdr:cNvPr id="47" name="ID_75AD5F499C9B492DA7F773EDB062F024"/>
        <xdr:cNvPicPr>
          <a:picLocks noChangeAspect="1"/>
        </xdr:cNvPicPr>
      </xdr:nvPicPr>
      <xdr:blipFill>
        <a:blip r:embed="rId103" cstate="print"/>
        <a:stretch>
          <a:fillRect/>
        </a:stretch>
      </xdr:blipFill>
      <xdr:spPr>
        <a:xfrm>
          <a:off x="191770" y="692150"/>
          <a:ext cx="236855" cy="225425"/>
        </a:xfrm>
        <a:prstGeom prst="rect">
          <a:avLst/>
        </a:prstGeom>
      </xdr:spPr>
    </xdr:pic>
  </etc:cellImage>
  <etc:cellImage>
    <xdr:pic>
      <xdr:nvPicPr>
        <xdr:cNvPr id="58" name="ID_E8CFF1A99CE649A087CB8DA473D28C59"/>
        <xdr:cNvPicPr>
          <a:picLocks noChangeAspect="1"/>
        </xdr:cNvPicPr>
      </xdr:nvPicPr>
      <xdr:blipFill>
        <a:blip r:embed="rId104" cstate="print"/>
        <a:stretch>
          <a:fillRect/>
        </a:stretch>
      </xdr:blipFill>
      <xdr:spPr>
        <a:xfrm>
          <a:off x="191770" y="996950"/>
          <a:ext cx="236855" cy="225425"/>
        </a:xfrm>
        <a:prstGeom prst="rect">
          <a:avLst/>
        </a:prstGeom>
      </xdr:spPr>
    </xdr:pic>
  </etc:cellImage>
  <etc:cellImage>
    <xdr:pic>
      <xdr:nvPicPr>
        <xdr:cNvPr id="61" name="ID_E0042EC315614AF191D8F8C0E9047D22"/>
        <xdr:cNvPicPr>
          <a:picLocks noChangeAspect="1"/>
        </xdr:cNvPicPr>
      </xdr:nvPicPr>
      <xdr:blipFill>
        <a:blip r:embed="rId105" cstate="print"/>
        <a:stretch>
          <a:fillRect/>
        </a:stretch>
      </xdr:blipFill>
      <xdr:spPr>
        <a:xfrm>
          <a:off x="191770" y="1301750"/>
          <a:ext cx="236855" cy="225425"/>
        </a:xfrm>
        <a:prstGeom prst="rect">
          <a:avLst/>
        </a:prstGeom>
      </xdr:spPr>
    </xdr:pic>
  </etc:cellImage>
  <etc:cellImage>
    <xdr:pic>
      <xdr:nvPicPr>
        <xdr:cNvPr id="63" name="ID_84785EAE6D944AD2A77DA44F13A2F6D5"/>
        <xdr:cNvPicPr>
          <a:picLocks noChangeAspect="1"/>
        </xdr:cNvPicPr>
      </xdr:nvPicPr>
      <xdr:blipFill>
        <a:blip r:embed="rId106" cstate="print"/>
        <a:stretch>
          <a:fillRect/>
        </a:stretch>
      </xdr:blipFill>
      <xdr:spPr>
        <a:xfrm>
          <a:off x="191770" y="1606550"/>
          <a:ext cx="236855" cy="225425"/>
        </a:xfrm>
        <a:prstGeom prst="rect">
          <a:avLst/>
        </a:prstGeom>
      </xdr:spPr>
    </xdr:pic>
  </etc:cellImage>
  <etc:cellImage>
    <xdr:pic>
      <xdr:nvPicPr>
        <xdr:cNvPr id="64" name="ID_62D2E7723F3146E2AE3C2BD80A11DB11"/>
        <xdr:cNvPicPr>
          <a:picLocks noChangeAspect="1"/>
        </xdr:cNvPicPr>
      </xdr:nvPicPr>
      <xdr:blipFill>
        <a:blip r:embed="rId107" cstate="print"/>
        <a:stretch>
          <a:fillRect/>
        </a:stretch>
      </xdr:blipFill>
      <xdr:spPr>
        <a:xfrm>
          <a:off x="191770" y="1911350"/>
          <a:ext cx="236855" cy="225425"/>
        </a:xfrm>
        <a:prstGeom prst="rect">
          <a:avLst/>
        </a:prstGeom>
      </xdr:spPr>
    </xdr:pic>
  </etc:cellImage>
  <etc:cellImage>
    <xdr:pic>
      <xdr:nvPicPr>
        <xdr:cNvPr id="65" name="ID_189BF3705A204215A7807577DB9DA279"/>
        <xdr:cNvPicPr>
          <a:picLocks noChangeAspect="1"/>
        </xdr:cNvPicPr>
      </xdr:nvPicPr>
      <xdr:blipFill>
        <a:blip r:embed="rId108" cstate="print"/>
        <a:stretch>
          <a:fillRect/>
        </a:stretch>
      </xdr:blipFill>
      <xdr:spPr>
        <a:xfrm>
          <a:off x="191770" y="2216150"/>
          <a:ext cx="236855" cy="225425"/>
        </a:xfrm>
        <a:prstGeom prst="rect">
          <a:avLst/>
        </a:prstGeom>
      </xdr:spPr>
    </xdr:pic>
  </etc:cellImage>
  <etc:cellImage>
    <xdr:pic>
      <xdr:nvPicPr>
        <xdr:cNvPr id="68" name="ID_1AA1E0BA22014B7F908440A83DAE9ABB"/>
        <xdr:cNvPicPr>
          <a:picLocks noChangeAspect="1"/>
        </xdr:cNvPicPr>
      </xdr:nvPicPr>
      <xdr:blipFill>
        <a:blip r:embed="rId109" cstate="print"/>
        <a:stretch>
          <a:fillRect/>
        </a:stretch>
      </xdr:blipFill>
      <xdr:spPr>
        <a:xfrm>
          <a:off x="191770" y="2520950"/>
          <a:ext cx="236855" cy="225425"/>
        </a:xfrm>
        <a:prstGeom prst="rect">
          <a:avLst/>
        </a:prstGeom>
      </xdr:spPr>
    </xdr:pic>
  </etc:cellImage>
  <etc:cellImage>
    <xdr:pic>
      <xdr:nvPicPr>
        <xdr:cNvPr id="69" name="ID_D910BB3B811C4F3199B957CA475A971D"/>
        <xdr:cNvPicPr>
          <a:picLocks noChangeAspect="1"/>
        </xdr:cNvPicPr>
      </xdr:nvPicPr>
      <xdr:blipFill>
        <a:blip r:embed="rId110" cstate="print"/>
        <a:stretch>
          <a:fillRect/>
        </a:stretch>
      </xdr:blipFill>
      <xdr:spPr>
        <a:xfrm>
          <a:off x="191770" y="2825750"/>
          <a:ext cx="236855" cy="225425"/>
        </a:xfrm>
        <a:prstGeom prst="rect">
          <a:avLst/>
        </a:prstGeom>
      </xdr:spPr>
    </xdr:pic>
  </etc:cellImage>
  <etc:cellImage>
    <xdr:pic>
      <xdr:nvPicPr>
        <xdr:cNvPr id="81" name="ID_2AE308B8B7EB45C084150A183E309696"/>
        <xdr:cNvPicPr>
          <a:picLocks noChangeAspect="1"/>
        </xdr:cNvPicPr>
      </xdr:nvPicPr>
      <xdr:blipFill>
        <a:blip r:embed="rId111" cstate="print"/>
        <a:stretch>
          <a:fillRect/>
        </a:stretch>
      </xdr:blipFill>
      <xdr:spPr>
        <a:xfrm>
          <a:off x="191770" y="3130550"/>
          <a:ext cx="236855" cy="225425"/>
        </a:xfrm>
        <a:prstGeom prst="rect">
          <a:avLst/>
        </a:prstGeom>
      </xdr:spPr>
    </xdr:pic>
  </etc:cellImage>
  <etc:cellImage>
    <xdr:pic>
      <xdr:nvPicPr>
        <xdr:cNvPr id="99" name="ID_DDCB23C25A7F49C2A753D262C2F1EAC9"/>
        <xdr:cNvPicPr>
          <a:picLocks noChangeAspect="1"/>
        </xdr:cNvPicPr>
      </xdr:nvPicPr>
      <xdr:blipFill>
        <a:blip r:embed="rId112" cstate="print"/>
        <a:stretch>
          <a:fillRect/>
        </a:stretch>
      </xdr:blipFill>
      <xdr:spPr>
        <a:xfrm>
          <a:off x="191770" y="3740150"/>
          <a:ext cx="236855" cy="225425"/>
        </a:xfrm>
        <a:prstGeom prst="rect">
          <a:avLst/>
        </a:prstGeom>
      </xdr:spPr>
    </xdr:pic>
  </etc:cellImage>
  <etc:cellImage>
    <xdr:pic>
      <xdr:nvPicPr>
        <xdr:cNvPr id="101" name="ID_652E86B09DE54F269C604393BC9B4E29"/>
        <xdr:cNvPicPr>
          <a:picLocks noChangeAspect="1"/>
        </xdr:cNvPicPr>
      </xdr:nvPicPr>
      <xdr:blipFill>
        <a:blip r:embed="rId113" cstate="print"/>
        <a:stretch>
          <a:fillRect/>
        </a:stretch>
      </xdr:blipFill>
      <xdr:spPr>
        <a:xfrm>
          <a:off x="191770" y="4044950"/>
          <a:ext cx="236855" cy="225425"/>
        </a:xfrm>
        <a:prstGeom prst="rect">
          <a:avLst/>
        </a:prstGeom>
      </xdr:spPr>
    </xdr:pic>
  </etc:cellImage>
  <etc:cellImage>
    <xdr:pic>
      <xdr:nvPicPr>
        <xdr:cNvPr id="110" name="ID_A37A369E939044B69BDC690C0BE2D4F1"/>
        <xdr:cNvPicPr>
          <a:picLocks noChangeAspect="1"/>
        </xdr:cNvPicPr>
      </xdr:nvPicPr>
      <xdr:blipFill>
        <a:blip r:embed="rId114" cstate="print"/>
        <a:stretch>
          <a:fillRect/>
        </a:stretch>
      </xdr:blipFill>
      <xdr:spPr>
        <a:xfrm>
          <a:off x="191770" y="4349750"/>
          <a:ext cx="236855" cy="225425"/>
        </a:xfrm>
        <a:prstGeom prst="rect">
          <a:avLst/>
        </a:prstGeom>
      </xdr:spPr>
    </xdr:pic>
  </etc:cellImage>
  <etc:cellImage>
    <xdr:pic>
      <xdr:nvPicPr>
        <xdr:cNvPr id="116" name="ID_A424EA98A20943BB9B4A97BF96D50B26"/>
        <xdr:cNvPicPr>
          <a:picLocks noChangeAspect="1"/>
        </xdr:cNvPicPr>
      </xdr:nvPicPr>
      <xdr:blipFill>
        <a:blip r:embed="rId115" cstate="print"/>
        <a:stretch>
          <a:fillRect/>
        </a:stretch>
      </xdr:blipFill>
      <xdr:spPr>
        <a:xfrm>
          <a:off x="191770" y="4654550"/>
          <a:ext cx="236855" cy="225425"/>
        </a:xfrm>
        <a:prstGeom prst="rect">
          <a:avLst/>
        </a:prstGeom>
      </xdr:spPr>
    </xdr:pic>
  </etc:cellImage>
  <etc:cellImage>
    <xdr:pic>
      <xdr:nvPicPr>
        <xdr:cNvPr id="117" name="ID_AB374FBA98F04975B520C6B84D8E6772"/>
        <xdr:cNvPicPr>
          <a:picLocks noChangeAspect="1"/>
        </xdr:cNvPicPr>
      </xdr:nvPicPr>
      <xdr:blipFill>
        <a:blip r:embed="rId116" cstate="print"/>
        <a:stretch>
          <a:fillRect/>
        </a:stretch>
      </xdr:blipFill>
      <xdr:spPr>
        <a:xfrm>
          <a:off x="191770" y="4959350"/>
          <a:ext cx="236855" cy="225425"/>
        </a:xfrm>
        <a:prstGeom prst="rect">
          <a:avLst/>
        </a:prstGeom>
      </xdr:spPr>
    </xdr:pic>
  </etc:cellImage>
  <etc:cellImage>
    <xdr:pic>
      <xdr:nvPicPr>
        <xdr:cNvPr id="118" name="ID_2475BE765A434A1EAD7F5B27A7AE0E18"/>
        <xdr:cNvPicPr>
          <a:picLocks noChangeAspect="1"/>
        </xdr:cNvPicPr>
      </xdr:nvPicPr>
      <xdr:blipFill>
        <a:blip r:embed="rId117" cstate="print"/>
        <a:stretch>
          <a:fillRect/>
        </a:stretch>
      </xdr:blipFill>
      <xdr:spPr>
        <a:xfrm>
          <a:off x="191770" y="5264150"/>
          <a:ext cx="236855" cy="225425"/>
        </a:xfrm>
        <a:prstGeom prst="rect">
          <a:avLst/>
        </a:prstGeom>
      </xdr:spPr>
    </xdr:pic>
  </etc:cellImage>
  <etc:cellImage>
    <xdr:pic>
      <xdr:nvPicPr>
        <xdr:cNvPr id="119" name="ID_BE519968817F4152A2FF519A5D9E46A5"/>
        <xdr:cNvPicPr>
          <a:picLocks noChangeAspect="1"/>
        </xdr:cNvPicPr>
      </xdr:nvPicPr>
      <xdr:blipFill>
        <a:blip r:embed="rId118" cstate="print"/>
        <a:stretch>
          <a:fillRect/>
        </a:stretch>
      </xdr:blipFill>
      <xdr:spPr>
        <a:xfrm>
          <a:off x="191770" y="5568950"/>
          <a:ext cx="236855" cy="225425"/>
        </a:xfrm>
        <a:prstGeom prst="rect">
          <a:avLst/>
        </a:prstGeom>
      </xdr:spPr>
    </xdr:pic>
  </etc:cellImage>
  <etc:cellImage>
    <xdr:pic>
      <xdr:nvPicPr>
        <xdr:cNvPr id="120" name="ID_A049CCC610ED4E3DAAD0CAAAB174D02D"/>
        <xdr:cNvPicPr>
          <a:picLocks noChangeAspect="1"/>
        </xdr:cNvPicPr>
      </xdr:nvPicPr>
      <xdr:blipFill>
        <a:blip r:embed="rId119" cstate="print"/>
        <a:stretch>
          <a:fillRect/>
        </a:stretch>
      </xdr:blipFill>
      <xdr:spPr>
        <a:xfrm>
          <a:off x="191770" y="5873750"/>
          <a:ext cx="236855" cy="225425"/>
        </a:xfrm>
        <a:prstGeom prst="rect">
          <a:avLst/>
        </a:prstGeom>
      </xdr:spPr>
    </xdr:pic>
  </etc:cellImage>
  <etc:cellImage>
    <xdr:pic>
      <xdr:nvPicPr>
        <xdr:cNvPr id="121" name="ID_C95ED275B607438A8AE4396126F33619"/>
        <xdr:cNvPicPr>
          <a:picLocks noChangeAspect="1"/>
        </xdr:cNvPicPr>
      </xdr:nvPicPr>
      <xdr:blipFill>
        <a:blip r:embed="rId120" cstate="print"/>
        <a:stretch>
          <a:fillRect/>
        </a:stretch>
      </xdr:blipFill>
      <xdr:spPr>
        <a:xfrm>
          <a:off x="191770" y="6178550"/>
          <a:ext cx="236855" cy="225425"/>
        </a:xfrm>
        <a:prstGeom prst="rect">
          <a:avLst/>
        </a:prstGeom>
      </xdr:spPr>
    </xdr:pic>
  </etc:cellImage>
  <etc:cellImage>
    <xdr:pic>
      <xdr:nvPicPr>
        <xdr:cNvPr id="122" name="ID_12C91583ABA24F90A9405B266086B9F0"/>
        <xdr:cNvPicPr>
          <a:picLocks noChangeAspect="1"/>
        </xdr:cNvPicPr>
      </xdr:nvPicPr>
      <xdr:blipFill>
        <a:blip r:embed="rId121" cstate="print"/>
        <a:stretch>
          <a:fillRect/>
        </a:stretch>
      </xdr:blipFill>
      <xdr:spPr>
        <a:xfrm>
          <a:off x="191770" y="6483350"/>
          <a:ext cx="236855" cy="225425"/>
        </a:xfrm>
        <a:prstGeom prst="rect">
          <a:avLst/>
        </a:prstGeom>
      </xdr:spPr>
    </xdr:pic>
  </etc:cellImage>
  <etc:cellImage>
    <xdr:pic>
      <xdr:nvPicPr>
        <xdr:cNvPr id="123" name="ID_8E1A98F4D5F44828B92C7B8D8A78F98B"/>
        <xdr:cNvPicPr>
          <a:picLocks noChangeAspect="1"/>
        </xdr:cNvPicPr>
      </xdr:nvPicPr>
      <xdr:blipFill>
        <a:blip r:embed="rId122" cstate="print"/>
        <a:stretch>
          <a:fillRect/>
        </a:stretch>
      </xdr:blipFill>
      <xdr:spPr>
        <a:xfrm>
          <a:off x="191770" y="6788150"/>
          <a:ext cx="236855" cy="225425"/>
        </a:xfrm>
        <a:prstGeom prst="rect">
          <a:avLst/>
        </a:prstGeom>
      </xdr:spPr>
    </xdr:pic>
  </etc:cellImage>
  <etc:cellImage>
    <xdr:pic>
      <xdr:nvPicPr>
        <xdr:cNvPr id="124" name="ID_E107A986F7944704A1ACA09B647D27E6"/>
        <xdr:cNvPicPr>
          <a:picLocks noChangeAspect="1"/>
        </xdr:cNvPicPr>
      </xdr:nvPicPr>
      <xdr:blipFill>
        <a:blip r:embed="rId123" cstate="print"/>
        <a:stretch>
          <a:fillRect/>
        </a:stretch>
      </xdr:blipFill>
      <xdr:spPr>
        <a:xfrm>
          <a:off x="191770" y="7092950"/>
          <a:ext cx="236855" cy="225425"/>
        </a:xfrm>
        <a:prstGeom prst="rect">
          <a:avLst/>
        </a:prstGeom>
      </xdr:spPr>
    </xdr:pic>
  </etc:cellImage>
  <etc:cellImage>
    <xdr:pic>
      <xdr:nvPicPr>
        <xdr:cNvPr id="125" name="ID_F1A68AA8A50E47E1B6FDFF36654E882D"/>
        <xdr:cNvPicPr>
          <a:picLocks noChangeAspect="1"/>
        </xdr:cNvPicPr>
      </xdr:nvPicPr>
      <xdr:blipFill>
        <a:blip r:embed="rId124" cstate="print"/>
        <a:stretch>
          <a:fillRect/>
        </a:stretch>
      </xdr:blipFill>
      <xdr:spPr>
        <a:xfrm>
          <a:off x="191770" y="7397750"/>
          <a:ext cx="236855" cy="225425"/>
        </a:xfrm>
        <a:prstGeom prst="rect">
          <a:avLst/>
        </a:prstGeom>
      </xdr:spPr>
    </xdr:pic>
  </etc:cellImage>
  <etc:cellImage>
    <xdr:pic>
      <xdr:nvPicPr>
        <xdr:cNvPr id="126" name="ID_5A6D74BC349B428F969470C4D51507BD"/>
        <xdr:cNvPicPr>
          <a:picLocks noChangeAspect="1"/>
        </xdr:cNvPicPr>
      </xdr:nvPicPr>
      <xdr:blipFill>
        <a:blip r:embed="rId125" cstate="print"/>
        <a:stretch>
          <a:fillRect/>
        </a:stretch>
      </xdr:blipFill>
      <xdr:spPr>
        <a:xfrm>
          <a:off x="191770" y="7702550"/>
          <a:ext cx="236855" cy="225425"/>
        </a:xfrm>
        <a:prstGeom prst="rect">
          <a:avLst/>
        </a:prstGeom>
      </xdr:spPr>
    </xdr:pic>
  </etc:cellImage>
  <etc:cellImage>
    <xdr:pic>
      <xdr:nvPicPr>
        <xdr:cNvPr id="127" name="ID_CA62E71B40FF451CA5A51F2AC31BF8DA"/>
        <xdr:cNvPicPr>
          <a:picLocks noChangeAspect="1"/>
        </xdr:cNvPicPr>
      </xdr:nvPicPr>
      <xdr:blipFill>
        <a:blip r:embed="rId126" cstate="print"/>
        <a:stretch>
          <a:fillRect/>
        </a:stretch>
      </xdr:blipFill>
      <xdr:spPr>
        <a:xfrm>
          <a:off x="191770" y="8007350"/>
          <a:ext cx="236855" cy="225425"/>
        </a:xfrm>
        <a:prstGeom prst="rect">
          <a:avLst/>
        </a:prstGeom>
      </xdr:spPr>
    </xdr:pic>
  </etc:cellImage>
  <etc:cellImage>
    <xdr:pic>
      <xdr:nvPicPr>
        <xdr:cNvPr id="128" name="ID_84595990F0774494850004227C533CF4"/>
        <xdr:cNvPicPr>
          <a:picLocks noChangeAspect="1"/>
        </xdr:cNvPicPr>
      </xdr:nvPicPr>
      <xdr:blipFill>
        <a:blip r:embed="rId127" cstate="print"/>
        <a:stretch>
          <a:fillRect/>
        </a:stretch>
      </xdr:blipFill>
      <xdr:spPr>
        <a:xfrm>
          <a:off x="191770" y="8312150"/>
          <a:ext cx="236855" cy="225425"/>
        </a:xfrm>
        <a:prstGeom prst="rect">
          <a:avLst/>
        </a:prstGeom>
      </xdr:spPr>
    </xdr:pic>
  </etc:cellImage>
  <etc:cellImage>
    <xdr:pic>
      <xdr:nvPicPr>
        <xdr:cNvPr id="129" name="ID_6495DB8D9C2D4C8AAAFA92C3685FA407"/>
        <xdr:cNvPicPr>
          <a:picLocks noChangeAspect="1"/>
        </xdr:cNvPicPr>
      </xdr:nvPicPr>
      <xdr:blipFill>
        <a:blip r:embed="rId128" cstate="print"/>
        <a:stretch>
          <a:fillRect/>
        </a:stretch>
      </xdr:blipFill>
      <xdr:spPr>
        <a:xfrm>
          <a:off x="191770" y="8616950"/>
          <a:ext cx="236855" cy="225425"/>
        </a:xfrm>
        <a:prstGeom prst="rect">
          <a:avLst/>
        </a:prstGeom>
      </xdr:spPr>
    </xdr:pic>
  </etc:cellImage>
  <etc:cellImage>
    <xdr:pic>
      <xdr:nvPicPr>
        <xdr:cNvPr id="130" name="ID_76CE82C28D2748DB8E80EA1A67CD6481"/>
        <xdr:cNvPicPr>
          <a:picLocks noChangeAspect="1"/>
        </xdr:cNvPicPr>
      </xdr:nvPicPr>
      <xdr:blipFill>
        <a:blip r:embed="rId129" cstate="print"/>
        <a:stretch>
          <a:fillRect/>
        </a:stretch>
      </xdr:blipFill>
      <xdr:spPr>
        <a:xfrm>
          <a:off x="191770" y="8921750"/>
          <a:ext cx="236855" cy="225425"/>
        </a:xfrm>
        <a:prstGeom prst="rect">
          <a:avLst/>
        </a:prstGeom>
      </xdr:spPr>
    </xdr:pic>
  </etc:cellImage>
  <etc:cellImage>
    <xdr:pic>
      <xdr:nvPicPr>
        <xdr:cNvPr id="131" name="ID_B7DE22B4068F4B718C62056E21A1AC57"/>
        <xdr:cNvPicPr>
          <a:picLocks noChangeAspect="1"/>
        </xdr:cNvPicPr>
      </xdr:nvPicPr>
      <xdr:blipFill>
        <a:blip r:embed="rId130" cstate="print"/>
        <a:stretch>
          <a:fillRect/>
        </a:stretch>
      </xdr:blipFill>
      <xdr:spPr>
        <a:xfrm>
          <a:off x="191770" y="9226550"/>
          <a:ext cx="236855" cy="225425"/>
        </a:xfrm>
        <a:prstGeom prst="rect">
          <a:avLst/>
        </a:prstGeom>
      </xdr:spPr>
    </xdr:pic>
  </etc:cellImage>
  <etc:cellImage>
    <xdr:pic>
      <xdr:nvPicPr>
        <xdr:cNvPr id="132" name="ID_3CFE1597BEC64DDE906D8E0B2B102CC4"/>
        <xdr:cNvPicPr>
          <a:picLocks noChangeAspect="1"/>
        </xdr:cNvPicPr>
      </xdr:nvPicPr>
      <xdr:blipFill>
        <a:blip r:embed="rId131" cstate="print"/>
        <a:stretch>
          <a:fillRect/>
        </a:stretch>
      </xdr:blipFill>
      <xdr:spPr>
        <a:xfrm>
          <a:off x="191770" y="9531350"/>
          <a:ext cx="236855" cy="225425"/>
        </a:xfrm>
        <a:prstGeom prst="rect">
          <a:avLst/>
        </a:prstGeom>
      </xdr:spPr>
    </xdr:pic>
  </etc:cellImage>
  <etc:cellImage>
    <xdr:pic>
      <xdr:nvPicPr>
        <xdr:cNvPr id="133" name="ID_154BD5E540CD4C77894C67AD9E2C537D"/>
        <xdr:cNvPicPr>
          <a:picLocks noChangeAspect="1"/>
        </xdr:cNvPicPr>
      </xdr:nvPicPr>
      <xdr:blipFill>
        <a:blip r:embed="rId132" cstate="print"/>
        <a:stretch>
          <a:fillRect/>
        </a:stretch>
      </xdr:blipFill>
      <xdr:spPr>
        <a:xfrm>
          <a:off x="191770" y="9836150"/>
          <a:ext cx="236855" cy="225425"/>
        </a:xfrm>
        <a:prstGeom prst="rect">
          <a:avLst/>
        </a:prstGeom>
      </xdr:spPr>
    </xdr:pic>
  </etc:cellImage>
  <etc:cellImage>
    <xdr:pic>
      <xdr:nvPicPr>
        <xdr:cNvPr id="134" name="ID_22F038971AD543C19A2991C64F3C8943"/>
        <xdr:cNvPicPr>
          <a:picLocks noChangeAspect="1"/>
        </xdr:cNvPicPr>
      </xdr:nvPicPr>
      <xdr:blipFill>
        <a:blip r:embed="rId133" cstate="print"/>
        <a:stretch>
          <a:fillRect/>
        </a:stretch>
      </xdr:blipFill>
      <xdr:spPr>
        <a:xfrm>
          <a:off x="191770" y="10140950"/>
          <a:ext cx="236855" cy="225425"/>
        </a:xfrm>
        <a:prstGeom prst="rect">
          <a:avLst/>
        </a:prstGeom>
      </xdr:spPr>
    </xdr:pic>
  </etc:cellImage>
  <etc:cellImage>
    <xdr:pic>
      <xdr:nvPicPr>
        <xdr:cNvPr id="135" name="ID_0BE943CE197341429261C8BCA22F71E6"/>
        <xdr:cNvPicPr>
          <a:picLocks noChangeAspect="1"/>
        </xdr:cNvPicPr>
      </xdr:nvPicPr>
      <xdr:blipFill>
        <a:blip r:embed="rId134" cstate="print"/>
        <a:stretch>
          <a:fillRect/>
        </a:stretch>
      </xdr:blipFill>
      <xdr:spPr>
        <a:xfrm>
          <a:off x="191770" y="10445750"/>
          <a:ext cx="236855" cy="225425"/>
        </a:xfrm>
        <a:prstGeom prst="rect">
          <a:avLst/>
        </a:prstGeom>
      </xdr:spPr>
    </xdr:pic>
  </etc:cellImage>
  <etc:cellImage>
    <xdr:pic>
      <xdr:nvPicPr>
        <xdr:cNvPr id="136" name="ID_B094292DD34345849512CCC3C4893BA8"/>
        <xdr:cNvPicPr>
          <a:picLocks noChangeAspect="1"/>
        </xdr:cNvPicPr>
      </xdr:nvPicPr>
      <xdr:blipFill>
        <a:blip r:embed="rId135" cstate="print"/>
        <a:stretch>
          <a:fillRect/>
        </a:stretch>
      </xdr:blipFill>
      <xdr:spPr>
        <a:xfrm>
          <a:off x="191770" y="10750550"/>
          <a:ext cx="236855" cy="225425"/>
        </a:xfrm>
        <a:prstGeom prst="rect">
          <a:avLst/>
        </a:prstGeom>
      </xdr:spPr>
    </xdr:pic>
  </etc:cellImage>
  <etc:cellImage>
    <xdr:pic>
      <xdr:nvPicPr>
        <xdr:cNvPr id="137" name="ID_BFFAC29FD7F34498B28187A7FC1C21F4"/>
        <xdr:cNvPicPr>
          <a:picLocks noChangeAspect="1"/>
        </xdr:cNvPicPr>
      </xdr:nvPicPr>
      <xdr:blipFill>
        <a:blip r:embed="rId136" cstate="print"/>
        <a:stretch>
          <a:fillRect/>
        </a:stretch>
      </xdr:blipFill>
      <xdr:spPr>
        <a:xfrm>
          <a:off x="191770" y="11055350"/>
          <a:ext cx="236855" cy="225425"/>
        </a:xfrm>
        <a:prstGeom prst="rect">
          <a:avLst/>
        </a:prstGeom>
      </xdr:spPr>
    </xdr:pic>
  </etc:cellImage>
  <etc:cellImage>
    <xdr:pic>
      <xdr:nvPicPr>
        <xdr:cNvPr id="138" name="ID_29F8F6DDE3104DD8A6ADE88647593ADA"/>
        <xdr:cNvPicPr>
          <a:picLocks noChangeAspect="1"/>
        </xdr:cNvPicPr>
      </xdr:nvPicPr>
      <xdr:blipFill>
        <a:blip r:embed="rId137" cstate="print"/>
        <a:stretch>
          <a:fillRect/>
        </a:stretch>
      </xdr:blipFill>
      <xdr:spPr>
        <a:xfrm>
          <a:off x="191770" y="11360150"/>
          <a:ext cx="236855" cy="225425"/>
        </a:xfrm>
        <a:prstGeom prst="rect">
          <a:avLst/>
        </a:prstGeom>
      </xdr:spPr>
    </xdr:pic>
  </etc:cellImage>
  <etc:cellImage>
    <xdr:pic>
      <xdr:nvPicPr>
        <xdr:cNvPr id="139" name="ID_344F6237E5E0403F94FB08BFB091A0BE"/>
        <xdr:cNvPicPr>
          <a:picLocks noChangeAspect="1"/>
        </xdr:cNvPicPr>
      </xdr:nvPicPr>
      <xdr:blipFill>
        <a:blip r:embed="rId138" cstate="print"/>
        <a:stretch>
          <a:fillRect/>
        </a:stretch>
      </xdr:blipFill>
      <xdr:spPr>
        <a:xfrm>
          <a:off x="191770" y="11664950"/>
          <a:ext cx="236855" cy="225425"/>
        </a:xfrm>
        <a:prstGeom prst="rect">
          <a:avLst/>
        </a:prstGeom>
      </xdr:spPr>
    </xdr:pic>
  </etc:cellImage>
  <etc:cellImage>
    <xdr:pic>
      <xdr:nvPicPr>
        <xdr:cNvPr id="140" name="ID_8EC6E93DDB2345638413D6BBB61635A8"/>
        <xdr:cNvPicPr>
          <a:picLocks noChangeAspect="1"/>
        </xdr:cNvPicPr>
      </xdr:nvPicPr>
      <xdr:blipFill>
        <a:blip r:embed="rId139" cstate="print"/>
        <a:stretch>
          <a:fillRect/>
        </a:stretch>
      </xdr:blipFill>
      <xdr:spPr>
        <a:xfrm>
          <a:off x="191770" y="11969750"/>
          <a:ext cx="236855" cy="225425"/>
        </a:xfrm>
        <a:prstGeom prst="rect">
          <a:avLst/>
        </a:prstGeom>
      </xdr:spPr>
    </xdr:pic>
  </etc:cellImage>
  <etc:cellImage>
    <xdr:pic>
      <xdr:nvPicPr>
        <xdr:cNvPr id="141" name="ID_3C111418E2164A4AB709FFA5C8CD8AA5"/>
        <xdr:cNvPicPr>
          <a:picLocks noChangeAspect="1"/>
        </xdr:cNvPicPr>
      </xdr:nvPicPr>
      <xdr:blipFill>
        <a:blip r:embed="rId140" cstate="print"/>
        <a:stretch>
          <a:fillRect/>
        </a:stretch>
      </xdr:blipFill>
      <xdr:spPr>
        <a:xfrm>
          <a:off x="191770" y="12274550"/>
          <a:ext cx="236855" cy="225425"/>
        </a:xfrm>
        <a:prstGeom prst="rect">
          <a:avLst/>
        </a:prstGeom>
      </xdr:spPr>
    </xdr:pic>
  </etc:cellImage>
  <etc:cellImage>
    <xdr:pic>
      <xdr:nvPicPr>
        <xdr:cNvPr id="142" name="ID_E2D0B4512CE342B1B6CD48AFDB5573B3"/>
        <xdr:cNvPicPr>
          <a:picLocks noChangeAspect="1"/>
        </xdr:cNvPicPr>
      </xdr:nvPicPr>
      <xdr:blipFill>
        <a:blip r:embed="rId141" cstate="print"/>
        <a:stretch>
          <a:fillRect/>
        </a:stretch>
      </xdr:blipFill>
      <xdr:spPr>
        <a:xfrm>
          <a:off x="191770" y="12579350"/>
          <a:ext cx="236855" cy="225425"/>
        </a:xfrm>
        <a:prstGeom prst="rect">
          <a:avLst/>
        </a:prstGeom>
      </xdr:spPr>
    </xdr:pic>
  </etc:cellImage>
  <etc:cellImage>
    <xdr:pic>
      <xdr:nvPicPr>
        <xdr:cNvPr id="143" name="ID_817213682FE74CFEB2AEEF468F95E630"/>
        <xdr:cNvPicPr>
          <a:picLocks noChangeAspect="1"/>
        </xdr:cNvPicPr>
      </xdr:nvPicPr>
      <xdr:blipFill>
        <a:blip r:embed="rId142" cstate="print"/>
        <a:stretch>
          <a:fillRect/>
        </a:stretch>
      </xdr:blipFill>
      <xdr:spPr>
        <a:xfrm>
          <a:off x="191770" y="12884150"/>
          <a:ext cx="236855" cy="225425"/>
        </a:xfrm>
        <a:prstGeom prst="rect">
          <a:avLst/>
        </a:prstGeom>
      </xdr:spPr>
    </xdr:pic>
  </etc:cellImage>
  <etc:cellImage>
    <xdr:pic>
      <xdr:nvPicPr>
        <xdr:cNvPr id="144" name="ID_42CA2F03F8A54177BB19EC116D1D16BF"/>
        <xdr:cNvPicPr>
          <a:picLocks noChangeAspect="1"/>
        </xdr:cNvPicPr>
      </xdr:nvPicPr>
      <xdr:blipFill>
        <a:blip r:embed="rId143" cstate="print"/>
        <a:stretch>
          <a:fillRect/>
        </a:stretch>
      </xdr:blipFill>
      <xdr:spPr>
        <a:xfrm>
          <a:off x="191770" y="13188950"/>
          <a:ext cx="236855" cy="225425"/>
        </a:xfrm>
        <a:prstGeom prst="rect">
          <a:avLst/>
        </a:prstGeom>
      </xdr:spPr>
    </xdr:pic>
  </etc:cellImage>
  <etc:cellImage>
    <xdr:pic>
      <xdr:nvPicPr>
        <xdr:cNvPr id="145" name="ID_45B439E593DA4407BF050693B6DB2D70"/>
        <xdr:cNvPicPr>
          <a:picLocks noChangeAspect="1"/>
        </xdr:cNvPicPr>
      </xdr:nvPicPr>
      <xdr:blipFill>
        <a:blip r:embed="rId144" cstate="print"/>
        <a:stretch>
          <a:fillRect/>
        </a:stretch>
      </xdr:blipFill>
      <xdr:spPr>
        <a:xfrm>
          <a:off x="191770" y="13493750"/>
          <a:ext cx="236855" cy="225425"/>
        </a:xfrm>
        <a:prstGeom prst="rect">
          <a:avLst/>
        </a:prstGeom>
      </xdr:spPr>
    </xdr:pic>
  </etc:cellImage>
  <etc:cellImage>
    <xdr:pic>
      <xdr:nvPicPr>
        <xdr:cNvPr id="146" name="ID_188BC6D014674152845E777E2F401738"/>
        <xdr:cNvPicPr>
          <a:picLocks noChangeAspect="1"/>
        </xdr:cNvPicPr>
      </xdr:nvPicPr>
      <xdr:blipFill>
        <a:blip r:embed="rId145" cstate="print"/>
        <a:stretch>
          <a:fillRect/>
        </a:stretch>
      </xdr:blipFill>
      <xdr:spPr>
        <a:xfrm>
          <a:off x="191770" y="13798550"/>
          <a:ext cx="236855" cy="225425"/>
        </a:xfrm>
        <a:prstGeom prst="rect">
          <a:avLst/>
        </a:prstGeom>
      </xdr:spPr>
    </xdr:pic>
  </etc:cellImage>
  <etc:cellImage>
    <xdr:pic>
      <xdr:nvPicPr>
        <xdr:cNvPr id="147" name="ID_61A34D134DF9487688DE93F07AB7DC2E"/>
        <xdr:cNvPicPr>
          <a:picLocks noChangeAspect="1"/>
        </xdr:cNvPicPr>
      </xdr:nvPicPr>
      <xdr:blipFill>
        <a:blip r:embed="rId146" cstate="print"/>
        <a:stretch>
          <a:fillRect/>
        </a:stretch>
      </xdr:blipFill>
      <xdr:spPr>
        <a:xfrm>
          <a:off x="191770" y="14103350"/>
          <a:ext cx="236855" cy="225425"/>
        </a:xfrm>
        <a:prstGeom prst="rect">
          <a:avLst/>
        </a:prstGeom>
      </xdr:spPr>
    </xdr:pic>
  </etc:cellImage>
  <etc:cellImage>
    <xdr:pic>
      <xdr:nvPicPr>
        <xdr:cNvPr id="148" name="ID_5DC55AC735BC445BA1F34315228E03E1"/>
        <xdr:cNvPicPr>
          <a:picLocks noChangeAspect="1"/>
        </xdr:cNvPicPr>
      </xdr:nvPicPr>
      <xdr:blipFill>
        <a:blip r:embed="rId147" cstate="print"/>
        <a:stretch>
          <a:fillRect/>
        </a:stretch>
      </xdr:blipFill>
      <xdr:spPr>
        <a:xfrm>
          <a:off x="191770" y="14408150"/>
          <a:ext cx="236855" cy="225425"/>
        </a:xfrm>
        <a:prstGeom prst="rect">
          <a:avLst/>
        </a:prstGeom>
      </xdr:spPr>
    </xdr:pic>
  </etc:cellImage>
  <etc:cellImage>
    <xdr:pic>
      <xdr:nvPicPr>
        <xdr:cNvPr id="149" name="ID_2FB8380878444791AF125DC468B4D0EC"/>
        <xdr:cNvPicPr>
          <a:picLocks noChangeAspect="1"/>
        </xdr:cNvPicPr>
      </xdr:nvPicPr>
      <xdr:blipFill>
        <a:blip r:embed="rId148" cstate="print"/>
        <a:stretch>
          <a:fillRect/>
        </a:stretch>
      </xdr:blipFill>
      <xdr:spPr>
        <a:xfrm>
          <a:off x="191770" y="14712950"/>
          <a:ext cx="236855" cy="225425"/>
        </a:xfrm>
        <a:prstGeom prst="rect">
          <a:avLst/>
        </a:prstGeom>
      </xdr:spPr>
    </xdr:pic>
  </etc:cellImage>
  <etc:cellImage>
    <xdr:pic>
      <xdr:nvPicPr>
        <xdr:cNvPr id="150" name="ID_23891904F078474C81C00D686A346A54"/>
        <xdr:cNvPicPr>
          <a:picLocks noChangeAspect="1"/>
        </xdr:cNvPicPr>
      </xdr:nvPicPr>
      <xdr:blipFill>
        <a:blip r:embed="rId149" cstate="print"/>
        <a:stretch>
          <a:fillRect/>
        </a:stretch>
      </xdr:blipFill>
      <xdr:spPr>
        <a:xfrm>
          <a:off x="191770" y="15017750"/>
          <a:ext cx="236855" cy="225425"/>
        </a:xfrm>
        <a:prstGeom prst="rect">
          <a:avLst/>
        </a:prstGeom>
      </xdr:spPr>
    </xdr:pic>
  </etc:cellImage>
  <etc:cellImage>
    <xdr:pic>
      <xdr:nvPicPr>
        <xdr:cNvPr id="151" name="ID_2D7ABBA942304E3797AAD3762A463621"/>
        <xdr:cNvPicPr>
          <a:picLocks noChangeAspect="1"/>
        </xdr:cNvPicPr>
      </xdr:nvPicPr>
      <xdr:blipFill>
        <a:blip r:embed="rId150" cstate="print"/>
        <a:stretch>
          <a:fillRect/>
        </a:stretch>
      </xdr:blipFill>
      <xdr:spPr>
        <a:xfrm>
          <a:off x="191770" y="15322550"/>
          <a:ext cx="236855" cy="225425"/>
        </a:xfrm>
        <a:prstGeom prst="rect">
          <a:avLst/>
        </a:prstGeom>
      </xdr:spPr>
    </xdr:pic>
  </etc:cellImage>
  <etc:cellImage>
    <xdr:pic>
      <xdr:nvPicPr>
        <xdr:cNvPr id="152" name="ID_D43F373397C640BDBD1C18103C022525"/>
        <xdr:cNvPicPr>
          <a:picLocks noChangeAspect="1"/>
        </xdr:cNvPicPr>
      </xdr:nvPicPr>
      <xdr:blipFill>
        <a:blip r:embed="rId151" cstate="print"/>
        <a:stretch>
          <a:fillRect/>
        </a:stretch>
      </xdr:blipFill>
      <xdr:spPr>
        <a:xfrm>
          <a:off x="191770" y="15627350"/>
          <a:ext cx="236855" cy="225425"/>
        </a:xfrm>
        <a:prstGeom prst="rect">
          <a:avLst/>
        </a:prstGeom>
      </xdr:spPr>
    </xdr:pic>
  </etc:cellImage>
  <etc:cellImage>
    <xdr:pic>
      <xdr:nvPicPr>
        <xdr:cNvPr id="153" name="ID_34C2525A37C649C9A5F3A2003581499A"/>
        <xdr:cNvPicPr>
          <a:picLocks noChangeAspect="1"/>
        </xdr:cNvPicPr>
      </xdr:nvPicPr>
      <xdr:blipFill>
        <a:blip r:embed="rId152" cstate="print"/>
        <a:stretch>
          <a:fillRect/>
        </a:stretch>
      </xdr:blipFill>
      <xdr:spPr>
        <a:xfrm>
          <a:off x="191770" y="15932150"/>
          <a:ext cx="236855" cy="225425"/>
        </a:xfrm>
        <a:prstGeom prst="rect">
          <a:avLst/>
        </a:prstGeom>
      </xdr:spPr>
    </xdr:pic>
  </etc:cellImage>
  <etc:cellImage>
    <xdr:pic>
      <xdr:nvPicPr>
        <xdr:cNvPr id="154" name="ID_E77E3D4445CC440AAD290F2B225FC854"/>
        <xdr:cNvPicPr>
          <a:picLocks noChangeAspect="1"/>
        </xdr:cNvPicPr>
      </xdr:nvPicPr>
      <xdr:blipFill>
        <a:blip r:embed="rId153" cstate="print"/>
        <a:stretch>
          <a:fillRect/>
        </a:stretch>
      </xdr:blipFill>
      <xdr:spPr>
        <a:xfrm>
          <a:off x="191770" y="16236950"/>
          <a:ext cx="236855" cy="225425"/>
        </a:xfrm>
        <a:prstGeom prst="rect">
          <a:avLst/>
        </a:prstGeom>
      </xdr:spPr>
    </xdr:pic>
  </etc:cellImage>
  <etc:cellImage>
    <xdr:pic>
      <xdr:nvPicPr>
        <xdr:cNvPr id="155" name="ID_92D6CEDD47AA4CB898E3450869F591E8"/>
        <xdr:cNvPicPr>
          <a:picLocks noChangeAspect="1"/>
        </xdr:cNvPicPr>
      </xdr:nvPicPr>
      <xdr:blipFill>
        <a:blip r:embed="rId154" cstate="print"/>
        <a:stretch>
          <a:fillRect/>
        </a:stretch>
      </xdr:blipFill>
      <xdr:spPr>
        <a:xfrm>
          <a:off x="191770" y="16846550"/>
          <a:ext cx="236855" cy="225425"/>
        </a:xfrm>
        <a:prstGeom prst="rect">
          <a:avLst/>
        </a:prstGeom>
      </xdr:spPr>
    </xdr:pic>
  </etc:cellImage>
  <etc:cellImage>
    <xdr:pic>
      <xdr:nvPicPr>
        <xdr:cNvPr id="156" name="ID_AE127C22EF4840058939BAB10AD61F78"/>
        <xdr:cNvPicPr>
          <a:picLocks noChangeAspect="1"/>
        </xdr:cNvPicPr>
      </xdr:nvPicPr>
      <xdr:blipFill>
        <a:blip r:embed="rId155" cstate="print"/>
        <a:stretch>
          <a:fillRect/>
        </a:stretch>
      </xdr:blipFill>
      <xdr:spPr>
        <a:xfrm>
          <a:off x="191770" y="16541750"/>
          <a:ext cx="236855" cy="225425"/>
        </a:xfrm>
        <a:prstGeom prst="rect">
          <a:avLst/>
        </a:prstGeom>
      </xdr:spPr>
    </xdr:pic>
  </etc:cellImage>
  <etc:cellImage>
    <xdr:pic>
      <xdr:nvPicPr>
        <xdr:cNvPr id="157" name="ID_DFCBFACB1BCC435093F9588A871CAEF6"/>
        <xdr:cNvPicPr>
          <a:picLocks noChangeAspect="1"/>
        </xdr:cNvPicPr>
      </xdr:nvPicPr>
      <xdr:blipFill>
        <a:blip r:embed="rId156" cstate="print"/>
        <a:stretch>
          <a:fillRect/>
        </a:stretch>
      </xdr:blipFill>
      <xdr:spPr>
        <a:xfrm>
          <a:off x="191770" y="17151350"/>
          <a:ext cx="236855" cy="225425"/>
        </a:xfrm>
        <a:prstGeom prst="rect">
          <a:avLst/>
        </a:prstGeom>
      </xdr:spPr>
    </xdr:pic>
  </etc:cellImage>
  <etc:cellImage>
    <xdr:pic>
      <xdr:nvPicPr>
        <xdr:cNvPr id="158" name="ID_D0B1703B96804ED2AD06868A94CB68F4"/>
        <xdr:cNvPicPr>
          <a:picLocks noChangeAspect="1"/>
        </xdr:cNvPicPr>
      </xdr:nvPicPr>
      <xdr:blipFill>
        <a:blip r:embed="rId157" cstate="print"/>
        <a:stretch>
          <a:fillRect/>
        </a:stretch>
      </xdr:blipFill>
      <xdr:spPr>
        <a:xfrm>
          <a:off x="191770" y="17456150"/>
          <a:ext cx="236855" cy="225425"/>
        </a:xfrm>
        <a:prstGeom prst="rect">
          <a:avLst/>
        </a:prstGeom>
      </xdr:spPr>
    </xdr:pic>
  </etc:cellImage>
  <etc:cellImage>
    <xdr:pic>
      <xdr:nvPicPr>
        <xdr:cNvPr id="160" name="ID_E14D85E5AFD04330A7FF5FA78FC96F7E"/>
        <xdr:cNvPicPr>
          <a:picLocks noChangeAspect="1"/>
        </xdr:cNvPicPr>
      </xdr:nvPicPr>
      <xdr:blipFill>
        <a:blip r:embed="rId158" cstate="print"/>
        <a:stretch>
          <a:fillRect/>
        </a:stretch>
      </xdr:blipFill>
      <xdr:spPr>
        <a:xfrm>
          <a:off x="191770" y="18065750"/>
          <a:ext cx="236855" cy="225425"/>
        </a:xfrm>
        <a:prstGeom prst="rect">
          <a:avLst/>
        </a:prstGeom>
      </xdr:spPr>
    </xdr:pic>
  </etc:cellImage>
  <etc:cellImage>
    <xdr:pic>
      <xdr:nvPicPr>
        <xdr:cNvPr id="161" name="ID_9737E8D63DDC44C39D745B430C7D057E"/>
        <xdr:cNvPicPr>
          <a:picLocks noChangeAspect="1"/>
        </xdr:cNvPicPr>
      </xdr:nvPicPr>
      <xdr:blipFill>
        <a:blip r:embed="rId159" cstate="print"/>
        <a:stretch>
          <a:fillRect/>
        </a:stretch>
      </xdr:blipFill>
      <xdr:spPr>
        <a:xfrm>
          <a:off x="191770" y="18370550"/>
          <a:ext cx="236855" cy="225425"/>
        </a:xfrm>
        <a:prstGeom prst="rect">
          <a:avLst/>
        </a:prstGeom>
      </xdr:spPr>
    </xdr:pic>
  </etc:cellImage>
  <etc:cellImage>
    <xdr:pic>
      <xdr:nvPicPr>
        <xdr:cNvPr id="162" name="ID_C436D82A205E415C9E1BADD416033008"/>
        <xdr:cNvPicPr>
          <a:picLocks noChangeAspect="1"/>
        </xdr:cNvPicPr>
      </xdr:nvPicPr>
      <xdr:blipFill>
        <a:blip r:embed="rId160" cstate="print"/>
        <a:stretch>
          <a:fillRect/>
        </a:stretch>
      </xdr:blipFill>
      <xdr:spPr>
        <a:xfrm>
          <a:off x="191770" y="18980150"/>
          <a:ext cx="236855" cy="225425"/>
        </a:xfrm>
        <a:prstGeom prst="rect">
          <a:avLst/>
        </a:prstGeom>
      </xdr:spPr>
    </xdr:pic>
  </etc:cellImage>
  <etc:cellImage>
    <xdr:pic>
      <xdr:nvPicPr>
        <xdr:cNvPr id="163" name="ID_4ED79AC45019468BA387185967E29DA2"/>
        <xdr:cNvPicPr>
          <a:picLocks noChangeAspect="1"/>
        </xdr:cNvPicPr>
      </xdr:nvPicPr>
      <xdr:blipFill>
        <a:blip r:embed="rId161" cstate="print"/>
        <a:stretch>
          <a:fillRect/>
        </a:stretch>
      </xdr:blipFill>
      <xdr:spPr>
        <a:xfrm>
          <a:off x="191770" y="18675350"/>
          <a:ext cx="236855" cy="225425"/>
        </a:xfrm>
        <a:prstGeom prst="rect">
          <a:avLst/>
        </a:prstGeom>
      </xdr:spPr>
    </xdr:pic>
  </etc:cellImage>
  <etc:cellImage>
    <xdr:pic>
      <xdr:nvPicPr>
        <xdr:cNvPr id="164" name="ID_B8756CEF386748118F98956EDB1BCB53"/>
        <xdr:cNvPicPr>
          <a:picLocks noChangeAspect="1"/>
        </xdr:cNvPicPr>
      </xdr:nvPicPr>
      <xdr:blipFill>
        <a:blip r:embed="rId162" cstate="print"/>
        <a:stretch>
          <a:fillRect/>
        </a:stretch>
      </xdr:blipFill>
      <xdr:spPr>
        <a:xfrm>
          <a:off x="191770" y="19284950"/>
          <a:ext cx="236855" cy="225425"/>
        </a:xfrm>
        <a:prstGeom prst="rect">
          <a:avLst/>
        </a:prstGeom>
      </xdr:spPr>
    </xdr:pic>
  </etc:cellImage>
  <etc:cellImage>
    <xdr:pic>
      <xdr:nvPicPr>
        <xdr:cNvPr id="166" name="ID_3E11EDE2A0844C30BA8A6ADD8768B4F9"/>
        <xdr:cNvPicPr>
          <a:picLocks noChangeAspect="1"/>
        </xdr:cNvPicPr>
      </xdr:nvPicPr>
      <xdr:blipFill>
        <a:blip r:embed="rId163" cstate="print"/>
        <a:stretch>
          <a:fillRect/>
        </a:stretch>
      </xdr:blipFill>
      <xdr:spPr>
        <a:xfrm>
          <a:off x="191770" y="19894550"/>
          <a:ext cx="236855" cy="225425"/>
        </a:xfrm>
        <a:prstGeom prst="rect">
          <a:avLst/>
        </a:prstGeom>
      </xdr:spPr>
    </xdr:pic>
  </etc:cellImage>
  <etc:cellImage>
    <xdr:pic>
      <xdr:nvPicPr>
        <xdr:cNvPr id="167" name="ID_2799F0D7BC914EE5AFCEC36B90438595"/>
        <xdr:cNvPicPr>
          <a:picLocks noChangeAspect="1"/>
        </xdr:cNvPicPr>
      </xdr:nvPicPr>
      <xdr:blipFill>
        <a:blip r:embed="rId164" cstate="print"/>
        <a:stretch>
          <a:fillRect/>
        </a:stretch>
      </xdr:blipFill>
      <xdr:spPr>
        <a:xfrm>
          <a:off x="191770" y="20199350"/>
          <a:ext cx="236855" cy="225425"/>
        </a:xfrm>
        <a:prstGeom prst="rect">
          <a:avLst/>
        </a:prstGeom>
      </xdr:spPr>
    </xdr:pic>
  </etc:cellImage>
  <etc:cellImage>
    <xdr:pic>
      <xdr:nvPicPr>
        <xdr:cNvPr id="168" name="ID_1CD512A2395B439A94A7ECB210DD88D5"/>
        <xdr:cNvPicPr>
          <a:picLocks noChangeAspect="1"/>
        </xdr:cNvPicPr>
      </xdr:nvPicPr>
      <xdr:blipFill>
        <a:blip r:embed="rId165" cstate="print"/>
        <a:stretch>
          <a:fillRect/>
        </a:stretch>
      </xdr:blipFill>
      <xdr:spPr>
        <a:xfrm>
          <a:off x="191770" y="20504150"/>
          <a:ext cx="236855" cy="225425"/>
        </a:xfrm>
        <a:prstGeom prst="rect">
          <a:avLst/>
        </a:prstGeom>
      </xdr:spPr>
    </xdr:pic>
  </etc:cellImage>
  <etc:cellImage>
    <xdr:pic>
      <xdr:nvPicPr>
        <xdr:cNvPr id="169" name="ID_FD9B984046F0468CA046E21A8D1323BE"/>
        <xdr:cNvPicPr>
          <a:picLocks noChangeAspect="1"/>
        </xdr:cNvPicPr>
      </xdr:nvPicPr>
      <xdr:blipFill>
        <a:blip r:embed="rId166" cstate="print"/>
        <a:stretch>
          <a:fillRect/>
        </a:stretch>
      </xdr:blipFill>
      <xdr:spPr>
        <a:xfrm>
          <a:off x="191770" y="20808950"/>
          <a:ext cx="236855" cy="225425"/>
        </a:xfrm>
        <a:prstGeom prst="rect">
          <a:avLst/>
        </a:prstGeom>
      </xdr:spPr>
    </xdr:pic>
  </etc:cellImage>
  <etc:cellImage>
    <xdr:pic>
      <xdr:nvPicPr>
        <xdr:cNvPr id="170" name="ID_429865CF0964435B97709C8A00F182B7"/>
        <xdr:cNvPicPr>
          <a:picLocks noChangeAspect="1"/>
        </xdr:cNvPicPr>
      </xdr:nvPicPr>
      <xdr:blipFill>
        <a:blip r:embed="rId167" cstate="print"/>
        <a:stretch>
          <a:fillRect/>
        </a:stretch>
      </xdr:blipFill>
      <xdr:spPr>
        <a:xfrm>
          <a:off x="191770" y="21113750"/>
          <a:ext cx="236855" cy="225425"/>
        </a:xfrm>
        <a:prstGeom prst="rect">
          <a:avLst/>
        </a:prstGeom>
      </xdr:spPr>
    </xdr:pic>
  </etc:cellImage>
  <etc:cellImage>
    <xdr:pic>
      <xdr:nvPicPr>
        <xdr:cNvPr id="172" name="ID_DDC8F3C8FB834FEB931D6522A665375E"/>
        <xdr:cNvPicPr>
          <a:picLocks noChangeAspect="1"/>
        </xdr:cNvPicPr>
      </xdr:nvPicPr>
      <xdr:blipFill>
        <a:blip r:embed="rId168" cstate="print"/>
        <a:stretch>
          <a:fillRect/>
        </a:stretch>
      </xdr:blipFill>
      <xdr:spPr>
        <a:xfrm>
          <a:off x="191770" y="21723350"/>
          <a:ext cx="236855" cy="225425"/>
        </a:xfrm>
        <a:prstGeom prst="rect">
          <a:avLst/>
        </a:prstGeom>
      </xdr:spPr>
    </xdr:pic>
  </etc:cellImage>
  <etc:cellImage>
    <xdr:pic>
      <xdr:nvPicPr>
        <xdr:cNvPr id="173" name="ID_DCD7A980C874420BAF8EC45FED99013C"/>
        <xdr:cNvPicPr>
          <a:picLocks noChangeAspect="1"/>
        </xdr:cNvPicPr>
      </xdr:nvPicPr>
      <xdr:blipFill>
        <a:blip r:embed="rId169" cstate="print"/>
        <a:stretch>
          <a:fillRect/>
        </a:stretch>
      </xdr:blipFill>
      <xdr:spPr>
        <a:xfrm>
          <a:off x="191770" y="22028150"/>
          <a:ext cx="236855" cy="225425"/>
        </a:xfrm>
        <a:prstGeom prst="rect">
          <a:avLst/>
        </a:prstGeom>
      </xdr:spPr>
    </xdr:pic>
  </etc:cellImage>
  <etc:cellImage>
    <xdr:pic>
      <xdr:nvPicPr>
        <xdr:cNvPr id="175" name="ID_F6A8F7166AE2415F87D58BA0A999A28D"/>
        <xdr:cNvPicPr>
          <a:picLocks noChangeAspect="1"/>
        </xdr:cNvPicPr>
      </xdr:nvPicPr>
      <xdr:blipFill>
        <a:blip r:embed="rId170" cstate="print"/>
        <a:stretch>
          <a:fillRect/>
        </a:stretch>
      </xdr:blipFill>
      <xdr:spPr>
        <a:xfrm>
          <a:off x="191770" y="22637750"/>
          <a:ext cx="236855" cy="225425"/>
        </a:xfrm>
        <a:prstGeom prst="rect">
          <a:avLst/>
        </a:prstGeom>
      </xdr:spPr>
    </xdr:pic>
  </etc:cellImage>
  <etc:cellImage>
    <xdr:pic>
      <xdr:nvPicPr>
        <xdr:cNvPr id="177" name="ID_C200B0DC97114B29B020AE3A1A184F5A"/>
        <xdr:cNvPicPr>
          <a:picLocks noChangeAspect="1"/>
        </xdr:cNvPicPr>
      </xdr:nvPicPr>
      <xdr:blipFill>
        <a:blip r:embed="rId171" cstate="print"/>
        <a:stretch>
          <a:fillRect/>
        </a:stretch>
      </xdr:blipFill>
      <xdr:spPr>
        <a:xfrm>
          <a:off x="191770" y="23247350"/>
          <a:ext cx="236855" cy="225425"/>
        </a:xfrm>
        <a:prstGeom prst="rect">
          <a:avLst/>
        </a:prstGeom>
      </xdr:spPr>
    </xdr:pic>
  </etc:cellImage>
  <etc:cellImage>
    <xdr:pic>
      <xdr:nvPicPr>
        <xdr:cNvPr id="178" name="ID_26CB874FF7D949CE86222FB3935C0F49"/>
        <xdr:cNvPicPr>
          <a:picLocks noChangeAspect="1"/>
        </xdr:cNvPicPr>
      </xdr:nvPicPr>
      <xdr:blipFill>
        <a:blip r:embed="rId172" cstate="print"/>
        <a:stretch>
          <a:fillRect/>
        </a:stretch>
      </xdr:blipFill>
      <xdr:spPr>
        <a:xfrm>
          <a:off x="191770" y="23552150"/>
          <a:ext cx="236855" cy="225425"/>
        </a:xfrm>
        <a:prstGeom prst="rect">
          <a:avLst/>
        </a:prstGeom>
      </xdr:spPr>
    </xdr:pic>
  </etc:cellImage>
  <etc:cellImage>
    <xdr:pic>
      <xdr:nvPicPr>
        <xdr:cNvPr id="179" name="ID_E2290C78860245548B41A3923EE76859"/>
        <xdr:cNvPicPr>
          <a:picLocks noChangeAspect="1"/>
        </xdr:cNvPicPr>
      </xdr:nvPicPr>
      <xdr:blipFill>
        <a:blip r:embed="rId173" cstate="print"/>
        <a:stretch>
          <a:fillRect/>
        </a:stretch>
      </xdr:blipFill>
      <xdr:spPr>
        <a:xfrm>
          <a:off x="191770" y="23856950"/>
          <a:ext cx="236855" cy="225425"/>
        </a:xfrm>
        <a:prstGeom prst="rect">
          <a:avLst/>
        </a:prstGeom>
      </xdr:spPr>
    </xdr:pic>
  </etc:cellImage>
  <etc:cellImage>
    <xdr:pic>
      <xdr:nvPicPr>
        <xdr:cNvPr id="180" name="ID_9189C397A42A420F8D1B300F77ECE5A8"/>
        <xdr:cNvPicPr>
          <a:picLocks noChangeAspect="1"/>
        </xdr:cNvPicPr>
      </xdr:nvPicPr>
      <xdr:blipFill>
        <a:blip r:embed="rId174" cstate="print"/>
        <a:stretch>
          <a:fillRect/>
        </a:stretch>
      </xdr:blipFill>
      <xdr:spPr>
        <a:xfrm>
          <a:off x="191770" y="24161750"/>
          <a:ext cx="236855" cy="225425"/>
        </a:xfrm>
        <a:prstGeom prst="rect">
          <a:avLst/>
        </a:prstGeom>
      </xdr:spPr>
    </xdr:pic>
  </etc:cellImage>
  <etc:cellImage>
    <xdr:pic>
      <xdr:nvPicPr>
        <xdr:cNvPr id="181" name="ID_32AE932A8C244AD0921ABA858F455F9F"/>
        <xdr:cNvPicPr>
          <a:picLocks noChangeAspect="1"/>
        </xdr:cNvPicPr>
      </xdr:nvPicPr>
      <xdr:blipFill>
        <a:blip r:embed="rId175" cstate="print"/>
        <a:stretch>
          <a:fillRect/>
        </a:stretch>
      </xdr:blipFill>
      <xdr:spPr>
        <a:xfrm>
          <a:off x="191770" y="24466550"/>
          <a:ext cx="236855" cy="225425"/>
        </a:xfrm>
        <a:prstGeom prst="rect">
          <a:avLst/>
        </a:prstGeom>
      </xdr:spPr>
    </xdr:pic>
  </etc:cellImage>
  <etc:cellImage>
    <xdr:pic>
      <xdr:nvPicPr>
        <xdr:cNvPr id="182" name="ID_532CAEE91F2940E7AD5F5540C0E8CE3F"/>
        <xdr:cNvPicPr>
          <a:picLocks noChangeAspect="1"/>
        </xdr:cNvPicPr>
      </xdr:nvPicPr>
      <xdr:blipFill>
        <a:blip r:embed="rId176" cstate="print"/>
        <a:stretch>
          <a:fillRect/>
        </a:stretch>
      </xdr:blipFill>
      <xdr:spPr>
        <a:xfrm>
          <a:off x="191770" y="24771350"/>
          <a:ext cx="236855" cy="225425"/>
        </a:xfrm>
        <a:prstGeom prst="rect">
          <a:avLst/>
        </a:prstGeom>
      </xdr:spPr>
    </xdr:pic>
  </etc:cellImage>
  <etc:cellImage>
    <xdr:pic>
      <xdr:nvPicPr>
        <xdr:cNvPr id="183" name="ID_19C23DA25F9D4BFABF57BB50D19890AB"/>
        <xdr:cNvPicPr>
          <a:picLocks noChangeAspect="1"/>
        </xdr:cNvPicPr>
      </xdr:nvPicPr>
      <xdr:blipFill>
        <a:blip r:embed="rId177" cstate="print"/>
        <a:stretch>
          <a:fillRect/>
        </a:stretch>
      </xdr:blipFill>
      <xdr:spPr>
        <a:xfrm>
          <a:off x="191770" y="25076150"/>
          <a:ext cx="236855" cy="225425"/>
        </a:xfrm>
        <a:prstGeom prst="rect">
          <a:avLst/>
        </a:prstGeom>
      </xdr:spPr>
    </xdr:pic>
  </etc:cellImage>
  <etc:cellImage>
    <xdr:pic>
      <xdr:nvPicPr>
        <xdr:cNvPr id="184" name="ID_B878B89199FB4D7F8E90934AB295EF2D"/>
        <xdr:cNvPicPr>
          <a:picLocks noChangeAspect="1"/>
        </xdr:cNvPicPr>
      </xdr:nvPicPr>
      <xdr:blipFill>
        <a:blip r:embed="rId178" cstate="print"/>
        <a:stretch>
          <a:fillRect/>
        </a:stretch>
      </xdr:blipFill>
      <xdr:spPr>
        <a:xfrm>
          <a:off x="191770" y="25380950"/>
          <a:ext cx="236855" cy="225425"/>
        </a:xfrm>
        <a:prstGeom prst="rect">
          <a:avLst/>
        </a:prstGeom>
      </xdr:spPr>
    </xdr:pic>
  </etc:cellImage>
  <etc:cellImage>
    <xdr:pic>
      <xdr:nvPicPr>
        <xdr:cNvPr id="185" name="ID_4B21EB36E95B4B59AE8D974B7380304F"/>
        <xdr:cNvPicPr>
          <a:picLocks noChangeAspect="1"/>
        </xdr:cNvPicPr>
      </xdr:nvPicPr>
      <xdr:blipFill>
        <a:blip r:embed="rId179" cstate="print"/>
        <a:stretch>
          <a:fillRect/>
        </a:stretch>
      </xdr:blipFill>
      <xdr:spPr>
        <a:xfrm>
          <a:off x="191770" y="25685750"/>
          <a:ext cx="236855" cy="225425"/>
        </a:xfrm>
        <a:prstGeom prst="rect">
          <a:avLst/>
        </a:prstGeom>
      </xdr:spPr>
    </xdr:pic>
  </etc:cellImage>
  <etc:cellImage>
    <xdr:pic>
      <xdr:nvPicPr>
        <xdr:cNvPr id="186" name="ID_C5F279E0B76649F498C92E46547C5DB7"/>
        <xdr:cNvPicPr>
          <a:picLocks noChangeAspect="1"/>
        </xdr:cNvPicPr>
      </xdr:nvPicPr>
      <xdr:blipFill>
        <a:blip r:embed="rId180" cstate="print"/>
        <a:stretch>
          <a:fillRect/>
        </a:stretch>
      </xdr:blipFill>
      <xdr:spPr>
        <a:xfrm>
          <a:off x="191770" y="25990550"/>
          <a:ext cx="236855" cy="225425"/>
        </a:xfrm>
        <a:prstGeom prst="rect">
          <a:avLst/>
        </a:prstGeom>
      </xdr:spPr>
    </xdr:pic>
  </etc:cellImage>
  <etc:cellImage>
    <xdr:pic>
      <xdr:nvPicPr>
        <xdr:cNvPr id="187" name="ID_4F39359D580E4E80A7CD26B76062D7E0"/>
        <xdr:cNvPicPr>
          <a:picLocks noChangeAspect="1"/>
        </xdr:cNvPicPr>
      </xdr:nvPicPr>
      <xdr:blipFill>
        <a:blip r:embed="rId181" cstate="print"/>
        <a:stretch>
          <a:fillRect/>
        </a:stretch>
      </xdr:blipFill>
      <xdr:spPr>
        <a:xfrm>
          <a:off x="191770" y="26295350"/>
          <a:ext cx="236855" cy="225425"/>
        </a:xfrm>
        <a:prstGeom prst="rect">
          <a:avLst/>
        </a:prstGeom>
      </xdr:spPr>
    </xdr:pic>
  </etc:cellImage>
  <etc:cellImage>
    <xdr:pic>
      <xdr:nvPicPr>
        <xdr:cNvPr id="188" name="ID_D48FED42E9524A8AA66EFB491E44FFFF"/>
        <xdr:cNvPicPr>
          <a:picLocks noChangeAspect="1"/>
        </xdr:cNvPicPr>
      </xdr:nvPicPr>
      <xdr:blipFill>
        <a:blip r:embed="rId182" cstate="print"/>
        <a:stretch>
          <a:fillRect/>
        </a:stretch>
      </xdr:blipFill>
      <xdr:spPr>
        <a:xfrm>
          <a:off x="191770" y="26600150"/>
          <a:ext cx="236855" cy="225425"/>
        </a:xfrm>
        <a:prstGeom prst="rect">
          <a:avLst/>
        </a:prstGeom>
      </xdr:spPr>
    </xdr:pic>
  </etc:cellImage>
  <etc:cellImage>
    <xdr:pic>
      <xdr:nvPicPr>
        <xdr:cNvPr id="189" name="ID_44CF05A25AC746F78242454C5BF58ABC"/>
        <xdr:cNvPicPr>
          <a:picLocks noChangeAspect="1"/>
        </xdr:cNvPicPr>
      </xdr:nvPicPr>
      <xdr:blipFill>
        <a:blip r:embed="rId183" cstate="print"/>
        <a:stretch>
          <a:fillRect/>
        </a:stretch>
      </xdr:blipFill>
      <xdr:spPr>
        <a:xfrm>
          <a:off x="191770" y="26904950"/>
          <a:ext cx="236855" cy="225425"/>
        </a:xfrm>
        <a:prstGeom prst="rect">
          <a:avLst/>
        </a:prstGeom>
      </xdr:spPr>
    </xdr:pic>
  </etc:cellImage>
  <etc:cellImage>
    <xdr:pic>
      <xdr:nvPicPr>
        <xdr:cNvPr id="190" name="ID_F28D68A3894A40B09C14F5BC891A639A"/>
        <xdr:cNvPicPr>
          <a:picLocks noChangeAspect="1"/>
        </xdr:cNvPicPr>
      </xdr:nvPicPr>
      <xdr:blipFill>
        <a:blip r:embed="rId184" cstate="print"/>
        <a:stretch>
          <a:fillRect/>
        </a:stretch>
      </xdr:blipFill>
      <xdr:spPr>
        <a:xfrm>
          <a:off x="191770" y="27209750"/>
          <a:ext cx="236855" cy="225425"/>
        </a:xfrm>
        <a:prstGeom prst="rect">
          <a:avLst/>
        </a:prstGeom>
      </xdr:spPr>
    </xdr:pic>
  </etc:cellImage>
  <etc:cellImage>
    <xdr:pic>
      <xdr:nvPicPr>
        <xdr:cNvPr id="191" name="ID_C919EC9DB9D2418DB8F9631392DBEF90"/>
        <xdr:cNvPicPr>
          <a:picLocks noChangeAspect="1"/>
        </xdr:cNvPicPr>
      </xdr:nvPicPr>
      <xdr:blipFill>
        <a:blip r:embed="rId185" cstate="print"/>
        <a:stretch>
          <a:fillRect/>
        </a:stretch>
      </xdr:blipFill>
      <xdr:spPr>
        <a:xfrm>
          <a:off x="191770" y="27514550"/>
          <a:ext cx="236855" cy="225425"/>
        </a:xfrm>
        <a:prstGeom prst="rect">
          <a:avLst/>
        </a:prstGeom>
      </xdr:spPr>
    </xdr:pic>
  </etc:cellImage>
  <etc:cellImage>
    <xdr:pic>
      <xdr:nvPicPr>
        <xdr:cNvPr id="192" name="ID_B2B86F64FCBF48DCA5C00DD20B2CBE0E"/>
        <xdr:cNvPicPr>
          <a:picLocks noChangeAspect="1"/>
        </xdr:cNvPicPr>
      </xdr:nvPicPr>
      <xdr:blipFill>
        <a:blip r:embed="rId186" cstate="print"/>
        <a:stretch>
          <a:fillRect/>
        </a:stretch>
      </xdr:blipFill>
      <xdr:spPr>
        <a:xfrm>
          <a:off x="191770" y="27819350"/>
          <a:ext cx="236855" cy="225425"/>
        </a:xfrm>
        <a:prstGeom prst="rect">
          <a:avLst/>
        </a:prstGeom>
      </xdr:spPr>
    </xdr:pic>
  </etc:cellImage>
  <etc:cellImage>
    <xdr:pic>
      <xdr:nvPicPr>
        <xdr:cNvPr id="193" name="ID_463957ECA049465783192E7C3556FF75"/>
        <xdr:cNvPicPr>
          <a:picLocks noChangeAspect="1"/>
        </xdr:cNvPicPr>
      </xdr:nvPicPr>
      <xdr:blipFill>
        <a:blip r:embed="rId187" cstate="print"/>
        <a:stretch>
          <a:fillRect/>
        </a:stretch>
      </xdr:blipFill>
      <xdr:spPr>
        <a:xfrm>
          <a:off x="191770" y="28124150"/>
          <a:ext cx="236855" cy="225425"/>
        </a:xfrm>
        <a:prstGeom prst="rect">
          <a:avLst/>
        </a:prstGeom>
      </xdr:spPr>
    </xdr:pic>
  </etc:cellImage>
  <etc:cellImage>
    <xdr:pic>
      <xdr:nvPicPr>
        <xdr:cNvPr id="194" name="ID_ACADB8507C9C4527B5DAA42FEC60336C"/>
        <xdr:cNvPicPr>
          <a:picLocks noChangeAspect="1"/>
        </xdr:cNvPicPr>
      </xdr:nvPicPr>
      <xdr:blipFill>
        <a:blip r:embed="rId188" cstate="print"/>
        <a:stretch>
          <a:fillRect/>
        </a:stretch>
      </xdr:blipFill>
      <xdr:spPr>
        <a:xfrm>
          <a:off x="191770" y="28428950"/>
          <a:ext cx="236855" cy="225425"/>
        </a:xfrm>
        <a:prstGeom prst="rect">
          <a:avLst/>
        </a:prstGeom>
      </xdr:spPr>
    </xdr:pic>
  </etc:cellImage>
  <etc:cellImage>
    <xdr:pic>
      <xdr:nvPicPr>
        <xdr:cNvPr id="195" name="ID_EEA06C228F624CEFB056FC7D9E63907D"/>
        <xdr:cNvPicPr>
          <a:picLocks noChangeAspect="1"/>
        </xdr:cNvPicPr>
      </xdr:nvPicPr>
      <xdr:blipFill>
        <a:blip r:embed="rId189" cstate="print"/>
        <a:stretch>
          <a:fillRect/>
        </a:stretch>
      </xdr:blipFill>
      <xdr:spPr>
        <a:xfrm>
          <a:off x="191770" y="28733750"/>
          <a:ext cx="236855" cy="225425"/>
        </a:xfrm>
        <a:prstGeom prst="rect">
          <a:avLst/>
        </a:prstGeom>
      </xdr:spPr>
    </xdr:pic>
  </etc:cellImage>
  <etc:cellImage>
    <xdr:pic>
      <xdr:nvPicPr>
        <xdr:cNvPr id="196" name="ID_E386FFE506CA481DA193355F7AACA6E6"/>
        <xdr:cNvPicPr>
          <a:picLocks noChangeAspect="1"/>
        </xdr:cNvPicPr>
      </xdr:nvPicPr>
      <xdr:blipFill>
        <a:blip r:embed="rId190" cstate="print"/>
        <a:stretch>
          <a:fillRect/>
        </a:stretch>
      </xdr:blipFill>
      <xdr:spPr>
        <a:xfrm>
          <a:off x="191770" y="29038550"/>
          <a:ext cx="236855" cy="225425"/>
        </a:xfrm>
        <a:prstGeom prst="rect">
          <a:avLst/>
        </a:prstGeom>
      </xdr:spPr>
    </xdr:pic>
  </etc:cellImage>
  <etc:cellImage>
    <xdr:pic>
      <xdr:nvPicPr>
        <xdr:cNvPr id="197" name="ID_580C7D138A0340B4913A1821598CC5F9"/>
        <xdr:cNvPicPr>
          <a:picLocks noChangeAspect="1"/>
        </xdr:cNvPicPr>
      </xdr:nvPicPr>
      <xdr:blipFill>
        <a:blip r:embed="rId191" cstate="print"/>
        <a:stretch>
          <a:fillRect/>
        </a:stretch>
      </xdr:blipFill>
      <xdr:spPr>
        <a:xfrm>
          <a:off x="191770" y="29343350"/>
          <a:ext cx="236855" cy="225425"/>
        </a:xfrm>
        <a:prstGeom prst="rect">
          <a:avLst/>
        </a:prstGeom>
      </xdr:spPr>
    </xdr:pic>
  </etc:cellImage>
  <etc:cellImage>
    <xdr:pic>
      <xdr:nvPicPr>
        <xdr:cNvPr id="198" name="ID_AC8D4E57ED9546B48F2FD36C2751538D"/>
        <xdr:cNvPicPr>
          <a:picLocks noChangeAspect="1"/>
        </xdr:cNvPicPr>
      </xdr:nvPicPr>
      <xdr:blipFill>
        <a:blip r:embed="rId192" cstate="print"/>
        <a:stretch>
          <a:fillRect/>
        </a:stretch>
      </xdr:blipFill>
      <xdr:spPr>
        <a:xfrm>
          <a:off x="191770" y="29648150"/>
          <a:ext cx="236855" cy="225425"/>
        </a:xfrm>
        <a:prstGeom prst="rect">
          <a:avLst/>
        </a:prstGeom>
      </xdr:spPr>
    </xdr:pic>
  </etc:cellImage>
  <etc:cellImage>
    <xdr:pic>
      <xdr:nvPicPr>
        <xdr:cNvPr id="205" name="ID_60C872D713F54B61B6574F927FCF508F"/>
        <xdr:cNvPicPr>
          <a:picLocks noChangeAspect="1"/>
        </xdr:cNvPicPr>
      </xdr:nvPicPr>
      <xdr:blipFill>
        <a:blip r:embed="rId193" cstate="print"/>
        <a:stretch>
          <a:fillRect/>
        </a:stretch>
      </xdr:blipFill>
      <xdr:spPr>
        <a:xfrm>
          <a:off x="191770" y="30257750"/>
          <a:ext cx="236855" cy="225425"/>
        </a:xfrm>
        <a:prstGeom prst="rect">
          <a:avLst/>
        </a:prstGeom>
      </xdr:spPr>
    </xdr:pic>
  </etc:cellImage>
  <etc:cellImage>
    <xdr:pic>
      <xdr:nvPicPr>
        <xdr:cNvPr id="206" name="ID_B9F4A9522B964E109AEB7883D24DDC77"/>
        <xdr:cNvPicPr>
          <a:picLocks noChangeAspect="1"/>
        </xdr:cNvPicPr>
      </xdr:nvPicPr>
      <xdr:blipFill>
        <a:blip r:embed="rId194" cstate="print"/>
        <a:stretch>
          <a:fillRect/>
        </a:stretch>
      </xdr:blipFill>
      <xdr:spPr>
        <a:xfrm>
          <a:off x="191770" y="30562550"/>
          <a:ext cx="236855" cy="225425"/>
        </a:xfrm>
        <a:prstGeom prst="rect">
          <a:avLst/>
        </a:prstGeom>
      </xdr:spPr>
    </xdr:pic>
  </etc:cellImage>
  <etc:cellImage>
    <xdr:pic>
      <xdr:nvPicPr>
        <xdr:cNvPr id="207" name="ID_5FF6A55036F648F2954663D3008C22E6"/>
        <xdr:cNvPicPr>
          <a:picLocks noChangeAspect="1"/>
        </xdr:cNvPicPr>
      </xdr:nvPicPr>
      <xdr:blipFill>
        <a:blip r:embed="rId195" cstate="print"/>
        <a:stretch>
          <a:fillRect/>
        </a:stretch>
      </xdr:blipFill>
      <xdr:spPr>
        <a:xfrm>
          <a:off x="191770" y="30562550"/>
          <a:ext cx="236855" cy="225425"/>
        </a:xfrm>
        <a:prstGeom prst="rect">
          <a:avLst/>
        </a:prstGeom>
      </xdr:spPr>
    </xdr:pic>
  </etc:cellImage>
  <etc:cellImage>
    <xdr:pic>
      <xdr:nvPicPr>
        <xdr:cNvPr id="210" name="ID_F87ACFAB5EFF4B7BAC7ACCD7AC47975A"/>
        <xdr:cNvPicPr>
          <a:picLocks noChangeAspect="1"/>
        </xdr:cNvPicPr>
      </xdr:nvPicPr>
      <xdr:blipFill>
        <a:blip r:embed="rId196" cstate="print"/>
        <a:stretch>
          <a:fillRect/>
        </a:stretch>
      </xdr:blipFill>
      <xdr:spPr>
        <a:xfrm>
          <a:off x="191770" y="30562550"/>
          <a:ext cx="236855" cy="225425"/>
        </a:xfrm>
        <a:prstGeom prst="rect">
          <a:avLst/>
        </a:prstGeom>
      </xdr:spPr>
    </xdr:pic>
  </etc:cellImage>
  <etc:cellImage>
    <xdr:pic>
      <xdr:nvPicPr>
        <xdr:cNvPr id="252" name="ID_6893492369324F0F99BB94004415008C"/>
        <xdr:cNvPicPr>
          <a:picLocks noChangeAspect="1"/>
        </xdr:cNvPicPr>
      </xdr:nvPicPr>
      <xdr:blipFill>
        <a:blip r:embed="rId197" cstate="print"/>
        <a:stretch>
          <a:fillRect/>
        </a:stretch>
      </xdr:blipFill>
      <xdr:spPr>
        <a:xfrm>
          <a:off x="191770" y="2216150"/>
          <a:ext cx="236855" cy="225425"/>
        </a:xfrm>
        <a:prstGeom prst="rect">
          <a:avLst/>
        </a:prstGeom>
      </xdr:spPr>
    </xdr:pic>
  </etc:cellImage>
  <etc:cellImage>
    <xdr:pic>
      <xdr:nvPicPr>
        <xdr:cNvPr id="253" name="ID_27679D12F3624D4794A370A5AAD2B62A"/>
        <xdr:cNvPicPr>
          <a:picLocks noChangeAspect="1"/>
        </xdr:cNvPicPr>
      </xdr:nvPicPr>
      <xdr:blipFill>
        <a:blip r:embed="rId198" cstate="print"/>
        <a:stretch>
          <a:fillRect/>
        </a:stretch>
      </xdr:blipFill>
      <xdr:spPr>
        <a:xfrm>
          <a:off x="191770" y="1301750"/>
          <a:ext cx="236855" cy="225425"/>
        </a:xfrm>
        <a:prstGeom prst="rect">
          <a:avLst/>
        </a:prstGeom>
      </xdr:spPr>
    </xdr:pic>
  </etc:cellImage>
  <etc:cellImage>
    <xdr:pic>
      <xdr:nvPicPr>
        <xdr:cNvPr id="254" name="ID_C156E7C83B994759A5327CB523DCF8AC"/>
        <xdr:cNvPicPr>
          <a:picLocks noChangeAspect="1"/>
        </xdr:cNvPicPr>
      </xdr:nvPicPr>
      <xdr:blipFill>
        <a:blip r:embed="rId199" cstate="print"/>
        <a:stretch>
          <a:fillRect/>
        </a:stretch>
      </xdr:blipFill>
      <xdr:spPr>
        <a:xfrm>
          <a:off x="191770" y="1606550"/>
          <a:ext cx="236855" cy="225425"/>
        </a:xfrm>
        <a:prstGeom prst="rect">
          <a:avLst/>
        </a:prstGeom>
      </xdr:spPr>
    </xdr:pic>
  </etc:cellImage>
  <etc:cellImage>
    <xdr:pic>
      <xdr:nvPicPr>
        <xdr:cNvPr id="255" name="ID_E0974D9A1FCC43279697EF5DA1D7B2F2"/>
        <xdr:cNvPicPr>
          <a:picLocks noChangeAspect="1"/>
        </xdr:cNvPicPr>
      </xdr:nvPicPr>
      <xdr:blipFill>
        <a:blip r:embed="rId200" cstate="print"/>
        <a:stretch>
          <a:fillRect/>
        </a:stretch>
      </xdr:blipFill>
      <xdr:spPr>
        <a:xfrm>
          <a:off x="191770" y="387350"/>
          <a:ext cx="236855" cy="225425"/>
        </a:xfrm>
        <a:prstGeom prst="rect">
          <a:avLst/>
        </a:prstGeom>
      </xdr:spPr>
    </xdr:pic>
  </etc:cellImage>
  <etc:cellImage>
    <xdr:pic>
      <xdr:nvPicPr>
        <xdr:cNvPr id="256" name="ID_4C62F3F8ADD24D7582300B8B29ADAAD1"/>
        <xdr:cNvPicPr>
          <a:picLocks noChangeAspect="1"/>
        </xdr:cNvPicPr>
      </xdr:nvPicPr>
      <xdr:blipFill>
        <a:blip r:embed="rId201" cstate="print"/>
        <a:stretch>
          <a:fillRect/>
        </a:stretch>
      </xdr:blipFill>
      <xdr:spPr>
        <a:xfrm>
          <a:off x="191770" y="996950"/>
          <a:ext cx="236855" cy="225425"/>
        </a:xfrm>
        <a:prstGeom prst="rect">
          <a:avLst/>
        </a:prstGeom>
      </xdr:spPr>
    </xdr:pic>
  </etc:cellImage>
  <etc:cellImage>
    <xdr:pic>
      <xdr:nvPicPr>
        <xdr:cNvPr id="257" name="ID_71FF25F32A744E84959B0B003BC2C8C1"/>
        <xdr:cNvPicPr>
          <a:picLocks noChangeAspect="1"/>
        </xdr:cNvPicPr>
      </xdr:nvPicPr>
      <xdr:blipFill>
        <a:blip r:embed="rId202" cstate="print"/>
        <a:stretch>
          <a:fillRect/>
        </a:stretch>
      </xdr:blipFill>
      <xdr:spPr>
        <a:xfrm>
          <a:off x="191770" y="692150"/>
          <a:ext cx="236855" cy="225425"/>
        </a:xfrm>
        <a:prstGeom prst="rect">
          <a:avLst/>
        </a:prstGeom>
      </xdr:spPr>
    </xdr:pic>
  </etc:cellImage>
  <etc:cellImage>
    <xdr:pic>
      <xdr:nvPicPr>
        <xdr:cNvPr id="259" name="ID_8F917ED4503546348C30EDAA7D45FADF"/>
        <xdr:cNvPicPr>
          <a:picLocks noChangeAspect="1"/>
        </xdr:cNvPicPr>
      </xdr:nvPicPr>
      <xdr:blipFill>
        <a:blip r:embed="rId203" cstate="print"/>
        <a:stretch>
          <a:fillRect/>
        </a:stretch>
      </xdr:blipFill>
      <xdr:spPr>
        <a:xfrm>
          <a:off x="191770" y="1911350"/>
          <a:ext cx="236855" cy="225425"/>
        </a:xfrm>
        <a:prstGeom prst="rect">
          <a:avLst/>
        </a:prstGeom>
      </xdr:spPr>
    </xdr:pic>
  </etc:cellImage>
  <etc:cellImage>
    <xdr:pic>
      <xdr:nvPicPr>
        <xdr:cNvPr id="260" name="ID_A4F2CA3BA9DE447E882F7F047A09CE2C"/>
        <xdr:cNvPicPr>
          <a:picLocks noChangeAspect="1"/>
        </xdr:cNvPicPr>
      </xdr:nvPicPr>
      <xdr:blipFill>
        <a:blip r:embed="rId204" cstate="print"/>
        <a:stretch>
          <a:fillRect/>
        </a:stretch>
      </xdr:blipFill>
      <xdr:spPr>
        <a:xfrm>
          <a:off x="191770" y="2520950"/>
          <a:ext cx="236855" cy="225425"/>
        </a:xfrm>
        <a:prstGeom prst="rect">
          <a:avLst/>
        </a:prstGeom>
      </xdr:spPr>
    </xdr:pic>
  </etc:cellImage>
  <etc:cellImage>
    <xdr:pic>
      <xdr:nvPicPr>
        <xdr:cNvPr id="263" name="ID_57D3D300B19F47BF96510083017D4F61"/>
        <xdr:cNvPicPr>
          <a:picLocks noChangeAspect="1"/>
        </xdr:cNvPicPr>
      </xdr:nvPicPr>
      <xdr:blipFill>
        <a:blip r:embed="rId205" cstate="print"/>
        <a:stretch>
          <a:fillRect/>
        </a:stretch>
      </xdr:blipFill>
      <xdr:spPr>
        <a:xfrm>
          <a:off x="191770" y="3130550"/>
          <a:ext cx="236855" cy="225425"/>
        </a:xfrm>
        <a:prstGeom prst="rect">
          <a:avLst/>
        </a:prstGeom>
      </xdr:spPr>
    </xdr:pic>
  </etc:cellImage>
  <etc:cellImage>
    <xdr:pic>
      <xdr:nvPicPr>
        <xdr:cNvPr id="265" name="ID_D867FF3B6F984EF9B9A521B60372147C"/>
        <xdr:cNvPicPr>
          <a:picLocks noChangeAspect="1"/>
        </xdr:cNvPicPr>
      </xdr:nvPicPr>
      <xdr:blipFill>
        <a:blip r:embed="rId206" cstate="print"/>
        <a:stretch>
          <a:fillRect/>
        </a:stretch>
      </xdr:blipFill>
      <xdr:spPr>
        <a:xfrm>
          <a:off x="191770" y="3740150"/>
          <a:ext cx="236855" cy="225425"/>
        </a:xfrm>
        <a:prstGeom prst="rect">
          <a:avLst/>
        </a:prstGeom>
      </xdr:spPr>
    </xdr:pic>
  </etc:cellImage>
  <etc:cellImage>
    <xdr:pic>
      <xdr:nvPicPr>
        <xdr:cNvPr id="267" name="ID_5081BD8DF7104B418782487A028CDCFD"/>
        <xdr:cNvPicPr>
          <a:picLocks noChangeAspect="1"/>
        </xdr:cNvPicPr>
      </xdr:nvPicPr>
      <xdr:blipFill>
        <a:blip r:embed="rId207" cstate="print"/>
        <a:stretch>
          <a:fillRect/>
        </a:stretch>
      </xdr:blipFill>
      <xdr:spPr>
        <a:xfrm>
          <a:off x="191770" y="4044950"/>
          <a:ext cx="236855" cy="225425"/>
        </a:xfrm>
        <a:prstGeom prst="rect">
          <a:avLst/>
        </a:prstGeom>
      </xdr:spPr>
    </xdr:pic>
  </etc:cellImage>
  <etc:cellImage>
    <xdr:pic>
      <xdr:nvPicPr>
        <xdr:cNvPr id="268" name="ID_F3B5588D37C54F9EBCEAA5C85D490498"/>
        <xdr:cNvPicPr>
          <a:picLocks noChangeAspect="1"/>
        </xdr:cNvPicPr>
      </xdr:nvPicPr>
      <xdr:blipFill>
        <a:blip r:embed="rId208" cstate="print"/>
        <a:stretch>
          <a:fillRect/>
        </a:stretch>
      </xdr:blipFill>
      <xdr:spPr>
        <a:xfrm>
          <a:off x="191770" y="3435350"/>
          <a:ext cx="236855" cy="225425"/>
        </a:xfrm>
        <a:prstGeom prst="rect">
          <a:avLst/>
        </a:prstGeom>
      </xdr:spPr>
    </xdr:pic>
  </etc:cellImage>
  <etc:cellImage>
    <xdr:pic>
      <xdr:nvPicPr>
        <xdr:cNvPr id="274" name="ID_8F526F5171E649F6861FFFB079CAC276"/>
        <xdr:cNvPicPr>
          <a:picLocks noChangeAspect="1"/>
        </xdr:cNvPicPr>
      </xdr:nvPicPr>
      <xdr:blipFill>
        <a:blip r:embed="rId209" cstate="print"/>
        <a:stretch>
          <a:fillRect/>
        </a:stretch>
      </xdr:blipFill>
      <xdr:spPr>
        <a:xfrm>
          <a:off x="191770" y="4654550"/>
          <a:ext cx="236855" cy="225425"/>
        </a:xfrm>
        <a:prstGeom prst="rect">
          <a:avLst/>
        </a:prstGeom>
      </xdr:spPr>
    </xdr:pic>
  </etc:cellImage>
  <etc:cellImage>
    <xdr:pic>
      <xdr:nvPicPr>
        <xdr:cNvPr id="276" name="ID_EFD05E987FC244FC8974B30F1238A284"/>
        <xdr:cNvPicPr>
          <a:picLocks noChangeAspect="1"/>
        </xdr:cNvPicPr>
      </xdr:nvPicPr>
      <xdr:blipFill>
        <a:blip r:embed="rId210" cstate="print"/>
        <a:stretch>
          <a:fillRect/>
        </a:stretch>
      </xdr:blipFill>
      <xdr:spPr>
        <a:xfrm>
          <a:off x="191770" y="4959350"/>
          <a:ext cx="236855" cy="225425"/>
        </a:xfrm>
        <a:prstGeom prst="rect">
          <a:avLst/>
        </a:prstGeom>
      </xdr:spPr>
    </xdr:pic>
  </etc:cellImage>
  <etc:cellImage>
    <xdr:pic>
      <xdr:nvPicPr>
        <xdr:cNvPr id="281" name="ID_D3ECA348966449D08D28C7515248DDFA"/>
        <xdr:cNvPicPr>
          <a:picLocks noChangeAspect="1"/>
        </xdr:cNvPicPr>
      </xdr:nvPicPr>
      <xdr:blipFill>
        <a:blip r:embed="rId211" cstate="print"/>
        <a:stretch>
          <a:fillRect/>
        </a:stretch>
      </xdr:blipFill>
      <xdr:spPr>
        <a:xfrm>
          <a:off x="191770" y="4349750"/>
          <a:ext cx="236855" cy="225425"/>
        </a:xfrm>
        <a:prstGeom prst="rect">
          <a:avLst/>
        </a:prstGeom>
      </xdr:spPr>
    </xdr:pic>
  </etc:cellImage>
  <etc:cellImage>
    <xdr:pic>
      <xdr:nvPicPr>
        <xdr:cNvPr id="282" name="ID_5446CDB133D04700B667BAED4B259405"/>
        <xdr:cNvPicPr>
          <a:picLocks noChangeAspect="1"/>
        </xdr:cNvPicPr>
      </xdr:nvPicPr>
      <xdr:blipFill>
        <a:blip r:embed="rId212" cstate="print"/>
        <a:stretch>
          <a:fillRect/>
        </a:stretch>
      </xdr:blipFill>
      <xdr:spPr>
        <a:xfrm>
          <a:off x="191770" y="5264150"/>
          <a:ext cx="236855" cy="225425"/>
        </a:xfrm>
        <a:prstGeom prst="rect">
          <a:avLst/>
        </a:prstGeom>
      </xdr:spPr>
    </xdr:pic>
  </etc:cellImage>
  <etc:cellImage>
    <xdr:pic>
      <xdr:nvPicPr>
        <xdr:cNvPr id="283" name="ID_BF719436269342C39120D5BF56B8BEC7"/>
        <xdr:cNvPicPr>
          <a:picLocks noChangeAspect="1"/>
        </xdr:cNvPicPr>
      </xdr:nvPicPr>
      <xdr:blipFill>
        <a:blip r:embed="rId213" cstate="print"/>
        <a:stretch>
          <a:fillRect/>
        </a:stretch>
      </xdr:blipFill>
      <xdr:spPr>
        <a:xfrm>
          <a:off x="191770" y="5568950"/>
          <a:ext cx="236855" cy="225425"/>
        </a:xfrm>
        <a:prstGeom prst="rect">
          <a:avLst/>
        </a:prstGeom>
      </xdr:spPr>
    </xdr:pic>
  </etc:cellImage>
  <etc:cellImage>
    <xdr:pic>
      <xdr:nvPicPr>
        <xdr:cNvPr id="290" name="ID_BA29F564E8A7433287A2991E08F24C7A"/>
        <xdr:cNvPicPr>
          <a:picLocks noChangeAspect="1"/>
        </xdr:cNvPicPr>
      </xdr:nvPicPr>
      <xdr:blipFill>
        <a:blip r:embed="rId214" cstate="print"/>
        <a:stretch>
          <a:fillRect/>
        </a:stretch>
      </xdr:blipFill>
      <xdr:spPr>
        <a:xfrm>
          <a:off x="191770" y="6178550"/>
          <a:ext cx="236855" cy="225425"/>
        </a:xfrm>
        <a:prstGeom prst="rect">
          <a:avLst/>
        </a:prstGeom>
      </xdr:spPr>
    </xdr:pic>
  </etc:cellImage>
  <etc:cellImage>
    <xdr:pic>
      <xdr:nvPicPr>
        <xdr:cNvPr id="295" name="ID_3F732B098A8F4924ADB7473A50C75507"/>
        <xdr:cNvPicPr>
          <a:picLocks noChangeAspect="1"/>
        </xdr:cNvPicPr>
      </xdr:nvPicPr>
      <xdr:blipFill>
        <a:blip r:embed="rId215" cstate="print"/>
        <a:stretch>
          <a:fillRect/>
        </a:stretch>
      </xdr:blipFill>
      <xdr:spPr>
        <a:xfrm>
          <a:off x="191770" y="6483350"/>
          <a:ext cx="236855" cy="225425"/>
        </a:xfrm>
        <a:prstGeom prst="rect">
          <a:avLst/>
        </a:prstGeom>
      </xdr:spPr>
    </xdr:pic>
  </etc:cellImage>
  <etc:cellImage>
    <xdr:pic>
      <xdr:nvPicPr>
        <xdr:cNvPr id="297" name="ID_6D805549D46F4147BB727A2EE17E2C42"/>
        <xdr:cNvPicPr>
          <a:picLocks noChangeAspect="1"/>
        </xdr:cNvPicPr>
      </xdr:nvPicPr>
      <xdr:blipFill>
        <a:blip r:embed="rId216" cstate="print"/>
        <a:stretch>
          <a:fillRect/>
        </a:stretch>
      </xdr:blipFill>
      <xdr:spPr>
        <a:xfrm>
          <a:off x="191770" y="6788150"/>
          <a:ext cx="236855" cy="225425"/>
        </a:xfrm>
        <a:prstGeom prst="rect">
          <a:avLst/>
        </a:prstGeom>
      </xdr:spPr>
    </xdr:pic>
  </etc:cellImage>
  <etc:cellImage>
    <xdr:pic>
      <xdr:nvPicPr>
        <xdr:cNvPr id="298" name="ID_2586E579DE7440F294699E86D562FB05"/>
        <xdr:cNvPicPr>
          <a:picLocks noChangeAspect="1"/>
        </xdr:cNvPicPr>
      </xdr:nvPicPr>
      <xdr:blipFill>
        <a:blip r:embed="rId217" cstate="print"/>
        <a:stretch>
          <a:fillRect/>
        </a:stretch>
      </xdr:blipFill>
      <xdr:spPr>
        <a:xfrm>
          <a:off x="191770" y="7092950"/>
          <a:ext cx="236855" cy="225425"/>
        </a:xfrm>
        <a:prstGeom prst="rect">
          <a:avLst/>
        </a:prstGeom>
      </xdr:spPr>
    </xdr:pic>
  </etc:cellImage>
  <etc:cellImage>
    <xdr:pic>
      <xdr:nvPicPr>
        <xdr:cNvPr id="301" name="ID_BF11A2B6EF6748E79B80B28F745B707C"/>
        <xdr:cNvPicPr>
          <a:picLocks noChangeAspect="1"/>
        </xdr:cNvPicPr>
      </xdr:nvPicPr>
      <xdr:blipFill>
        <a:blip r:embed="rId218" cstate="print"/>
        <a:stretch>
          <a:fillRect/>
        </a:stretch>
      </xdr:blipFill>
      <xdr:spPr>
        <a:xfrm>
          <a:off x="191770" y="7397750"/>
          <a:ext cx="236855" cy="225425"/>
        </a:xfrm>
        <a:prstGeom prst="rect">
          <a:avLst/>
        </a:prstGeom>
      </xdr:spPr>
    </xdr:pic>
  </etc:cellImage>
  <etc:cellImage>
    <xdr:pic>
      <xdr:nvPicPr>
        <xdr:cNvPr id="303" name="ID_EB1704935DA846C3A75C121E51387F9F"/>
        <xdr:cNvPicPr>
          <a:picLocks noChangeAspect="1"/>
        </xdr:cNvPicPr>
      </xdr:nvPicPr>
      <xdr:blipFill>
        <a:blip r:embed="rId219" cstate="print"/>
        <a:stretch>
          <a:fillRect/>
        </a:stretch>
      </xdr:blipFill>
      <xdr:spPr>
        <a:xfrm>
          <a:off x="191770" y="7702550"/>
          <a:ext cx="236855" cy="225425"/>
        </a:xfrm>
        <a:prstGeom prst="rect">
          <a:avLst/>
        </a:prstGeom>
      </xdr:spPr>
    </xdr:pic>
  </etc:cellImage>
  <etc:cellImage>
    <xdr:pic>
      <xdr:nvPicPr>
        <xdr:cNvPr id="305" name="ID_5CBE838777C640E0BE71973DFED62FB4"/>
        <xdr:cNvPicPr>
          <a:picLocks noChangeAspect="1"/>
        </xdr:cNvPicPr>
      </xdr:nvPicPr>
      <xdr:blipFill>
        <a:blip r:embed="rId220" cstate="print"/>
        <a:stretch>
          <a:fillRect/>
        </a:stretch>
      </xdr:blipFill>
      <xdr:spPr>
        <a:xfrm>
          <a:off x="191770" y="8007350"/>
          <a:ext cx="236855" cy="225425"/>
        </a:xfrm>
        <a:prstGeom prst="rect">
          <a:avLst/>
        </a:prstGeom>
      </xdr:spPr>
    </xdr:pic>
  </etc:cellImage>
  <etc:cellImage>
    <xdr:pic>
      <xdr:nvPicPr>
        <xdr:cNvPr id="307" name="ID_2B121DD4114D4409B3077D94682C9E9A"/>
        <xdr:cNvPicPr>
          <a:picLocks noChangeAspect="1"/>
        </xdr:cNvPicPr>
      </xdr:nvPicPr>
      <xdr:blipFill>
        <a:blip r:embed="rId221" cstate="print"/>
        <a:stretch>
          <a:fillRect/>
        </a:stretch>
      </xdr:blipFill>
      <xdr:spPr>
        <a:xfrm>
          <a:off x="191770" y="9531350"/>
          <a:ext cx="236855" cy="225425"/>
        </a:xfrm>
        <a:prstGeom prst="rect">
          <a:avLst/>
        </a:prstGeom>
      </xdr:spPr>
    </xdr:pic>
  </etc:cellImage>
  <etc:cellImage>
    <xdr:pic>
      <xdr:nvPicPr>
        <xdr:cNvPr id="309" name="ID_5F705A5FDC144044AABB34A2F402B40B"/>
        <xdr:cNvPicPr>
          <a:picLocks noChangeAspect="1"/>
        </xdr:cNvPicPr>
      </xdr:nvPicPr>
      <xdr:blipFill>
        <a:blip r:embed="rId222" cstate="print"/>
        <a:stretch>
          <a:fillRect/>
        </a:stretch>
      </xdr:blipFill>
      <xdr:spPr>
        <a:xfrm>
          <a:off x="191770" y="8921750"/>
          <a:ext cx="236855" cy="225425"/>
        </a:xfrm>
        <a:prstGeom prst="rect">
          <a:avLst/>
        </a:prstGeom>
      </xdr:spPr>
    </xdr:pic>
  </etc:cellImage>
  <etc:cellImage>
    <xdr:pic>
      <xdr:nvPicPr>
        <xdr:cNvPr id="310" name="ID_FEB60C90BA9940408FA73B1AA52588A7"/>
        <xdr:cNvPicPr>
          <a:picLocks noChangeAspect="1"/>
        </xdr:cNvPicPr>
      </xdr:nvPicPr>
      <xdr:blipFill>
        <a:blip r:embed="rId223" cstate="print"/>
        <a:stretch>
          <a:fillRect/>
        </a:stretch>
      </xdr:blipFill>
      <xdr:spPr>
        <a:xfrm>
          <a:off x="191770" y="8312150"/>
          <a:ext cx="236855" cy="225425"/>
        </a:xfrm>
        <a:prstGeom prst="rect">
          <a:avLst/>
        </a:prstGeom>
      </xdr:spPr>
    </xdr:pic>
  </etc:cellImage>
  <etc:cellImage>
    <xdr:pic>
      <xdr:nvPicPr>
        <xdr:cNvPr id="311" name="ID_A56FAFEB25634B9FB769A1E7444FBCA9"/>
        <xdr:cNvPicPr>
          <a:picLocks noChangeAspect="1"/>
        </xdr:cNvPicPr>
      </xdr:nvPicPr>
      <xdr:blipFill>
        <a:blip r:embed="rId224" cstate="print"/>
        <a:stretch>
          <a:fillRect/>
        </a:stretch>
      </xdr:blipFill>
      <xdr:spPr>
        <a:xfrm>
          <a:off x="191770" y="9226550"/>
          <a:ext cx="236855" cy="225425"/>
        </a:xfrm>
        <a:prstGeom prst="rect">
          <a:avLst/>
        </a:prstGeom>
      </xdr:spPr>
    </xdr:pic>
  </etc:cellImage>
  <etc:cellImage>
    <xdr:pic>
      <xdr:nvPicPr>
        <xdr:cNvPr id="312" name="ID_655B8479D0FA49AC8940B053D0F4B56C"/>
        <xdr:cNvPicPr>
          <a:picLocks noChangeAspect="1"/>
        </xdr:cNvPicPr>
      </xdr:nvPicPr>
      <xdr:blipFill>
        <a:blip r:embed="rId225" cstate="print"/>
        <a:stretch>
          <a:fillRect/>
        </a:stretch>
      </xdr:blipFill>
      <xdr:spPr>
        <a:xfrm>
          <a:off x="191770" y="8616950"/>
          <a:ext cx="236855" cy="225425"/>
        </a:xfrm>
        <a:prstGeom prst="rect">
          <a:avLst/>
        </a:prstGeom>
      </xdr:spPr>
    </xdr:pic>
  </etc:cellImage>
  <etc:cellImage>
    <xdr:pic>
      <xdr:nvPicPr>
        <xdr:cNvPr id="314" name="ID_57C5254188594DADA615573EE730EDB8"/>
        <xdr:cNvPicPr>
          <a:picLocks noChangeAspect="1"/>
        </xdr:cNvPicPr>
      </xdr:nvPicPr>
      <xdr:blipFill>
        <a:blip r:embed="rId226" cstate="print"/>
        <a:stretch>
          <a:fillRect/>
        </a:stretch>
      </xdr:blipFill>
      <xdr:spPr>
        <a:xfrm>
          <a:off x="191770" y="10445750"/>
          <a:ext cx="236855" cy="225425"/>
        </a:xfrm>
        <a:prstGeom prst="rect">
          <a:avLst/>
        </a:prstGeom>
      </xdr:spPr>
    </xdr:pic>
  </etc:cellImage>
  <etc:cellImage>
    <xdr:pic>
      <xdr:nvPicPr>
        <xdr:cNvPr id="318" name="ID_EC5715FDE44E423DA2407A8C8149F902"/>
        <xdr:cNvPicPr>
          <a:picLocks noChangeAspect="1"/>
        </xdr:cNvPicPr>
      </xdr:nvPicPr>
      <xdr:blipFill>
        <a:blip r:embed="rId227" cstate="print"/>
        <a:stretch>
          <a:fillRect/>
        </a:stretch>
      </xdr:blipFill>
      <xdr:spPr>
        <a:xfrm>
          <a:off x="191770" y="10140950"/>
          <a:ext cx="236855" cy="225425"/>
        </a:xfrm>
        <a:prstGeom prst="rect">
          <a:avLst/>
        </a:prstGeom>
      </xdr:spPr>
    </xdr:pic>
  </etc:cellImage>
  <etc:cellImage>
    <xdr:pic>
      <xdr:nvPicPr>
        <xdr:cNvPr id="327" name="ID_30AF9FE10AEA414CBF2D799A8F97B6E1"/>
        <xdr:cNvPicPr>
          <a:picLocks noChangeAspect="1"/>
        </xdr:cNvPicPr>
      </xdr:nvPicPr>
      <xdr:blipFill>
        <a:blip r:embed="rId228" cstate="print"/>
        <a:stretch>
          <a:fillRect/>
        </a:stretch>
      </xdr:blipFill>
      <xdr:spPr>
        <a:xfrm>
          <a:off x="191770" y="10750550"/>
          <a:ext cx="236855" cy="225425"/>
        </a:xfrm>
        <a:prstGeom prst="rect">
          <a:avLst/>
        </a:prstGeom>
      </xdr:spPr>
    </xdr:pic>
  </etc:cellImage>
  <etc:cellImage>
    <xdr:pic>
      <xdr:nvPicPr>
        <xdr:cNvPr id="330" name="ID_3FE23FCA5B2E49C3844336FD61124FED"/>
        <xdr:cNvPicPr>
          <a:picLocks noChangeAspect="1"/>
        </xdr:cNvPicPr>
      </xdr:nvPicPr>
      <xdr:blipFill>
        <a:blip r:embed="rId229" cstate="print"/>
        <a:stretch>
          <a:fillRect/>
        </a:stretch>
      </xdr:blipFill>
      <xdr:spPr>
        <a:xfrm>
          <a:off x="191770" y="11664950"/>
          <a:ext cx="236855" cy="225425"/>
        </a:xfrm>
        <a:prstGeom prst="rect">
          <a:avLst/>
        </a:prstGeom>
      </xdr:spPr>
    </xdr:pic>
  </etc:cellImage>
  <etc:cellImage>
    <xdr:pic>
      <xdr:nvPicPr>
        <xdr:cNvPr id="331" name="ID_326E9FDB3B4845F0A5722189EAC9E480"/>
        <xdr:cNvPicPr>
          <a:picLocks noChangeAspect="1"/>
        </xdr:cNvPicPr>
      </xdr:nvPicPr>
      <xdr:blipFill>
        <a:blip r:embed="rId230" cstate="print"/>
        <a:stretch>
          <a:fillRect/>
        </a:stretch>
      </xdr:blipFill>
      <xdr:spPr>
        <a:xfrm>
          <a:off x="191770" y="11969750"/>
          <a:ext cx="236855" cy="225425"/>
        </a:xfrm>
        <a:prstGeom prst="rect">
          <a:avLst/>
        </a:prstGeom>
      </xdr:spPr>
    </xdr:pic>
  </etc:cellImage>
  <etc:cellImage>
    <xdr:pic>
      <xdr:nvPicPr>
        <xdr:cNvPr id="332" name="ID_AAE88E8E58E24127872CEF24C45B9937"/>
        <xdr:cNvPicPr>
          <a:picLocks noChangeAspect="1"/>
        </xdr:cNvPicPr>
      </xdr:nvPicPr>
      <xdr:blipFill>
        <a:blip r:embed="rId231" cstate="print"/>
        <a:stretch>
          <a:fillRect/>
        </a:stretch>
      </xdr:blipFill>
      <xdr:spPr>
        <a:xfrm>
          <a:off x="191770" y="12274550"/>
          <a:ext cx="236855" cy="225425"/>
        </a:xfrm>
        <a:prstGeom prst="rect">
          <a:avLst/>
        </a:prstGeom>
      </xdr:spPr>
    </xdr:pic>
  </etc:cellImage>
  <etc:cellImage>
    <xdr:pic>
      <xdr:nvPicPr>
        <xdr:cNvPr id="333" name="ID_EC8F5E1D8B5E43A7A8E6C0EC276E9523"/>
        <xdr:cNvPicPr>
          <a:picLocks noChangeAspect="1"/>
        </xdr:cNvPicPr>
      </xdr:nvPicPr>
      <xdr:blipFill>
        <a:blip r:embed="rId232" cstate="print"/>
        <a:stretch>
          <a:fillRect/>
        </a:stretch>
      </xdr:blipFill>
      <xdr:spPr>
        <a:xfrm>
          <a:off x="191770" y="12579350"/>
          <a:ext cx="236855" cy="225425"/>
        </a:xfrm>
        <a:prstGeom prst="rect">
          <a:avLst/>
        </a:prstGeom>
      </xdr:spPr>
    </xdr:pic>
  </etc:cellImage>
  <etc:cellImage>
    <xdr:pic>
      <xdr:nvPicPr>
        <xdr:cNvPr id="334" name="ID_D74B9A3072A84714B66CE5C87FFCBA80"/>
        <xdr:cNvPicPr>
          <a:picLocks noChangeAspect="1"/>
        </xdr:cNvPicPr>
      </xdr:nvPicPr>
      <xdr:blipFill>
        <a:blip r:embed="rId233" cstate="print"/>
        <a:stretch>
          <a:fillRect/>
        </a:stretch>
      </xdr:blipFill>
      <xdr:spPr>
        <a:xfrm>
          <a:off x="191770" y="13188950"/>
          <a:ext cx="236855" cy="225425"/>
        </a:xfrm>
        <a:prstGeom prst="rect">
          <a:avLst/>
        </a:prstGeom>
      </xdr:spPr>
    </xdr:pic>
  </etc:cellImage>
  <etc:cellImage>
    <xdr:pic>
      <xdr:nvPicPr>
        <xdr:cNvPr id="335" name="ID_C4420D497CEE439CB44B54C9CDCD1365"/>
        <xdr:cNvPicPr>
          <a:picLocks noChangeAspect="1"/>
        </xdr:cNvPicPr>
      </xdr:nvPicPr>
      <xdr:blipFill>
        <a:blip r:embed="rId234" cstate="print"/>
        <a:stretch>
          <a:fillRect/>
        </a:stretch>
      </xdr:blipFill>
      <xdr:spPr>
        <a:xfrm>
          <a:off x="191770" y="13493750"/>
          <a:ext cx="236855" cy="225425"/>
        </a:xfrm>
        <a:prstGeom prst="rect">
          <a:avLst/>
        </a:prstGeom>
      </xdr:spPr>
    </xdr:pic>
  </etc:cellImage>
  <etc:cellImage>
    <xdr:pic>
      <xdr:nvPicPr>
        <xdr:cNvPr id="336" name="ID_EFBFC06B2CA34CBEAE3BA64CC3E478CB"/>
        <xdr:cNvPicPr>
          <a:picLocks noChangeAspect="1"/>
        </xdr:cNvPicPr>
      </xdr:nvPicPr>
      <xdr:blipFill>
        <a:blip r:embed="rId235" cstate="print"/>
        <a:stretch>
          <a:fillRect/>
        </a:stretch>
      </xdr:blipFill>
      <xdr:spPr>
        <a:xfrm>
          <a:off x="191770" y="12884150"/>
          <a:ext cx="236855" cy="225425"/>
        </a:xfrm>
        <a:prstGeom prst="rect">
          <a:avLst/>
        </a:prstGeom>
      </xdr:spPr>
    </xdr:pic>
  </etc:cellImage>
  <etc:cellImage>
    <xdr:pic>
      <xdr:nvPicPr>
        <xdr:cNvPr id="337" name="ID_5EF4F8B41D6F4D8D941029966DCF7200"/>
        <xdr:cNvPicPr>
          <a:picLocks noChangeAspect="1"/>
        </xdr:cNvPicPr>
      </xdr:nvPicPr>
      <xdr:blipFill>
        <a:blip r:embed="rId236" cstate="print"/>
        <a:stretch>
          <a:fillRect/>
        </a:stretch>
      </xdr:blipFill>
      <xdr:spPr>
        <a:xfrm>
          <a:off x="191770" y="13798550"/>
          <a:ext cx="236855" cy="225425"/>
        </a:xfrm>
        <a:prstGeom prst="rect">
          <a:avLst/>
        </a:prstGeom>
      </xdr:spPr>
    </xdr:pic>
  </etc:cellImage>
  <etc:cellImage>
    <xdr:pic>
      <xdr:nvPicPr>
        <xdr:cNvPr id="338" name="ID_14E7B489EDAE46A0A68C009239BF162A"/>
        <xdr:cNvPicPr>
          <a:picLocks noChangeAspect="1"/>
        </xdr:cNvPicPr>
      </xdr:nvPicPr>
      <xdr:blipFill>
        <a:blip r:embed="rId237" cstate="print"/>
        <a:stretch>
          <a:fillRect/>
        </a:stretch>
      </xdr:blipFill>
      <xdr:spPr>
        <a:xfrm>
          <a:off x="191770" y="14103350"/>
          <a:ext cx="236855" cy="225425"/>
        </a:xfrm>
        <a:prstGeom prst="rect">
          <a:avLst/>
        </a:prstGeom>
      </xdr:spPr>
    </xdr:pic>
  </etc:cellImage>
  <etc:cellImage>
    <xdr:pic>
      <xdr:nvPicPr>
        <xdr:cNvPr id="339" name="ID_FFEEF59C9E28452A81B58E12345A3D91"/>
        <xdr:cNvPicPr>
          <a:picLocks noChangeAspect="1"/>
        </xdr:cNvPicPr>
      </xdr:nvPicPr>
      <xdr:blipFill>
        <a:blip r:embed="rId238" cstate="print"/>
        <a:stretch>
          <a:fillRect/>
        </a:stretch>
      </xdr:blipFill>
      <xdr:spPr>
        <a:xfrm>
          <a:off x="191770" y="14408150"/>
          <a:ext cx="236855" cy="225425"/>
        </a:xfrm>
        <a:prstGeom prst="rect">
          <a:avLst/>
        </a:prstGeom>
      </xdr:spPr>
    </xdr:pic>
  </etc:cellImage>
  <etc:cellImage>
    <xdr:pic>
      <xdr:nvPicPr>
        <xdr:cNvPr id="341" name="ID_8B9E104DF27F4DD8830F9911E91369FC"/>
        <xdr:cNvPicPr>
          <a:picLocks noChangeAspect="1"/>
        </xdr:cNvPicPr>
      </xdr:nvPicPr>
      <xdr:blipFill>
        <a:blip r:embed="rId239" cstate="print"/>
        <a:stretch>
          <a:fillRect/>
        </a:stretch>
      </xdr:blipFill>
      <xdr:spPr>
        <a:xfrm>
          <a:off x="191770" y="15017750"/>
          <a:ext cx="236855" cy="225425"/>
        </a:xfrm>
        <a:prstGeom prst="rect">
          <a:avLst/>
        </a:prstGeom>
      </xdr:spPr>
    </xdr:pic>
  </etc:cellImage>
  <etc:cellImage>
    <xdr:pic>
      <xdr:nvPicPr>
        <xdr:cNvPr id="342" name="ID_1DC3B922AC8C44E1AED1D10E68582928"/>
        <xdr:cNvPicPr>
          <a:picLocks noChangeAspect="1"/>
        </xdr:cNvPicPr>
      </xdr:nvPicPr>
      <xdr:blipFill>
        <a:blip r:embed="rId240" cstate="print"/>
        <a:stretch>
          <a:fillRect/>
        </a:stretch>
      </xdr:blipFill>
      <xdr:spPr>
        <a:xfrm>
          <a:off x="191770" y="15322550"/>
          <a:ext cx="236855" cy="225425"/>
        </a:xfrm>
        <a:prstGeom prst="rect">
          <a:avLst/>
        </a:prstGeom>
      </xdr:spPr>
    </xdr:pic>
  </etc:cellImage>
  <etc:cellImage>
    <xdr:pic>
      <xdr:nvPicPr>
        <xdr:cNvPr id="343" name="ID_14C66A68CCD44D66B23E9F77B6546631"/>
        <xdr:cNvPicPr>
          <a:picLocks noChangeAspect="1"/>
        </xdr:cNvPicPr>
      </xdr:nvPicPr>
      <xdr:blipFill>
        <a:blip r:embed="rId241" cstate="print"/>
        <a:stretch>
          <a:fillRect/>
        </a:stretch>
      </xdr:blipFill>
      <xdr:spPr>
        <a:xfrm>
          <a:off x="191770" y="15627350"/>
          <a:ext cx="236855" cy="225425"/>
        </a:xfrm>
        <a:prstGeom prst="rect">
          <a:avLst/>
        </a:prstGeom>
      </xdr:spPr>
    </xdr:pic>
  </etc:cellImage>
  <etc:cellImage>
    <xdr:pic>
      <xdr:nvPicPr>
        <xdr:cNvPr id="344" name="ID_DF255A0C652948E2806FD4AAEF1D7897"/>
        <xdr:cNvPicPr>
          <a:picLocks noChangeAspect="1"/>
        </xdr:cNvPicPr>
      </xdr:nvPicPr>
      <xdr:blipFill>
        <a:blip r:embed="rId242" cstate="print"/>
        <a:stretch>
          <a:fillRect/>
        </a:stretch>
      </xdr:blipFill>
      <xdr:spPr>
        <a:xfrm>
          <a:off x="191770" y="16236950"/>
          <a:ext cx="236855" cy="225425"/>
        </a:xfrm>
        <a:prstGeom prst="rect">
          <a:avLst/>
        </a:prstGeom>
      </xdr:spPr>
    </xdr:pic>
  </etc:cellImage>
  <etc:cellImage>
    <xdr:pic>
      <xdr:nvPicPr>
        <xdr:cNvPr id="345" name="ID_A5C88BD34EDF4F8F84ED339150119AA7"/>
        <xdr:cNvPicPr>
          <a:picLocks noChangeAspect="1"/>
        </xdr:cNvPicPr>
      </xdr:nvPicPr>
      <xdr:blipFill>
        <a:blip r:embed="rId243" cstate="print"/>
        <a:stretch>
          <a:fillRect/>
        </a:stretch>
      </xdr:blipFill>
      <xdr:spPr>
        <a:xfrm>
          <a:off x="191770" y="15932150"/>
          <a:ext cx="236855" cy="225425"/>
        </a:xfrm>
        <a:prstGeom prst="rect">
          <a:avLst/>
        </a:prstGeom>
      </xdr:spPr>
    </xdr:pic>
  </etc:cellImage>
  <etc:cellImage>
    <xdr:pic>
      <xdr:nvPicPr>
        <xdr:cNvPr id="346" name="ID_54E0AFE17F184E5990F96C254B254664"/>
        <xdr:cNvPicPr>
          <a:picLocks noChangeAspect="1"/>
        </xdr:cNvPicPr>
      </xdr:nvPicPr>
      <xdr:blipFill>
        <a:blip r:embed="rId244" cstate="print"/>
        <a:stretch>
          <a:fillRect/>
        </a:stretch>
      </xdr:blipFill>
      <xdr:spPr>
        <a:xfrm>
          <a:off x="191770" y="16541750"/>
          <a:ext cx="236855" cy="225425"/>
        </a:xfrm>
        <a:prstGeom prst="rect">
          <a:avLst/>
        </a:prstGeom>
      </xdr:spPr>
    </xdr:pic>
  </etc:cellImage>
  <etc:cellImage>
    <xdr:pic>
      <xdr:nvPicPr>
        <xdr:cNvPr id="348" name="ID_ABB6A3F814174AC4B033F51D49C7DE64"/>
        <xdr:cNvPicPr>
          <a:picLocks noChangeAspect="1"/>
        </xdr:cNvPicPr>
      </xdr:nvPicPr>
      <xdr:blipFill>
        <a:blip r:embed="rId245" cstate="print"/>
        <a:stretch>
          <a:fillRect/>
        </a:stretch>
      </xdr:blipFill>
      <xdr:spPr>
        <a:xfrm>
          <a:off x="191770" y="17456150"/>
          <a:ext cx="236855" cy="225425"/>
        </a:xfrm>
        <a:prstGeom prst="rect">
          <a:avLst/>
        </a:prstGeom>
      </xdr:spPr>
    </xdr:pic>
  </etc:cellImage>
  <etc:cellImage>
    <xdr:pic>
      <xdr:nvPicPr>
        <xdr:cNvPr id="349" name="ID_5562B5F163DB48C39AF88CF6C6DB9CA7"/>
        <xdr:cNvPicPr>
          <a:picLocks noChangeAspect="1"/>
        </xdr:cNvPicPr>
      </xdr:nvPicPr>
      <xdr:blipFill>
        <a:blip r:embed="rId246" cstate="print"/>
        <a:stretch>
          <a:fillRect/>
        </a:stretch>
      </xdr:blipFill>
      <xdr:spPr>
        <a:xfrm>
          <a:off x="191770" y="17760950"/>
          <a:ext cx="236855" cy="225425"/>
        </a:xfrm>
        <a:prstGeom prst="rect">
          <a:avLst/>
        </a:prstGeom>
      </xdr:spPr>
    </xdr:pic>
  </etc:cellImage>
  <etc:cellImage>
    <xdr:pic>
      <xdr:nvPicPr>
        <xdr:cNvPr id="350" name="ID_DE2B348AB1E54ACAB5026EC97FE64D1A"/>
        <xdr:cNvPicPr>
          <a:picLocks noChangeAspect="1"/>
        </xdr:cNvPicPr>
      </xdr:nvPicPr>
      <xdr:blipFill>
        <a:blip r:embed="rId247" cstate="print"/>
        <a:stretch>
          <a:fillRect/>
        </a:stretch>
      </xdr:blipFill>
      <xdr:spPr>
        <a:xfrm>
          <a:off x="191770" y="18065750"/>
          <a:ext cx="236855" cy="225425"/>
        </a:xfrm>
        <a:prstGeom prst="rect">
          <a:avLst/>
        </a:prstGeom>
      </xdr:spPr>
    </xdr:pic>
  </etc:cellImage>
  <etc:cellImage>
    <xdr:pic>
      <xdr:nvPicPr>
        <xdr:cNvPr id="351" name="ID_1CC8A60928EC4830A6791E0B1D53306D"/>
        <xdr:cNvPicPr>
          <a:picLocks noChangeAspect="1"/>
        </xdr:cNvPicPr>
      </xdr:nvPicPr>
      <xdr:blipFill>
        <a:blip r:embed="rId248" cstate="print"/>
        <a:stretch>
          <a:fillRect/>
        </a:stretch>
      </xdr:blipFill>
      <xdr:spPr>
        <a:xfrm>
          <a:off x="191770" y="18370550"/>
          <a:ext cx="236855" cy="225425"/>
        </a:xfrm>
        <a:prstGeom prst="rect">
          <a:avLst/>
        </a:prstGeom>
      </xdr:spPr>
    </xdr:pic>
  </etc:cellImage>
  <etc:cellImage>
    <xdr:pic>
      <xdr:nvPicPr>
        <xdr:cNvPr id="352" name="ID_D5F7F4B1288C463CB4FBAB7A63B33D08"/>
        <xdr:cNvPicPr>
          <a:picLocks noChangeAspect="1"/>
        </xdr:cNvPicPr>
      </xdr:nvPicPr>
      <xdr:blipFill>
        <a:blip r:embed="rId249" cstate="print"/>
        <a:stretch>
          <a:fillRect/>
        </a:stretch>
      </xdr:blipFill>
      <xdr:spPr>
        <a:xfrm>
          <a:off x="191770" y="18675350"/>
          <a:ext cx="236855" cy="225425"/>
        </a:xfrm>
        <a:prstGeom prst="rect">
          <a:avLst/>
        </a:prstGeom>
      </xdr:spPr>
    </xdr:pic>
  </etc:cellImage>
  <etc:cellImage>
    <xdr:pic>
      <xdr:nvPicPr>
        <xdr:cNvPr id="353" name="ID_CF4CFA9B4BA044A4B75C7FB917181C2E"/>
        <xdr:cNvPicPr>
          <a:picLocks noChangeAspect="1"/>
        </xdr:cNvPicPr>
      </xdr:nvPicPr>
      <xdr:blipFill>
        <a:blip r:embed="rId250" cstate="print"/>
        <a:stretch>
          <a:fillRect/>
        </a:stretch>
      </xdr:blipFill>
      <xdr:spPr>
        <a:xfrm>
          <a:off x="191770" y="17151350"/>
          <a:ext cx="236855" cy="225425"/>
        </a:xfrm>
        <a:prstGeom prst="rect">
          <a:avLst/>
        </a:prstGeom>
      </xdr:spPr>
    </xdr:pic>
  </etc:cellImage>
  <etc:cellImage>
    <xdr:pic>
      <xdr:nvPicPr>
        <xdr:cNvPr id="355" name="ID_F156718E2A894CB5961DE06C24ED3617"/>
        <xdr:cNvPicPr>
          <a:picLocks noChangeAspect="1"/>
        </xdr:cNvPicPr>
      </xdr:nvPicPr>
      <xdr:blipFill>
        <a:blip r:embed="rId251" cstate="print"/>
        <a:stretch>
          <a:fillRect/>
        </a:stretch>
      </xdr:blipFill>
      <xdr:spPr>
        <a:xfrm>
          <a:off x="191770" y="19284950"/>
          <a:ext cx="236855" cy="225425"/>
        </a:xfrm>
        <a:prstGeom prst="rect">
          <a:avLst/>
        </a:prstGeom>
      </xdr:spPr>
    </xdr:pic>
  </etc:cellImage>
  <etc:cellImage>
    <xdr:pic>
      <xdr:nvPicPr>
        <xdr:cNvPr id="356" name="ID_695D1CCC4CA045139C4ABF47E1CCACBF"/>
        <xdr:cNvPicPr>
          <a:picLocks noChangeAspect="1"/>
        </xdr:cNvPicPr>
      </xdr:nvPicPr>
      <xdr:blipFill>
        <a:blip r:embed="rId252" cstate="print"/>
        <a:stretch>
          <a:fillRect/>
        </a:stretch>
      </xdr:blipFill>
      <xdr:spPr>
        <a:xfrm>
          <a:off x="191770" y="19894550"/>
          <a:ext cx="236855" cy="225425"/>
        </a:xfrm>
        <a:prstGeom prst="rect">
          <a:avLst/>
        </a:prstGeom>
      </xdr:spPr>
    </xdr:pic>
  </etc:cellImage>
  <etc:cellImage>
    <xdr:pic>
      <xdr:nvPicPr>
        <xdr:cNvPr id="357" name="ID_B1C8BB44B25043D4A886C115934DB689"/>
        <xdr:cNvPicPr>
          <a:picLocks noChangeAspect="1"/>
        </xdr:cNvPicPr>
      </xdr:nvPicPr>
      <xdr:blipFill>
        <a:blip r:embed="rId253" cstate="print"/>
        <a:stretch>
          <a:fillRect/>
        </a:stretch>
      </xdr:blipFill>
      <xdr:spPr>
        <a:xfrm>
          <a:off x="191770" y="19589750"/>
          <a:ext cx="236855" cy="225425"/>
        </a:xfrm>
        <a:prstGeom prst="rect">
          <a:avLst/>
        </a:prstGeom>
      </xdr:spPr>
    </xdr:pic>
  </etc:cellImage>
  <etc:cellImage>
    <xdr:pic>
      <xdr:nvPicPr>
        <xdr:cNvPr id="358" name="ID_1F02B86715A94ABAB5EED5849E66B5FD"/>
        <xdr:cNvPicPr>
          <a:picLocks noChangeAspect="1"/>
        </xdr:cNvPicPr>
      </xdr:nvPicPr>
      <xdr:blipFill>
        <a:blip r:embed="rId254" cstate="print"/>
        <a:stretch>
          <a:fillRect/>
        </a:stretch>
      </xdr:blipFill>
      <xdr:spPr>
        <a:xfrm>
          <a:off x="191770" y="20199350"/>
          <a:ext cx="236855" cy="225425"/>
        </a:xfrm>
        <a:prstGeom prst="rect">
          <a:avLst/>
        </a:prstGeom>
      </xdr:spPr>
    </xdr:pic>
  </etc:cellImage>
  <etc:cellImage>
    <xdr:pic>
      <xdr:nvPicPr>
        <xdr:cNvPr id="359" name="ID_8C83148C43504D86A1DB58E8CCDF7309"/>
        <xdr:cNvPicPr>
          <a:picLocks noChangeAspect="1"/>
        </xdr:cNvPicPr>
      </xdr:nvPicPr>
      <xdr:blipFill>
        <a:blip r:embed="rId255" cstate="print"/>
        <a:stretch>
          <a:fillRect/>
        </a:stretch>
      </xdr:blipFill>
      <xdr:spPr>
        <a:xfrm>
          <a:off x="191770" y="20504150"/>
          <a:ext cx="236855" cy="225425"/>
        </a:xfrm>
        <a:prstGeom prst="rect">
          <a:avLst/>
        </a:prstGeom>
      </xdr:spPr>
    </xdr:pic>
  </etc:cellImage>
  <etc:cellImage>
    <xdr:pic>
      <xdr:nvPicPr>
        <xdr:cNvPr id="360" name="ID_888A755A882D4513BC9D8F5FC20B3AC9"/>
        <xdr:cNvPicPr>
          <a:picLocks noChangeAspect="1"/>
        </xdr:cNvPicPr>
      </xdr:nvPicPr>
      <xdr:blipFill>
        <a:blip r:embed="rId256" cstate="print"/>
        <a:stretch>
          <a:fillRect/>
        </a:stretch>
      </xdr:blipFill>
      <xdr:spPr>
        <a:xfrm>
          <a:off x="191770" y="20808950"/>
          <a:ext cx="236855" cy="225425"/>
        </a:xfrm>
        <a:prstGeom prst="rect">
          <a:avLst/>
        </a:prstGeom>
      </xdr:spPr>
    </xdr:pic>
  </etc:cellImage>
  <etc:cellImage>
    <xdr:pic>
      <xdr:nvPicPr>
        <xdr:cNvPr id="361" name="ID_17D2559E86F44A54A0A9006016AB2DA9"/>
        <xdr:cNvPicPr>
          <a:picLocks noChangeAspect="1"/>
        </xdr:cNvPicPr>
      </xdr:nvPicPr>
      <xdr:blipFill>
        <a:blip r:embed="rId257" cstate="print"/>
        <a:stretch>
          <a:fillRect/>
        </a:stretch>
      </xdr:blipFill>
      <xdr:spPr>
        <a:xfrm>
          <a:off x="191770" y="21723350"/>
          <a:ext cx="236855" cy="225425"/>
        </a:xfrm>
        <a:prstGeom prst="rect">
          <a:avLst/>
        </a:prstGeom>
      </xdr:spPr>
    </xdr:pic>
  </etc:cellImage>
  <etc:cellImage>
    <xdr:pic>
      <xdr:nvPicPr>
        <xdr:cNvPr id="363" name="ID_CB4B079C03484E1FABD66C3A8EE5DBCA"/>
        <xdr:cNvPicPr>
          <a:picLocks noChangeAspect="1"/>
        </xdr:cNvPicPr>
      </xdr:nvPicPr>
      <xdr:blipFill>
        <a:blip r:embed="rId258" cstate="print"/>
        <a:stretch>
          <a:fillRect/>
        </a:stretch>
      </xdr:blipFill>
      <xdr:spPr>
        <a:xfrm>
          <a:off x="191770" y="21418550"/>
          <a:ext cx="236855" cy="225425"/>
        </a:xfrm>
        <a:prstGeom prst="rect">
          <a:avLst/>
        </a:prstGeom>
      </xdr:spPr>
    </xdr:pic>
  </etc:cellImage>
  <etc:cellImage>
    <xdr:pic>
      <xdr:nvPicPr>
        <xdr:cNvPr id="364" name="ID_E72CFFF1B748493989220C334F229A7A"/>
        <xdr:cNvPicPr>
          <a:picLocks noChangeAspect="1"/>
        </xdr:cNvPicPr>
      </xdr:nvPicPr>
      <xdr:blipFill>
        <a:blip r:embed="rId259" cstate="print"/>
        <a:stretch>
          <a:fillRect/>
        </a:stretch>
      </xdr:blipFill>
      <xdr:spPr>
        <a:xfrm>
          <a:off x="191770" y="22028150"/>
          <a:ext cx="236855" cy="225425"/>
        </a:xfrm>
        <a:prstGeom prst="rect">
          <a:avLst/>
        </a:prstGeom>
      </xdr:spPr>
    </xdr:pic>
  </etc:cellImage>
  <etc:cellImage>
    <xdr:pic>
      <xdr:nvPicPr>
        <xdr:cNvPr id="365" name="ID_09D48146F971440D80F2FC5359F757BB"/>
        <xdr:cNvPicPr>
          <a:picLocks noChangeAspect="1"/>
        </xdr:cNvPicPr>
      </xdr:nvPicPr>
      <xdr:blipFill>
        <a:blip r:embed="rId260" cstate="print"/>
        <a:stretch>
          <a:fillRect/>
        </a:stretch>
      </xdr:blipFill>
      <xdr:spPr>
        <a:xfrm>
          <a:off x="191770" y="22332950"/>
          <a:ext cx="236855" cy="225425"/>
        </a:xfrm>
        <a:prstGeom prst="rect">
          <a:avLst/>
        </a:prstGeom>
      </xdr:spPr>
    </xdr:pic>
  </etc:cellImage>
  <etc:cellImage>
    <xdr:pic>
      <xdr:nvPicPr>
        <xdr:cNvPr id="366" name="ID_69D8304B4C734971B5962BEF265D5C42"/>
        <xdr:cNvPicPr>
          <a:picLocks noChangeAspect="1"/>
        </xdr:cNvPicPr>
      </xdr:nvPicPr>
      <xdr:blipFill>
        <a:blip r:embed="rId261" cstate="print"/>
        <a:stretch>
          <a:fillRect/>
        </a:stretch>
      </xdr:blipFill>
      <xdr:spPr>
        <a:xfrm>
          <a:off x="191770" y="22637750"/>
          <a:ext cx="236855" cy="225425"/>
        </a:xfrm>
        <a:prstGeom prst="rect">
          <a:avLst/>
        </a:prstGeom>
      </xdr:spPr>
    </xdr:pic>
  </etc:cellImage>
  <etc:cellImage>
    <xdr:pic>
      <xdr:nvPicPr>
        <xdr:cNvPr id="367" name="ID_00011A14DD764057925EAB93B1C32B51"/>
        <xdr:cNvPicPr>
          <a:picLocks noChangeAspect="1"/>
        </xdr:cNvPicPr>
      </xdr:nvPicPr>
      <xdr:blipFill>
        <a:blip r:embed="rId262" cstate="print"/>
        <a:stretch>
          <a:fillRect/>
        </a:stretch>
      </xdr:blipFill>
      <xdr:spPr>
        <a:xfrm>
          <a:off x="191770" y="22942550"/>
          <a:ext cx="236855" cy="225425"/>
        </a:xfrm>
        <a:prstGeom prst="rect">
          <a:avLst/>
        </a:prstGeom>
      </xdr:spPr>
    </xdr:pic>
  </etc:cellImage>
  <etc:cellImage>
    <xdr:pic>
      <xdr:nvPicPr>
        <xdr:cNvPr id="369" name="ID_073D25E4DD884F82A44918BB058A6FA0"/>
        <xdr:cNvPicPr>
          <a:picLocks noChangeAspect="1"/>
        </xdr:cNvPicPr>
      </xdr:nvPicPr>
      <xdr:blipFill>
        <a:blip r:embed="rId263" cstate="print"/>
        <a:stretch>
          <a:fillRect/>
        </a:stretch>
      </xdr:blipFill>
      <xdr:spPr>
        <a:xfrm>
          <a:off x="191770" y="23856950"/>
          <a:ext cx="236855" cy="225425"/>
        </a:xfrm>
        <a:prstGeom prst="rect">
          <a:avLst/>
        </a:prstGeom>
      </xdr:spPr>
    </xdr:pic>
  </etc:cellImage>
  <etc:cellImage>
    <xdr:pic>
      <xdr:nvPicPr>
        <xdr:cNvPr id="370" name="ID_31DC207AD3C44AAD8B67DA009FFB8A3D"/>
        <xdr:cNvPicPr>
          <a:picLocks noChangeAspect="1"/>
        </xdr:cNvPicPr>
      </xdr:nvPicPr>
      <xdr:blipFill>
        <a:blip r:embed="rId264" cstate="print"/>
        <a:stretch>
          <a:fillRect/>
        </a:stretch>
      </xdr:blipFill>
      <xdr:spPr>
        <a:xfrm>
          <a:off x="191770" y="23552150"/>
          <a:ext cx="236855" cy="225425"/>
        </a:xfrm>
        <a:prstGeom prst="rect">
          <a:avLst/>
        </a:prstGeom>
      </xdr:spPr>
    </xdr:pic>
  </etc:cellImage>
  <etc:cellImage>
    <xdr:pic>
      <xdr:nvPicPr>
        <xdr:cNvPr id="371" name="ID_3DBAE646C8CB4B5D9BF1F3F01226FC3F"/>
        <xdr:cNvPicPr>
          <a:picLocks noChangeAspect="1"/>
        </xdr:cNvPicPr>
      </xdr:nvPicPr>
      <xdr:blipFill>
        <a:blip r:embed="rId265" cstate="print"/>
        <a:stretch>
          <a:fillRect/>
        </a:stretch>
      </xdr:blipFill>
      <xdr:spPr>
        <a:xfrm>
          <a:off x="191770" y="24161750"/>
          <a:ext cx="236855" cy="225425"/>
        </a:xfrm>
        <a:prstGeom prst="rect">
          <a:avLst/>
        </a:prstGeom>
      </xdr:spPr>
    </xdr:pic>
  </etc:cellImage>
  <etc:cellImage>
    <xdr:pic>
      <xdr:nvPicPr>
        <xdr:cNvPr id="372" name="ID_C6D17E1139C940D4A05554BC8126AF0D"/>
        <xdr:cNvPicPr>
          <a:picLocks noChangeAspect="1"/>
        </xdr:cNvPicPr>
      </xdr:nvPicPr>
      <xdr:blipFill>
        <a:blip r:embed="rId266" cstate="print"/>
        <a:stretch>
          <a:fillRect/>
        </a:stretch>
      </xdr:blipFill>
      <xdr:spPr>
        <a:xfrm>
          <a:off x="191770" y="24466550"/>
          <a:ext cx="236855" cy="225425"/>
        </a:xfrm>
        <a:prstGeom prst="rect">
          <a:avLst/>
        </a:prstGeom>
      </xdr:spPr>
    </xdr:pic>
  </etc:cellImage>
  <etc:cellImage>
    <xdr:pic>
      <xdr:nvPicPr>
        <xdr:cNvPr id="373" name="ID_C67D11E027814CBC9628DC0F72391987"/>
        <xdr:cNvPicPr>
          <a:picLocks noChangeAspect="1"/>
        </xdr:cNvPicPr>
      </xdr:nvPicPr>
      <xdr:blipFill>
        <a:blip r:embed="rId267" cstate="print"/>
        <a:stretch>
          <a:fillRect/>
        </a:stretch>
      </xdr:blipFill>
      <xdr:spPr>
        <a:xfrm>
          <a:off x="191770" y="24771350"/>
          <a:ext cx="236855" cy="225425"/>
        </a:xfrm>
        <a:prstGeom prst="rect">
          <a:avLst/>
        </a:prstGeom>
      </xdr:spPr>
    </xdr:pic>
  </etc:cellImage>
  <etc:cellImage>
    <xdr:pic>
      <xdr:nvPicPr>
        <xdr:cNvPr id="374" name="ID_C649D54E3BEE4596A94D41E76DEB3E83"/>
        <xdr:cNvPicPr>
          <a:picLocks noChangeAspect="1"/>
        </xdr:cNvPicPr>
      </xdr:nvPicPr>
      <xdr:blipFill>
        <a:blip r:embed="rId268" cstate="print"/>
        <a:stretch>
          <a:fillRect/>
        </a:stretch>
      </xdr:blipFill>
      <xdr:spPr>
        <a:xfrm>
          <a:off x="191770" y="25076150"/>
          <a:ext cx="236855" cy="225425"/>
        </a:xfrm>
        <a:prstGeom prst="rect">
          <a:avLst/>
        </a:prstGeom>
      </xdr:spPr>
    </xdr:pic>
  </etc:cellImage>
  <etc:cellImage>
    <xdr:pic>
      <xdr:nvPicPr>
        <xdr:cNvPr id="375" name="ID_483305CF252249D1AC3FAAE06499E4E2"/>
        <xdr:cNvPicPr>
          <a:picLocks noChangeAspect="1"/>
        </xdr:cNvPicPr>
      </xdr:nvPicPr>
      <xdr:blipFill>
        <a:blip r:embed="rId269" cstate="print"/>
        <a:stretch>
          <a:fillRect/>
        </a:stretch>
      </xdr:blipFill>
      <xdr:spPr>
        <a:xfrm>
          <a:off x="191770" y="25380950"/>
          <a:ext cx="236855" cy="225425"/>
        </a:xfrm>
        <a:prstGeom prst="rect">
          <a:avLst/>
        </a:prstGeom>
      </xdr:spPr>
    </xdr:pic>
  </etc:cellImage>
  <etc:cellImage>
    <xdr:pic>
      <xdr:nvPicPr>
        <xdr:cNvPr id="376" name="ID_2795715DC5D74671AD3CB580CAED5E6A"/>
        <xdr:cNvPicPr>
          <a:picLocks noChangeAspect="1"/>
        </xdr:cNvPicPr>
      </xdr:nvPicPr>
      <xdr:blipFill>
        <a:blip r:embed="rId270" cstate="print"/>
        <a:stretch>
          <a:fillRect/>
        </a:stretch>
      </xdr:blipFill>
      <xdr:spPr>
        <a:xfrm>
          <a:off x="191770" y="25685750"/>
          <a:ext cx="236855" cy="225425"/>
        </a:xfrm>
        <a:prstGeom prst="rect">
          <a:avLst/>
        </a:prstGeom>
      </xdr:spPr>
    </xdr:pic>
  </etc:cellImage>
  <etc:cellImage>
    <xdr:pic>
      <xdr:nvPicPr>
        <xdr:cNvPr id="377" name="ID_35B0A37ECC2647E99C4330092C5B67A9"/>
        <xdr:cNvPicPr>
          <a:picLocks noChangeAspect="1"/>
        </xdr:cNvPicPr>
      </xdr:nvPicPr>
      <xdr:blipFill>
        <a:blip r:embed="rId271" cstate="print"/>
        <a:stretch>
          <a:fillRect/>
        </a:stretch>
      </xdr:blipFill>
      <xdr:spPr>
        <a:xfrm>
          <a:off x="191770" y="25990550"/>
          <a:ext cx="236855" cy="225425"/>
        </a:xfrm>
        <a:prstGeom prst="rect">
          <a:avLst/>
        </a:prstGeom>
      </xdr:spPr>
    </xdr:pic>
  </etc:cellImage>
  <etc:cellImage>
    <xdr:pic>
      <xdr:nvPicPr>
        <xdr:cNvPr id="380" name="ID_BB253EF55B6C4CAC9D7887F594953095"/>
        <xdr:cNvPicPr>
          <a:picLocks noChangeAspect="1"/>
        </xdr:cNvPicPr>
      </xdr:nvPicPr>
      <xdr:blipFill>
        <a:blip r:embed="rId272" cstate="print"/>
        <a:stretch>
          <a:fillRect/>
        </a:stretch>
      </xdr:blipFill>
      <xdr:spPr>
        <a:xfrm>
          <a:off x="191770" y="26904950"/>
          <a:ext cx="236855" cy="225425"/>
        </a:xfrm>
        <a:prstGeom prst="rect">
          <a:avLst/>
        </a:prstGeom>
      </xdr:spPr>
    </xdr:pic>
  </etc:cellImage>
  <etc:cellImage>
    <xdr:pic>
      <xdr:nvPicPr>
        <xdr:cNvPr id="381" name="ID_B039124550CD4981B557EE255393115B"/>
        <xdr:cNvPicPr>
          <a:picLocks noChangeAspect="1"/>
        </xdr:cNvPicPr>
      </xdr:nvPicPr>
      <xdr:blipFill>
        <a:blip r:embed="rId273" cstate="print"/>
        <a:stretch>
          <a:fillRect/>
        </a:stretch>
      </xdr:blipFill>
      <xdr:spPr>
        <a:xfrm>
          <a:off x="191770" y="27209750"/>
          <a:ext cx="236855" cy="225425"/>
        </a:xfrm>
        <a:prstGeom prst="rect">
          <a:avLst/>
        </a:prstGeom>
      </xdr:spPr>
    </xdr:pic>
  </etc:cellImage>
  <etc:cellImage>
    <xdr:pic>
      <xdr:nvPicPr>
        <xdr:cNvPr id="383" name="ID_879CF2E30A904DAFA7C2843A597570A3"/>
        <xdr:cNvPicPr>
          <a:picLocks noChangeAspect="1"/>
        </xdr:cNvPicPr>
      </xdr:nvPicPr>
      <xdr:blipFill>
        <a:blip r:embed="rId274" cstate="print"/>
        <a:stretch>
          <a:fillRect/>
        </a:stretch>
      </xdr:blipFill>
      <xdr:spPr>
        <a:xfrm>
          <a:off x="191770" y="27819350"/>
          <a:ext cx="236855" cy="225425"/>
        </a:xfrm>
        <a:prstGeom prst="rect">
          <a:avLst/>
        </a:prstGeom>
      </xdr:spPr>
    </xdr:pic>
  </etc:cellImage>
  <etc:cellImage>
    <xdr:pic>
      <xdr:nvPicPr>
        <xdr:cNvPr id="384" name="ID_B36370CE9DE24B8A8FBAB44B1FB4C28F"/>
        <xdr:cNvPicPr>
          <a:picLocks noChangeAspect="1"/>
        </xdr:cNvPicPr>
      </xdr:nvPicPr>
      <xdr:blipFill>
        <a:blip r:embed="rId275" cstate="print"/>
        <a:stretch>
          <a:fillRect/>
        </a:stretch>
      </xdr:blipFill>
      <xdr:spPr>
        <a:xfrm>
          <a:off x="191770" y="28124150"/>
          <a:ext cx="236855" cy="225425"/>
        </a:xfrm>
        <a:prstGeom prst="rect">
          <a:avLst/>
        </a:prstGeom>
      </xdr:spPr>
    </xdr:pic>
  </etc:cellImage>
  <etc:cellImage>
    <xdr:pic>
      <xdr:nvPicPr>
        <xdr:cNvPr id="386" name="ID_72B4040D07174C6A87D1E8DBFE9FF175"/>
        <xdr:cNvPicPr>
          <a:picLocks noChangeAspect="1"/>
        </xdr:cNvPicPr>
      </xdr:nvPicPr>
      <xdr:blipFill>
        <a:blip r:embed="rId276" cstate="print"/>
        <a:stretch>
          <a:fillRect/>
        </a:stretch>
      </xdr:blipFill>
      <xdr:spPr>
        <a:xfrm>
          <a:off x="191770" y="28428950"/>
          <a:ext cx="236855" cy="225425"/>
        </a:xfrm>
        <a:prstGeom prst="rect">
          <a:avLst/>
        </a:prstGeom>
      </xdr:spPr>
    </xdr:pic>
  </etc:cellImage>
  <etc:cellImage>
    <xdr:pic>
      <xdr:nvPicPr>
        <xdr:cNvPr id="388" name="ID_969655FD644345AB81031DDDED4C2B1D"/>
        <xdr:cNvPicPr>
          <a:picLocks noChangeAspect="1"/>
        </xdr:cNvPicPr>
      </xdr:nvPicPr>
      <xdr:blipFill>
        <a:blip r:embed="rId277" cstate="print"/>
        <a:stretch>
          <a:fillRect/>
        </a:stretch>
      </xdr:blipFill>
      <xdr:spPr>
        <a:xfrm>
          <a:off x="191770" y="29038550"/>
          <a:ext cx="236855" cy="225425"/>
        </a:xfrm>
        <a:prstGeom prst="rect">
          <a:avLst/>
        </a:prstGeom>
      </xdr:spPr>
    </xdr:pic>
  </etc:cellImage>
  <etc:cellImage>
    <xdr:pic>
      <xdr:nvPicPr>
        <xdr:cNvPr id="389" name="ID_F217E099E8CF428AA89D30A138B55E1A"/>
        <xdr:cNvPicPr>
          <a:picLocks noChangeAspect="1"/>
        </xdr:cNvPicPr>
      </xdr:nvPicPr>
      <xdr:blipFill>
        <a:blip r:embed="rId278" cstate="print"/>
        <a:stretch>
          <a:fillRect/>
        </a:stretch>
      </xdr:blipFill>
      <xdr:spPr>
        <a:xfrm>
          <a:off x="191770" y="29648150"/>
          <a:ext cx="236855" cy="225425"/>
        </a:xfrm>
        <a:prstGeom prst="rect">
          <a:avLst/>
        </a:prstGeom>
      </xdr:spPr>
    </xdr:pic>
  </etc:cellImage>
  <etc:cellImage>
    <xdr:pic>
      <xdr:nvPicPr>
        <xdr:cNvPr id="390" name="ID_464ED34DBB5B474FAA9ABB287749C488"/>
        <xdr:cNvPicPr>
          <a:picLocks noChangeAspect="1"/>
        </xdr:cNvPicPr>
      </xdr:nvPicPr>
      <xdr:blipFill>
        <a:blip r:embed="rId279" cstate="print"/>
        <a:stretch>
          <a:fillRect/>
        </a:stretch>
      </xdr:blipFill>
      <xdr:spPr>
        <a:xfrm>
          <a:off x="191770" y="29952950"/>
          <a:ext cx="236855" cy="225425"/>
        </a:xfrm>
        <a:prstGeom prst="rect">
          <a:avLst/>
        </a:prstGeom>
      </xdr:spPr>
    </xdr:pic>
  </etc:cellImage>
  <etc:cellImage>
    <xdr:pic>
      <xdr:nvPicPr>
        <xdr:cNvPr id="398" name="ID_EDAB4CACB3CA4B109639FD1D25DAB985"/>
        <xdr:cNvPicPr>
          <a:picLocks noChangeAspect="1"/>
        </xdr:cNvPicPr>
      </xdr:nvPicPr>
      <xdr:blipFill>
        <a:blip r:embed="rId280"/>
        <a:stretch>
          <a:fillRect/>
        </a:stretch>
      </xdr:blipFill>
      <xdr:spPr>
        <a:xfrm>
          <a:off x="26184225" y="640715"/>
          <a:ext cx="11553825" cy="3257550"/>
        </a:xfrm>
        <a:prstGeom prst="rect">
          <a:avLst/>
        </a:prstGeom>
        <a:noFill/>
        <a:ln w="9525">
          <a:noFill/>
        </a:ln>
      </xdr:spPr>
    </xdr:pic>
  </etc:cellImage>
  <etc:cellImage>
    <xdr:pic>
      <xdr:nvPicPr>
        <xdr:cNvPr id="399" name="ID_1FEB0D922E7548DC86E467279BF813E8"/>
        <xdr:cNvPicPr>
          <a:picLocks noChangeAspect="1"/>
        </xdr:cNvPicPr>
      </xdr:nvPicPr>
      <xdr:blipFill>
        <a:blip r:embed="rId281"/>
        <a:stretch>
          <a:fillRect/>
        </a:stretch>
      </xdr:blipFill>
      <xdr:spPr>
        <a:xfrm>
          <a:off x="25915620" y="1624330"/>
          <a:ext cx="11334750" cy="3209925"/>
        </a:xfrm>
        <a:prstGeom prst="rect">
          <a:avLst/>
        </a:prstGeom>
        <a:noFill/>
        <a:ln w="9525">
          <a:noFill/>
        </a:ln>
      </xdr:spPr>
    </xdr:pic>
  </etc:cellImage>
  <etc:cellImage>
    <xdr:pic>
      <xdr:nvPicPr>
        <xdr:cNvPr id="400" name="ID_C50D465A344F49BA8899C4B3096ECD50"/>
        <xdr:cNvPicPr>
          <a:picLocks noChangeAspect="1"/>
        </xdr:cNvPicPr>
      </xdr:nvPicPr>
      <xdr:blipFill>
        <a:blip r:embed="rId282"/>
        <a:stretch>
          <a:fillRect/>
        </a:stretch>
      </xdr:blipFill>
      <xdr:spPr>
        <a:xfrm>
          <a:off x="25747345" y="3074670"/>
          <a:ext cx="11334750" cy="3381375"/>
        </a:xfrm>
        <a:prstGeom prst="rect">
          <a:avLst/>
        </a:prstGeom>
        <a:noFill/>
        <a:ln w="9525">
          <a:noFill/>
        </a:ln>
      </xdr:spPr>
    </xdr:pic>
  </etc:cellImage>
  <etc:cellImage>
    <xdr:pic>
      <xdr:nvPicPr>
        <xdr:cNvPr id="159" name="ID_F9619A92072A4C75993532A41AEA5F6E"/>
        <xdr:cNvPicPr>
          <a:picLocks noChangeAspect="1"/>
        </xdr:cNvPicPr>
      </xdr:nvPicPr>
      <xdr:blipFill>
        <a:blip r:embed="rId283"/>
        <a:stretch>
          <a:fillRect/>
        </a:stretch>
      </xdr:blipFill>
      <xdr:spPr>
        <a:xfrm>
          <a:off x="1296035" y="1171575"/>
          <a:ext cx="10953750" cy="6162675"/>
        </a:xfrm>
        <a:prstGeom prst="rect">
          <a:avLst/>
        </a:prstGeom>
        <a:noFill/>
        <a:ln w="9525">
          <a:noFill/>
        </a:ln>
      </xdr:spPr>
    </xdr:pic>
  </etc:cellImage>
  <etc:cellImage>
    <xdr:pic>
      <xdr:nvPicPr>
        <xdr:cNvPr id="199" name="ID_5324FA46628E444EA879631831BC4079"/>
        <xdr:cNvPicPr>
          <a:picLocks noChangeAspect="1"/>
        </xdr:cNvPicPr>
      </xdr:nvPicPr>
      <xdr:blipFill>
        <a:blip r:embed="rId284"/>
        <a:stretch>
          <a:fillRect/>
        </a:stretch>
      </xdr:blipFill>
      <xdr:spPr>
        <a:xfrm>
          <a:off x="991235" y="4657725"/>
          <a:ext cx="10972800" cy="6210300"/>
        </a:xfrm>
        <a:prstGeom prst="rect">
          <a:avLst/>
        </a:prstGeom>
        <a:noFill/>
        <a:ln w="9525">
          <a:noFill/>
        </a:ln>
      </xdr:spPr>
    </xdr:pic>
  </etc:cellImage>
  <etc:cellImage>
    <xdr:pic>
      <xdr:nvPicPr>
        <xdr:cNvPr id="202" name="ID_C0AD6A1E4D34458D8D09C2E5FA55055F"/>
        <xdr:cNvPicPr>
          <a:picLocks noChangeAspect="1"/>
        </xdr:cNvPicPr>
      </xdr:nvPicPr>
      <xdr:blipFill>
        <a:blip r:embed="rId285"/>
        <a:stretch>
          <a:fillRect/>
        </a:stretch>
      </xdr:blipFill>
      <xdr:spPr>
        <a:xfrm>
          <a:off x="9277985" y="971550"/>
          <a:ext cx="10925175" cy="5267325"/>
        </a:xfrm>
        <a:prstGeom prst="rect">
          <a:avLst/>
        </a:prstGeom>
        <a:noFill/>
        <a:ln w="9525">
          <a:noFill/>
        </a:ln>
      </xdr:spPr>
    </xdr:pic>
  </etc:cellImage>
  <etc:cellImage>
    <xdr:pic>
      <xdr:nvPicPr>
        <xdr:cNvPr id="203" name="ID_16343CF47545404FAAF11FF7F5DE6F56"/>
        <xdr:cNvPicPr>
          <a:picLocks noChangeAspect="1"/>
        </xdr:cNvPicPr>
      </xdr:nvPicPr>
      <xdr:blipFill>
        <a:blip r:embed="rId286"/>
        <a:stretch>
          <a:fillRect/>
        </a:stretch>
      </xdr:blipFill>
      <xdr:spPr>
        <a:xfrm>
          <a:off x="1279525" y="1046480"/>
          <a:ext cx="15211425" cy="4286250"/>
        </a:xfrm>
        <a:prstGeom prst="rect">
          <a:avLst/>
        </a:prstGeom>
        <a:noFill/>
        <a:ln w="9525">
          <a:noFill/>
        </a:ln>
      </xdr:spPr>
    </xdr:pic>
  </etc:cellImage>
  <etc:cellImage>
    <xdr:pic>
      <xdr:nvPicPr>
        <xdr:cNvPr id="208" name="ID_6F45E4A01C4B49019FE1975E39577671"/>
        <xdr:cNvPicPr>
          <a:picLocks noChangeAspect="1"/>
        </xdr:cNvPicPr>
      </xdr:nvPicPr>
      <xdr:blipFill>
        <a:blip r:embed="rId287"/>
        <a:stretch>
          <a:fillRect/>
        </a:stretch>
      </xdr:blipFill>
      <xdr:spPr>
        <a:xfrm>
          <a:off x="11635740" y="964565"/>
          <a:ext cx="3971925" cy="3705225"/>
        </a:xfrm>
        <a:prstGeom prst="rect">
          <a:avLst/>
        </a:prstGeom>
        <a:noFill/>
        <a:ln w="9525">
          <a:noFill/>
        </a:ln>
      </xdr:spPr>
    </xdr:pic>
  </etc:cellImage>
  <etc:cellImage>
    <xdr:pic>
      <xdr:nvPicPr>
        <xdr:cNvPr id="223" name="ID_9EC4F8B3998F4A0C8F2CDA9DB25D736A"/>
        <xdr:cNvPicPr>
          <a:picLocks noChangeAspect="1"/>
        </xdr:cNvPicPr>
      </xdr:nvPicPr>
      <xdr:blipFill>
        <a:blip r:embed="rId288"/>
        <a:stretch>
          <a:fillRect/>
        </a:stretch>
      </xdr:blipFill>
      <xdr:spPr>
        <a:xfrm>
          <a:off x="21486495" y="1045845"/>
          <a:ext cx="3943350" cy="3686175"/>
        </a:xfrm>
        <a:prstGeom prst="rect">
          <a:avLst/>
        </a:prstGeom>
        <a:noFill/>
        <a:ln w="9525">
          <a:noFill/>
        </a:ln>
      </xdr:spPr>
    </xdr:pic>
  </etc:cellImage>
  <etc:cellImage>
    <xdr:pic>
      <xdr:nvPicPr>
        <xdr:cNvPr id="228" name="ID_3A431D2E388C4C3CBC4D64F4CB382AC6"/>
        <xdr:cNvPicPr>
          <a:picLocks noChangeAspect="1"/>
        </xdr:cNvPicPr>
      </xdr:nvPicPr>
      <xdr:blipFill>
        <a:blip r:embed="rId289"/>
        <a:stretch>
          <a:fillRect/>
        </a:stretch>
      </xdr:blipFill>
      <xdr:spPr>
        <a:xfrm>
          <a:off x="18192750" y="975360"/>
          <a:ext cx="3952875" cy="3686175"/>
        </a:xfrm>
        <a:prstGeom prst="rect">
          <a:avLst/>
        </a:prstGeom>
        <a:noFill/>
        <a:ln w="9525">
          <a:noFill/>
        </a:ln>
      </xdr:spPr>
    </xdr:pic>
  </etc:cellImage>
  <etc:cellImage>
    <xdr:pic>
      <xdr:nvPicPr>
        <xdr:cNvPr id="235" name="ID_474FB53C71CC4F50BE0483694B217AE8"/>
        <xdr:cNvPicPr>
          <a:picLocks noChangeAspect="1"/>
        </xdr:cNvPicPr>
      </xdr:nvPicPr>
      <xdr:blipFill>
        <a:blip r:embed="rId290"/>
        <a:stretch>
          <a:fillRect/>
        </a:stretch>
      </xdr:blipFill>
      <xdr:spPr>
        <a:xfrm>
          <a:off x="2237105" y="4780915"/>
          <a:ext cx="16983075" cy="5400675"/>
        </a:xfrm>
        <a:prstGeom prst="rect">
          <a:avLst/>
        </a:prstGeom>
        <a:noFill/>
        <a:ln w="9525">
          <a:noFill/>
        </a:ln>
      </xdr:spPr>
    </xdr:pic>
  </etc:cellImage>
  <etc:cellImage>
    <xdr:pic>
      <xdr:nvPicPr>
        <xdr:cNvPr id="243" name="ID_4EB6C218AF9946E2893F4C5B5B4DCEF8"/>
        <xdr:cNvPicPr>
          <a:picLocks noChangeAspect="1"/>
        </xdr:cNvPicPr>
      </xdr:nvPicPr>
      <xdr:blipFill>
        <a:blip r:embed="rId291"/>
        <a:stretch>
          <a:fillRect/>
        </a:stretch>
      </xdr:blipFill>
      <xdr:spPr>
        <a:xfrm>
          <a:off x="7521575" y="4370070"/>
          <a:ext cx="16973550" cy="4486275"/>
        </a:xfrm>
        <a:prstGeom prst="rect">
          <a:avLst/>
        </a:prstGeom>
        <a:noFill/>
        <a:ln w="9525">
          <a:noFill/>
        </a:ln>
      </xdr:spPr>
    </xdr:pic>
  </etc:cellImage>
  <etc:cellImage>
    <xdr:pic>
      <xdr:nvPicPr>
        <xdr:cNvPr id="258" name="ID_9C7E2037A7934907A1C5D98E29A3E903"/>
        <xdr:cNvPicPr>
          <a:picLocks noChangeAspect="1"/>
        </xdr:cNvPicPr>
      </xdr:nvPicPr>
      <xdr:blipFill>
        <a:blip r:embed="rId292"/>
        <a:stretch>
          <a:fillRect/>
        </a:stretch>
      </xdr:blipFill>
      <xdr:spPr>
        <a:xfrm>
          <a:off x="628650" y="7136765"/>
          <a:ext cx="8496300" cy="3810000"/>
        </a:xfrm>
        <a:prstGeom prst="rect">
          <a:avLst/>
        </a:prstGeom>
        <a:noFill/>
        <a:ln w="9525">
          <a:noFill/>
        </a:ln>
      </xdr:spPr>
    </xdr:pic>
  </etc:cellImage>
  <etc:cellImage>
    <xdr:pic>
      <xdr:nvPicPr>
        <xdr:cNvPr id="262" name="ID_6C64D565EFA148289BC4D79B7A3D1866"/>
        <xdr:cNvPicPr>
          <a:picLocks noChangeAspect="1"/>
        </xdr:cNvPicPr>
      </xdr:nvPicPr>
      <xdr:blipFill>
        <a:blip r:embed="rId293"/>
        <a:stretch>
          <a:fillRect/>
        </a:stretch>
      </xdr:blipFill>
      <xdr:spPr>
        <a:xfrm>
          <a:off x="7140575" y="7091680"/>
          <a:ext cx="8505825" cy="3810000"/>
        </a:xfrm>
        <a:prstGeom prst="rect">
          <a:avLst/>
        </a:prstGeom>
        <a:noFill/>
        <a:ln w="9525">
          <a:noFill/>
        </a:ln>
      </xdr:spPr>
    </xdr:pic>
  </etc:cellImage>
  <etc:cellImage>
    <xdr:pic>
      <xdr:nvPicPr>
        <xdr:cNvPr id="270" name="ID_DDBF4758CE894FF29B68EE54D39B2F47"/>
        <xdr:cNvPicPr>
          <a:picLocks noChangeAspect="1"/>
        </xdr:cNvPicPr>
      </xdr:nvPicPr>
      <xdr:blipFill>
        <a:blip r:embed="rId294"/>
        <a:stretch>
          <a:fillRect/>
        </a:stretch>
      </xdr:blipFill>
      <xdr:spPr>
        <a:xfrm>
          <a:off x="1450975" y="10096500"/>
          <a:ext cx="16944975" cy="5867400"/>
        </a:xfrm>
        <a:prstGeom prst="rect">
          <a:avLst/>
        </a:prstGeom>
        <a:noFill/>
        <a:ln w="9525">
          <a:noFill/>
        </a:ln>
      </xdr:spPr>
    </xdr:pic>
  </etc:cellImage>
  <etc:cellImage>
    <xdr:pic>
      <xdr:nvPicPr>
        <xdr:cNvPr id="279" name="ID_C610484858B34BD29F18685F9AF88DA2"/>
        <xdr:cNvPicPr>
          <a:picLocks noChangeAspect="1"/>
        </xdr:cNvPicPr>
      </xdr:nvPicPr>
      <xdr:blipFill>
        <a:blip r:embed="rId295"/>
        <a:stretch>
          <a:fillRect/>
        </a:stretch>
      </xdr:blipFill>
      <xdr:spPr>
        <a:xfrm>
          <a:off x="7635240" y="9879965"/>
          <a:ext cx="16964025" cy="5895975"/>
        </a:xfrm>
        <a:prstGeom prst="rect">
          <a:avLst/>
        </a:prstGeom>
        <a:noFill/>
        <a:ln w="9525">
          <a:noFill/>
        </a:ln>
      </xdr:spPr>
    </xdr:pic>
  </etc:cellImage>
  <etc:cellImage>
    <xdr:pic>
      <xdr:nvPicPr>
        <xdr:cNvPr id="288" name="ID_AD02DE2458004063B2AB959888551888"/>
        <xdr:cNvPicPr>
          <a:picLocks noChangeAspect="1"/>
        </xdr:cNvPicPr>
      </xdr:nvPicPr>
      <xdr:blipFill>
        <a:blip r:embed="rId296"/>
        <a:stretch>
          <a:fillRect/>
        </a:stretch>
      </xdr:blipFill>
      <xdr:spPr>
        <a:xfrm>
          <a:off x="1346835" y="12693650"/>
          <a:ext cx="16992600" cy="4429125"/>
        </a:xfrm>
        <a:prstGeom prst="rect">
          <a:avLst/>
        </a:prstGeom>
        <a:noFill/>
        <a:ln w="9525">
          <a:noFill/>
        </a:ln>
      </xdr:spPr>
    </xdr:pic>
  </etc:cellImage>
  <etc:cellImage>
    <xdr:pic>
      <xdr:nvPicPr>
        <xdr:cNvPr id="313" name="ID_F742E69090A54CD2B5D97537C71163A8"/>
        <xdr:cNvPicPr>
          <a:picLocks noChangeAspect="1"/>
        </xdr:cNvPicPr>
      </xdr:nvPicPr>
      <xdr:blipFill>
        <a:blip r:embed="rId297"/>
        <a:stretch>
          <a:fillRect/>
        </a:stretch>
      </xdr:blipFill>
      <xdr:spPr>
        <a:xfrm>
          <a:off x="7432040" y="12816840"/>
          <a:ext cx="16992600" cy="3762375"/>
        </a:xfrm>
        <a:prstGeom prst="rect">
          <a:avLst/>
        </a:prstGeom>
        <a:noFill/>
        <a:ln w="9525">
          <a:noFill/>
        </a:ln>
      </xdr:spPr>
    </xdr:pic>
  </etc:cellImage>
  <etc:cellImage>
    <xdr:pic>
      <xdr:nvPicPr>
        <xdr:cNvPr id="324" name="ID_89728FFE3EE94B97B7B18133298A3C5F"/>
        <xdr:cNvPicPr>
          <a:picLocks noChangeAspect="1"/>
        </xdr:cNvPicPr>
      </xdr:nvPicPr>
      <xdr:blipFill>
        <a:blip r:embed="rId298"/>
        <a:stretch>
          <a:fillRect/>
        </a:stretch>
      </xdr:blipFill>
      <xdr:spPr>
        <a:xfrm>
          <a:off x="1685925" y="15514955"/>
          <a:ext cx="16973550" cy="4343400"/>
        </a:xfrm>
        <a:prstGeom prst="rect">
          <a:avLst/>
        </a:prstGeom>
        <a:noFill/>
        <a:ln w="9525">
          <a:noFill/>
        </a:ln>
      </xdr:spPr>
    </xdr:pic>
  </etc:cellImage>
  <etc:cellImage>
    <xdr:pic>
      <xdr:nvPicPr>
        <xdr:cNvPr id="325" name="ID_476FE6625B2744BD82E9D529FCA30767"/>
        <xdr:cNvPicPr>
          <a:picLocks noChangeAspect="1"/>
        </xdr:cNvPicPr>
      </xdr:nvPicPr>
      <xdr:blipFill>
        <a:blip r:embed="rId299"/>
        <a:stretch>
          <a:fillRect/>
        </a:stretch>
      </xdr:blipFill>
      <xdr:spPr>
        <a:xfrm>
          <a:off x="7139940" y="15377160"/>
          <a:ext cx="17011650" cy="3867150"/>
        </a:xfrm>
        <a:prstGeom prst="rect">
          <a:avLst/>
        </a:prstGeom>
        <a:noFill/>
        <a:ln w="9525">
          <a:noFill/>
        </a:ln>
      </xdr:spPr>
    </xdr:pic>
  </etc:cellImage>
  <etc:cellImage>
    <xdr:pic>
      <xdr:nvPicPr>
        <xdr:cNvPr id="326" name="ID_183EA6B47BF24D178B31435D59970563" descr="Website Analysis Gender-Distribution-(instanthome.com,ninjakitchen.com,cosori.com)-(from_ 2022_12_01)-(to_ 2023_02_28)"/>
        <xdr:cNvPicPr>
          <a:picLocks noChangeAspect="1"/>
        </xdr:cNvPicPr>
      </xdr:nvPicPr>
      <xdr:blipFill>
        <a:blip r:embed="rId300"/>
        <a:stretch>
          <a:fillRect/>
        </a:stretch>
      </xdr:blipFill>
      <xdr:spPr>
        <a:xfrm>
          <a:off x="2162175" y="18611850"/>
          <a:ext cx="10058400" cy="3018790"/>
        </a:xfrm>
        <a:prstGeom prst="rect">
          <a:avLst/>
        </a:prstGeom>
      </xdr:spPr>
    </xdr:pic>
  </etc:cellImage>
  <etc:cellImage>
    <xdr:pic>
      <xdr:nvPicPr>
        <xdr:cNvPr id="329" name="ID_8BB116B1AF8B41A1B5910DAAF80084D5" descr="Website Analysis Age-Distribution-(instanthome.com,ninjakitchen.com,cosori.com)-(from_ 2022_12_01)-(to_ 2023_02_28)"/>
        <xdr:cNvPicPr>
          <a:picLocks noChangeAspect="1"/>
        </xdr:cNvPicPr>
      </xdr:nvPicPr>
      <xdr:blipFill>
        <a:blip r:embed="rId301"/>
        <a:stretch>
          <a:fillRect/>
        </a:stretch>
      </xdr:blipFill>
      <xdr:spPr>
        <a:xfrm>
          <a:off x="7629525" y="18240375"/>
          <a:ext cx="10059670" cy="3018790"/>
        </a:xfrm>
        <a:prstGeom prst="rect">
          <a:avLst/>
        </a:prstGeom>
      </xdr:spPr>
    </xdr:pic>
  </etc:cellImage>
  <etc:cellImage>
    <xdr:pic>
      <xdr:nvPicPr>
        <xdr:cNvPr id="347" name="ID_BB4AD0E460804DAB8D72E40937F902BF"/>
        <xdr:cNvPicPr>
          <a:picLocks noChangeAspect="1"/>
        </xdr:cNvPicPr>
      </xdr:nvPicPr>
      <xdr:blipFill>
        <a:blip r:embed="rId302"/>
        <a:stretch>
          <a:fillRect/>
        </a:stretch>
      </xdr:blipFill>
      <xdr:spPr>
        <a:xfrm>
          <a:off x="7229475" y="21307425"/>
          <a:ext cx="13077825" cy="3705225"/>
        </a:xfrm>
        <a:prstGeom prst="rect">
          <a:avLst/>
        </a:prstGeom>
        <a:noFill/>
        <a:ln w="9525">
          <a:noFill/>
        </a:ln>
      </xdr:spPr>
    </xdr:pic>
  </etc:cellImage>
  <etc:cellImage>
    <xdr:pic>
      <xdr:nvPicPr>
        <xdr:cNvPr id="354" name="ID_9B0D0072835D45AF83DDA8D34FB98662"/>
        <xdr:cNvPicPr>
          <a:picLocks noChangeAspect="1"/>
        </xdr:cNvPicPr>
      </xdr:nvPicPr>
      <xdr:blipFill>
        <a:blip r:embed="rId303"/>
        <a:stretch>
          <a:fillRect/>
        </a:stretch>
      </xdr:blipFill>
      <xdr:spPr>
        <a:xfrm>
          <a:off x="753110" y="23964900"/>
          <a:ext cx="12963525" cy="3800475"/>
        </a:xfrm>
        <a:prstGeom prst="rect">
          <a:avLst/>
        </a:prstGeom>
        <a:noFill/>
        <a:ln w="9525">
          <a:noFill/>
        </a:ln>
      </xdr:spPr>
    </xdr:pic>
  </etc:cellImage>
  <etc:cellImage>
    <xdr:pic>
      <xdr:nvPicPr>
        <xdr:cNvPr id="362" name="ID_AAF7401615074296BFC0BF8C87B881F4"/>
        <xdr:cNvPicPr>
          <a:picLocks noChangeAspect="1"/>
        </xdr:cNvPicPr>
      </xdr:nvPicPr>
      <xdr:blipFill>
        <a:blip r:embed="rId304"/>
        <a:stretch>
          <a:fillRect/>
        </a:stretch>
      </xdr:blipFill>
      <xdr:spPr>
        <a:xfrm>
          <a:off x="1210310" y="21659850"/>
          <a:ext cx="12249150" cy="5514975"/>
        </a:xfrm>
        <a:prstGeom prst="rect">
          <a:avLst/>
        </a:prstGeom>
        <a:noFill/>
        <a:ln w="9525">
          <a:noFill/>
        </a:ln>
      </xdr:spPr>
    </xdr:pic>
  </etc:cellImage>
  <etc:cellImage>
    <xdr:pic>
      <xdr:nvPicPr>
        <xdr:cNvPr id="368" name="ID_48A3A5611BB5444482DA20C8BFA8BE19"/>
        <xdr:cNvPicPr>
          <a:picLocks noChangeAspect="1"/>
        </xdr:cNvPicPr>
      </xdr:nvPicPr>
      <xdr:blipFill>
        <a:blip r:embed="rId305"/>
        <a:stretch>
          <a:fillRect/>
        </a:stretch>
      </xdr:blipFill>
      <xdr:spPr>
        <a:xfrm>
          <a:off x="7029450" y="24012525"/>
          <a:ext cx="13011150" cy="6029325"/>
        </a:xfrm>
        <a:prstGeom prst="rect">
          <a:avLst/>
        </a:prstGeom>
        <a:noFill/>
        <a:ln w="9525">
          <a:noFill/>
        </a:ln>
      </xdr:spPr>
    </xdr:pic>
  </etc:cellImage>
  <etc:cellImage>
    <xdr:pic>
      <xdr:nvPicPr>
        <xdr:cNvPr id="378" name="ID_4EFE49717D4743DBA3E4E7C5B24A15D9"/>
        <xdr:cNvPicPr>
          <a:picLocks noChangeAspect="1"/>
        </xdr:cNvPicPr>
      </xdr:nvPicPr>
      <xdr:blipFill>
        <a:blip r:embed="rId306"/>
        <a:stretch>
          <a:fillRect/>
        </a:stretch>
      </xdr:blipFill>
      <xdr:spPr>
        <a:xfrm>
          <a:off x="2143760" y="26622375"/>
          <a:ext cx="12992100" cy="4210050"/>
        </a:xfrm>
        <a:prstGeom prst="rect">
          <a:avLst/>
        </a:prstGeom>
        <a:noFill/>
        <a:ln w="9525">
          <a:noFill/>
        </a:ln>
      </xdr:spPr>
    </xdr:pic>
  </etc:cellImage>
  <etc:cellImage>
    <xdr:pic>
      <xdr:nvPicPr>
        <xdr:cNvPr id="382" name="ID_AAF8D5FBECE746A4A377D11C24D229CA"/>
        <xdr:cNvPicPr>
          <a:picLocks noChangeAspect="1"/>
        </xdr:cNvPicPr>
      </xdr:nvPicPr>
      <xdr:blipFill>
        <a:blip r:embed="rId307"/>
        <a:stretch>
          <a:fillRect/>
        </a:stretch>
      </xdr:blipFill>
      <xdr:spPr>
        <a:xfrm>
          <a:off x="6953250" y="26889075"/>
          <a:ext cx="12992100" cy="3867150"/>
        </a:xfrm>
        <a:prstGeom prst="rect">
          <a:avLst/>
        </a:prstGeom>
        <a:noFill/>
        <a:ln w="9525">
          <a:noFill/>
        </a:ln>
      </xdr:spPr>
    </xdr:pic>
  </etc:cellImage>
  <etc:cellImage>
    <xdr:pic>
      <xdr:nvPicPr>
        <xdr:cNvPr id="272" name="ID_9572C02FFE664DA5B1B4E2E84F048994"/>
        <xdr:cNvPicPr>
          <a:picLocks noChangeAspect="1"/>
        </xdr:cNvPicPr>
      </xdr:nvPicPr>
      <xdr:blipFill>
        <a:blip r:embed="rId308" cstate="print"/>
        <a:stretch>
          <a:fillRect/>
        </a:stretch>
      </xdr:blipFill>
      <xdr:spPr>
        <a:xfrm>
          <a:off x="258445" y="26577925"/>
          <a:ext cx="236220" cy="224790"/>
        </a:xfrm>
        <a:prstGeom prst="rect">
          <a:avLst/>
        </a:prstGeom>
      </xdr:spPr>
    </xdr:pic>
  </etc:cellImage>
  <etc:cellImage>
    <xdr:pic>
      <xdr:nvPicPr>
        <xdr:cNvPr id="278" name="ID_5C0C6AB0FB064505A0A3A4249472B177"/>
        <xdr:cNvPicPr>
          <a:picLocks noChangeAspect="1"/>
        </xdr:cNvPicPr>
      </xdr:nvPicPr>
      <xdr:blipFill>
        <a:blip r:embed="rId309" cstate="print"/>
        <a:stretch>
          <a:fillRect/>
        </a:stretch>
      </xdr:blipFill>
      <xdr:spPr>
        <a:xfrm>
          <a:off x="224155" y="25683845"/>
          <a:ext cx="236220" cy="224790"/>
        </a:xfrm>
        <a:prstGeom prst="rect">
          <a:avLst/>
        </a:prstGeom>
      </xdr:spPr>
    </xdr:pic>
  </etc:cellImage>
  <etc:cellImage>
    <xdr:pic>
      <xdr:nvPicPr>
        <xdr:cNvPr id="280" name="ID_CB0487FB602744618A7F91CD508B1A11"/>
        <xdr:cNvPicPr>
          <a:picLocks noChangeAspect="1"/>
        </xdr:cNvPicPr>
      </xdr:nvPicPr>
      <xdr:blipFill>
        <a:blip r:embed="rId310" cstate="print"/>
        <a:stretch>
          <a:fillRect/>
        </a:stretch>
      </xdr:blipFill>
      <xdr:spPr>
        <a:xfrm>
          <a:off x="225425" y="26001980"/>
          <a:ext cx="236220" cy="224790"/>
        </a:xfrm>
        <a:prstGeom prst="rect">
          <a:avLst/>
        </a:prstGeom>
      </xdr:spPr>
    </xdr:pic>
  </etc:cellImage>
  <etc:cellImage>
    <xdr:pic>
      <xdr:nvPicPr>
        <xdr:cNvPr id="284" name="ID_CC1202716ADD48108E8CA742BBC48881"/>
        <xdr:cNvPicPr>
          <a:picLocks noChangeAspect="1"/>
        </xdr:cNvPicPr>
      </xdr:nvPicPr>
      <xdr:blipFill>
        <a:blip r:embed="rId311" cstate="print"/>
        <a:stretch>
          <a:fillRect/>
        </a:stretch>
      </xdr:blipFill>
      <xdr:spPr>
        <a:xfrm>
          <a:off x="224790" y="26304240"/>
          <a:ext cx="236220" cy="224790"/>
        </a:xfrm>
        <a:prstGeom prst="rect">
          <a:avLst/>
        </a:prstGeom>
      </xdr:spPr>
    </xdr:pic>
  </etc:cellImage>
  <etc:cellImage>
    <xdr:pic>
      <xdr:nvPicPr>
        <xdr:cNvPr id="292" name="ID_A7D8F3B098D14F84B7383CC735E1FCBE"/>
        <xdr:cNvPicPr>
          <a:picLocks noChangeAspect="1"/>
        </xdr:cNvPicPr>
      </xdr:nvPicPr>
      <xdr:blipFill>
        <a:blip r:embed="rId312" cstate="print"/>
        <a:stretch>
          <a:fillRect/>
        </a:stretch>
      </xdr:blipFill>
      <xdr:spPr>
        <a:xfrm>
          <a:off x="202565" y="30540325"/>
          <a:ext cx="236220" cy="224790"/>
        </a:xfrm>
        <a:prstGeom prst="rect">
          <a:avLst/>
        </a:prstGeom>
      </xdr:spPr>
    </xdr:pic>
  </etc:cellImage>
  <etc:cellImage>
    <xdr:pic>
      <xdr:nvPicPr>
        <xdr:cNvPr id="300" name="ID_3868C3AA8AB74668B4C622B8CE1F41E2"/>
        <xdr:cNvPicPr>
          <a:picLocks noChangeAspect="1"/>
        </xdr:cNvPicPr>
      </xdr:nvPicPr>
      <xdr:blipFill>
        <a:blip r:embed="rId313" cstate="print"/>
        <a:stretch>
          <a:fillRect/>
        </a:stretch>
      </xdr:blipFill>
      <xdr:spPr>
        <a:xfrm>
          <a:off x="168910" y="28124150"/>
          <a:ext cx="236220" cy="224790"/>
        </a:xfrm>
        <a:prstGeom prst="rect">
          <a:avLst/>
        </a:prstGeom>
      </xdr:spPr>
    </xdr:pic>
  </etc:cellImage>
  <etc:cellImage>
    <xdr:pic>
      <xdr:nvPicPr>
        <xdr:cNvPr id="304" name="ID_2352E1B134914D12BF01409D0D810953"/>
        <xdr:cNvPicPr>
          <a:picLocks noChangeAspect="1"/>
        </xdr:cNvPicPr>
      </xdr:nvPicPr>
      <xdr:blipFill>
        <a:blip r:embed="rId314" cstate="print"/>
        <a:stretch>
          <a:fillRect/>
        </a:stretch>
      </xdr:blipFill>
      <xdr:spPr>
        <a:xfrm>
          <a:off x="191135" y="27816810"/>
          <a:ext cx="236220" cy="224790"/>
        </a:xfrm>
        <a:prstGeom prst="rect">
          <a:avLst/>
        </a:prstGeom>
      </xdr:spPr>
    </xdr:pic>
  </etc:cellImage>
  <etc:cellImage>
    <xdr:pic>
      <xdr:nvPicPr>
        <xdr:cNvPr id="306" name="ID_F98384A16BC64D7BA97CBA86855B88C3"/>
        <xdr:cNvPicPr>
          <a:picLocks noChangeAspect="1"/>
        </xdr:cNvPicPr>
      </xdr:nvPicPr>
      <xdr:blipFill>
        <a:blip r:embed="rId315" cstate="print"/>
        <a:stretch>
          <a:fillRect/>
        </a:stretch>
      </xdr:blipFill>
      <xdr:spPr>
        <a:xfrm>
          <a:off x="202565" y="27514550"/>
          <a:ext cx="236220" cy="224790"/>
        </a:xfrm>
        <a:prstGeom prst="rect">
          <a:avLst/>
        </a:prstGeom>
      </xdr:spPr>
    </xdr:pic>
  </etc:cellImage>
  <etc:cellImage>
    <xdr:pic>
      <xdr:nvPicPr>
        <xdr:cNvPr id="315" name="ID_8DB36B4766DF4617B57CCA29E23B4451"/>
        <xdr:cNvPicPr>
          <a:picLocks noChangeAspect="1"/>
        </xdr:cNvPicPr>
      </xdr:nvPicPr>
      <xdr:blipFill>
        <a:blip r:embed="rId316" cstate="print"/>
        <a:stretch>
          <a:fillRect/>
        </a:stretch>
      </xdr:blipFill>
      <xdr:spPr>
        <a:xfrm>
          <a:off x="168910" y="27208480"/>
          <a:ext cx="236220" cy="224790"/>
        </a:xfrm>
        <a:prstGeom prst="rect">
          <a:avLst/>
        </a:prstGeom>
      </xdr:spPr>
    </xdr:pic>
  </etc:cellImage>
  <etc:cellImage>
    <xdr:pic>
      <xdr:nvPicPr>
        <xdr:cNvPr id="316" name="ID_73E1886387174503B4B3E5EFA3C065D9"/>
        <xdr:cNvPicPr>
          <a:picLocks noChangeAspect="1"/>
        </xdr:cNvPicPr>
      </xdr:nvPicPr>
      <xdr:blipFill>
        <a:blip r:embed="rId317" cstate="print"/>
        <a:stretch>
          <a:fillRect/>
        </a:stretch>
      </xdr:blipFill>
      <xdr:spPr>
        <a:xfrm>
          <a:off x="168910" y="26904950"/>
          <a:ext cx="236220" cy="224790"/>
        </a:xfrm>
        <a:prstGeom prst="rect">
          <a:avLst/>
        </a:prstGeom>
      </xdr:spPr>
    </xdr:pic>
  </etc:cellImage>
  <etc:cellImage>
    <xdr:pic>
      <xdr:nvPicPr>
        <xdr:cNvPr id="317" name="ID_3211C43D397B4A3EAF999BDB4C1D6252"/>
        <xdr:cNvPicPr>
          <a:picLocks noChangeAspect="1"/>
        </xdr:cNvPicPr>
      </xdr:nvPicPr>
      <xdr:blipFill>
        <a:blip r:embed="rId318" cstate="print"/>
        <a:stretch>
          <a:fillRect/>
        </a:stretch>
      </xdr:blipFill>
      <xdr:spPr>
        <a:xfrm>
          <a:off x="201930" y="30245685"/>
          <a:ext cx="236220" cy="224790"/>
        </a:xfrm>
        <a:prstGeom prst="rect">
          <a:avLst/>
        </a:prstGeom>
      </xdr:spPr>
    </xdr:pic>
  </etc:cellImage>
  <etc:cellImage>
    <xdr:pic>
      <xdr:nvPicPr>
        <xdr:cNvPr id="319" name="ID_41B0691D1D0044738862DF6167707F7F"/>
        <xdr:cNvPicPr>
          <a:picLocks noChangeAspect="1"/>
        </xdr:cNvPicPr>
      </xdr:nvPicPr>
      <xdr:blipFill>
        <a:blip r:embed="rId319" cstate="print"/>
        <a:stretch>
          <a:fillRect/>
        </a:stretch>
      </xdr:blipFill>
      <xdr:spPr>
        <a:xfrm>
          <a:off x="201930" y="29952950"/>
          <a:ext cx="236220" cy="224790"/>
        </a:xfrm>
        <a:prstGeom prst="rect">
          <a:avLst/>
        </a:prstGeom>
      </xdr:spPr>
    </xdr:pic>
  </etc:cellImage>
  <etc:cellImage>
    <xdr:pic>
      <xdr:nvPicPr>
        <xdr:cNvPr id="320" name="ID_C84511F9722846388FB698BCF9E760FB"/>
        <xdr:cNvPicPr>
          <a:picLocks noChangeAspect="1"/>
        </xdr:cNvPicPr>
      </xdr:nvPicPr>
      <xdr:blipFill>
        <a:blip r:embed="rId320" cstate="print"/>
        <a:stretch>
          <a:fillRect/>
        </a:stretch>
      </xdr:blipFill>
      <xdr:spPr>
        <a:xfrm>
          <a:off x="191135" y="29635450"/>
          <a:ext cx="236220" cy="224790"/>
        </a:xfrm>
        <a:prstGeom prst="rect">
          <a:avLst/>
        </a:prstGeom>
      </xdr:spPr>
    </xdr:pic>
  </etc:cellImage>
  <etc:cellImage>
    <xdr:pic>
      <xdr:nvPicPr>
        <xdr:cNvPr id="321" name="ID_F9B083DFE5154E15A17EC7936B463F2F"/>
        <xdr:cNvPicPr>
          <a:picLocks noChangeAspect="1"/>
        </xdr:cNvPicPr>
      </xdr:nvPicPr>
      <xdr:blipFill>
        <a:blip r:embed="rId321" cstate="print"/>
        <a:stretch>
          <a:fillRect/>
        </a:stretch>
      </xdr:blipFill>
      <xdr:spPr>
        <a:xfrm>
          <a:off x="213360" y="29343350"/>
          <a:ext cx="236220" cy="224790"/>
        </a:xfrm>
        <a:prstGeom prst="rect">
          <a:avLst/>
        </a:prstGeom>
      </xdr:spPr>
    </xdr:pic>
  </etc:cellImage>
  <etc:cellImage>
    <xdr:pic>
      <xdr:nvPicPr>
        <xdr:cNvPr id="322" name="ID_CAFA875542924B7C8C1FF07E87DC82F6"/>
        <xdr:cNvPicPr>
          <a:picLocks noChangeAspect="1"/>
        </xdr:cNvPicPr>
      </xdr:nvPicPr>
      <xdr:blipFill>
        <a:blip r:embed="rId322" cstate="print"/>
        <a:stretch>
          <a:fillRect/>
        </a:stretch>
      </xdr:blipFill>
      <xdr:spPr>
        <a:xfrm>
          <a:off x="236220" y="29025215"/>
          <a:ext cx="236220" cy="224790"/>
        </a:xfrm>
        <a:prstGeom prst="rect">
          <a:avLst/>
        </a:prstGeom>
      </xdr:spPr>
    </xdr:pic>
  </etc:cellImage>
  <etc:cellImage>
    <xdr:pic>
      <xdr:nvPicPr>
        <xdr:cNvPr id="323" name="ID_14325EF052B64C239526A059D2F20F7F"/>
        <xdr:cNvPicPr>
          <a:picLocks noChangeAspect="1"/>
        </xdr:cNvPicPr>
      </xdr:nvPicPr>
      <xdr:blipFill>
        <a:blip r:embed="rId323" cstate="print"/>
        <a:stretch>
          <a:fillRect/>
        </a:stretch>
      </xdr:blipFill>
      <xdr:spPr>
        <a:xfrm>
          <a:off x="213995" y="28733750"/>
          <a:ext cx="236220" cy="224790"/>
        </a:xfrm>
        <a:prstGeom prst="rect">
          <a:avLst/>
        </a:prstGeom>
      </xdr:spPr>
    </xdr:pic>
  </etc:cellImage>
  <etc:cellImage>
    <xdr:pic>
      <xdr:nvPicPr>
        <xdr:cNvPr id="328" name="ID_A032B38D857046A3BD39D6C51FA809AC"/>
        <xdr:cNvPicPr>
          <a:picLocks noChangeAspect="1"/>
        </xdr:cNvPicPr>
      </xdr:nvPicPr>
      <xdr:blipFill>
        <a:blip r:embed="rId324" cstate="print"/>
        <a:stretch>
          <a:fillRect/>
        </a:stretch>
      </xdr:blipFill>
      <xdr:spPr>
        <a:xfrm>
          <a:off x="203200" y="28438475"/>
          <a:ext cx="236220" cy="224790"/>
        </a:xfrm>
        <a:prstGeom prst="rect">
          <a:avLst/>
        </a:prstGeom>
      </xdr:spPr>
    </xdr:pic>
  </etc:cellImage>
  <etc:cellImage>
    <xdr:pic>
      <xdr:nvPicPr>
        <xdr:cNvPr id="201" name="ID_4C77D6E0B2FA45BB9DEBE60648DA1DE9"/>
        <xdr:cNvPicPr>
          <a:picLocks noChangeAspect="1"/>
        </xdr:cNvPicPr>
      </xdr:nvPicPr>
      <xdr:blipFill>
        <a:blip r:embed="rId325"/>
        <a:stretch>
          <a:fillRect/>
        </a:stretch>
      </xdr:blipFill>
      <xdr:spPr>
        <a:xfrm>
          <a:off x="2543810" y="2642235"/>
          <a:ext cx="3895725" cy="4124325"/>
        </a:xfrm>
        <a:prstGeom prst="rect">
          <a:avLst/>
        </a:prstGeom>
        <a:noFill/>
        <a:ln w="9525">
          <a:noFill/>
        </a:ln>
      </xdr:spPr>
    </xdr:pic>
  </etc:cellImage>
  <etc:cellImage>
    <xdr:pic>
      <xdr:nvPicPr>
        <xdr:cNvPr id="216" name="ID_CE6F81752F184B498B4885FC89A94E2A"/>
        <xdr:cNvPicPr>
          <a:picLocks noChangeAspect="1"/>
        </xdr:cNvPicPr>
      </xdr:nvPicPr>
      <xdr:blipFill>
        <a:blip r:embed="rId326"/>
        <a:stretch>
          <a:fillRect/>
        </a:stretch>
      </xdr:blipFill>
      <xdr:spPr>
        <a:xfrm>
          <a:off x="2298065" y="6276340"/>
          <a:ext cx="4343400" cy="2038350"/>
        </a:xfrm>
        <a:prstGeom prst="rect">
          <a:avLst/>
        </a:prstGeom>
        <a:noFill/>
        <a:ln w="9525">
          <a:noFill/>
        </a:ln>
      </xdr:spPr>
    </xdr:pic>
  </etc:cellImage>
  <etc:cellImage>
    <xdr:pic>
      <xdr:nvPicPr>
        <xdr:cNvPr id="277" name="ID_CFCAA001AA11417CB01AF132CB394837"/>
        <xdr:cNvPicPr>
          <a:picLocks noChangeAspect="1"/>
        </xdr:cNvPicPr>
      </xdr:nvPicPr>
      <xdr:blipFill>
        <a:blip r:embed="rId327"/>
        <a:stretch>
          <a:fillRect/>
        </a:stretch>
      </xdr:blipFill>
      <xdr:spPr>
        <a:xfrm>
          <a:off x="3495675" y="21551900"/>
          <a:ext cx="11363325" cy="6191250"/>
        </a:xfrm>
        <a:prstGeom prst="rect">
          <a:avLst/>
        </a:prstGeom>
        <a:noFill/>
        <a:ln w="9525">
          <a:noFill/>
        </a:ln>
      </xdr:spPr>
    </xdr:pic>
  </etc:cellImage>
  <etc:cellImage>
    <xdr:pic>
      <xdr:nvPicPr>
        <xdr:cNvPr id="285" name="ID_5EC69B1B7EA244739AF8C83678DFB120"/>
        <xdr:cNvPicPr>
          <a:picLocks noChangeAspect="1"/>
        </xdr:cNvPicPr>
      </xdr:nvPicPr>
      <xdr:blipFill>
        <a:blip r:embed="rId328"/>
        <a:stretch>
          <a:fillRect/>
        </a:stretch>
      </xdr:blipFill>
      <xdr:spPr>
        <a:xfrm>
          <a:off x="3618230" y="23467060"/>
          <a:ext cx="16954500" cy="6810375"/>
        </a:xfrm>
        <a:prstGeom prst="rect">
          <a:avLst/>
        </a:prstGeom>
        <a:noFill/>
        <a:ln w="9525">
          <a:noFill/>
        </a:ln>
      </xdr:spPr>
    </xdr:pic>
  </etc:cellImage>
  <etc:cellImage>
    <xdr:pic>
      <xdr:nvPicPr>
        <xdr:cNvPr id="289" name="ID_E460FD65052145C3A104C223F464A744"/>
        <xdr:cNvPicPr>
          <a:picLocks noChangeAspect="1"/>
        </xdr:cNvPicPr>
      </xdr:nvPicPr>
      <xdr:blipFill>
        <a:blip r:embed="rId329"/>
        <a:stretch>
          <a:fillRect/>
        </a:stretch>
      </xdr:blipFill>
      <xdr:spPr>
        <a:xfrm>
          <a:off x="3046730" y="28561030"/>
          <a:ext cx="4162425" cy="942975"/>
        </a:xfrm>
        <a:prstGeom prst="rect">
          <a:avLst/>
        </a:prstGeom>
        <a:noFill/>
        <a:ln w="9525">
          <a:noFill/>
        </a:ln>
      </xdr:spPr>
    </xdr:pic>
  </etc:cellImage>
  <etc:cellImage>
    <xdr:pic>
      <xdr:nvPicPr>
        <xdr:cNvPr id="291" name="ID_0B7D6ECDF05E4525B67FD8FC0471FA62"/>
        <xdr:cNvPicPr>
          <a:picLocks noChangeAspect="1"/>
        </xdr:cNvPicPr>
      </xdr:nvPicPr>
      <xdr:blipFill>
        <a:blip r:embed="rId330"/>
        <a:stretch>
          <a:fillRect/>
        </a:stretch>
      </xdr:blipFill>
      <xdr:spPr>
        <a:xfrm>
          <a:off x="4888865" y="2655570"/>
          <a:ext cx="4638675" cy="4362450"/>
        </a:xfrm>
        <a:prstGeom prst="rect">
          <a:avLst/>
        </a:prstGeom>
        <a:noFill/>
        <a:ln w="9525">
          <a:noFill/>
        </a:ln>
      </xdr:spPr>
    </xdr:pic>
  </etc:cellImage>
  <etc:cellImage>
    <xdr:pic>
      <xdr:nvPicPr>
        <xdr:cNvPr id="294" name="ID_C81EAC2A2D0C4E8A9262806A407C47EE"/>
        <xdr:cNvPicPr>
          <a:picLocks noChangeAspect="1"/>
        </xdr:cNvPicPr>
      </xdr:nvPicPr>
      <xdr:blipFill>
        <a:blip r:embed="rId331"/>
        <a:stretch>
          <a:fillRect/>
        </a:stretch>
      </xdr:blipFill>
      <xdr:spPr>
        <a:xfrm>
          <a:off x="4984115" y="6216650"/>
          <a:ext cx="3495675" cy="2047875"/>
        </a:xfrm>
        <a:prstGeom prst="rect">
          <a:avLst/>
        </a:prstGeom>
        <a:noFill/>
        <a:ln w="9525">
          <a:noFill/>
        </a:ln>
      </xdr:spPr>
    </xdr:pic>
  </etc:cellImage>
  <etc:cellImage>
    <xdr:pic>
      <xdr:nvPicPr>
        <xdr:cNvPr id="296" name="ID_BB7485C2D28C4CA0932B57DA5F3A06F0"/>
        <xdr:cNvPicPr>
          <a:picLocks noChangeAspect="1"/>
        </xdr:cNvPicPr>
      </xdr:nvPicPr>
      <xdr:blipFill>
        <a:blip r:embed="rId332"/>
        <a:stretch>
          <a:fillRect/>
        </a:stretch>
      </xdr:blipFill>
      <xdr:spPr>
        <a:xfrm>
          <a:off x="5228590" y="22381845"/>
          <a:ext cx="11382375" cy="5419725"/>
        </a:xfrm>
        <a:prstGeom prst="rect">
          <a:avLst/>
        </a:prstGeom>
        <a:noFill/>
        <a:ln w="9525">
          <a:noFill/>
        </a:ln>
      </xdr:spPr>
    </xdr:pic>
  </etc:cellImage>
  <etc:cellImage>
    <xdr:pic>
      <xdr:nvPicPr>
        <xdr:cNvPr id="340" name="ID_F15F97858791456C9B3EFA36A6182C86"/>
        <xdr:cNvPicPr>
          <a:picLocks noChangeAspect="1"/>
        </xdr:cNvPicPr>
      </xdr:nvPicPr>
      <xdr:blipFill>
        <a:blip r:embed="rId333"/>
        <a:stretch>
          <a:fillRect/>
        </a:stretch>
      </xdr:blipFill>
      <xdr:spPr>
        <a:xfrm>
          <a:off x="4629785" y="23780750"/>
          <a:ext cx="16897350" cy="6772275"/>
        </a:xfrm>
        <a:prstGeom prst="rect">
          <a:avLst/>
        </a:prstGeom>
        <a:noFill/>
        <a:ln w="9525">
          <a:noFill/>
        </a:ln>
      </xdr:spPr>
    </xdr:pic>
  </etc:cellImage>
  <etc:cellImage>
    <xdr:pic>
      <xdr:nvPicPr>
        <xdr:cNvPr id="379" name="ID_589E6E4DF6EB4781ABC87BE09DEC0A86"/>
        <xdr:cNvPicPr>
          <a:picLocks noChangeAspect="1"/>
        </xdr:cNvPicPr>
      </xdr:nvPicPr>
      <xdr:blipFill>
        <a:blip r:embed="rId334"/>
        <a:stretch>
          <a:fillRect/>
        </a:stretch>
      </xdr:blipFill>
      <xdr:spPr>
        <a:xfrm>
          <a:off x="4820920" y="29077920"/>
          <a:ext cx="4267200" cy="1924050"/>
        </a:xfrm>
        <a:prstGeom prst="rect">
          <a:avLst/>
        </a:prstGeom>
        <a:noFill/>
        <a:ln w="9525">
          <a:noFill/>
        </a:ln>
      </xdr:spPr>
    </xdr:pic>
  </etc:cellImage>
  <etc:cellImage>
    <xdr:pic>
      <xdr:nvPicPr>
        <xdr:cNvPr id="385" name="ID_FD308A9E953A4DCEBEB6730A4725021B"/>
        <xdr:cNvPicPr>
          <a:picLocks noChangeAspect="1"/>
        </xdr:cNvPicPr>
      </xdr:nvPicPr>
      <xdr:blipFill>
        <a:blip r:embed="rId335"/>
        <a:stretch>
          <a:fillRect/>
        </a:stretch>
      </xdr:blipFill>
      <xdr:spPr>
        <a:xfrm>
          <a:off x="6567170" y="2614930"/>
          <a:ext cx="4010025" cy="4286250"/>
        </a:xfrm>
        <a:prstGeom prst="rect">
          <a:avLst/>
        </a:prstGeom>
        <a:noFill/>
        <a:ln w="9525">
          <a:noFill/>
        </a:ln>
      </xdr:spPr>
    </xdr:pic>
  </etc:cellImage>
  <etc:cellImage>
    <xdr:pic>
      <xdr:nvPicPr>
        <xdr:cNvPr id="387" name="ID_F34DBA05364E4B689242D477BCCAF6FC"/>
        <xdr:cNvPicPr>
          <a:picLocks noChangeAspect="1"/>
        </xdr:cNvPicPr>
      </xdr:nvPicPr>
      <xdr:blipFill>
        <a:blip r:embed="rId336"/>
        <a:stretch>
          <a:fillRect/>
        </a:stretch>
      </xdr:blipFill>
      <xdr:spPr>
        <a:xfrm>
          <a:off x="6920865" y="6330315"/>
          <a:ext cx="4343400" cy="2047875"/>
        </a:xfrm>
        <a:prstGeom prst="rect">
          <a:avLst/>
        </a:prstGeom>
        <a:noFill/>
        <a:ln w="9525">
          <a:noFill/>
        </a:ln>
      </xdr:spPr>
    </xdr:pic>
  </etc:cellImage>
  <etc:cellImage>
    <xdr:pic>
      <xdr:nvPicPr>
        <xdr:cNvPr id="391" name="ID_0402D247089F4297989A993C848B1476"/>
        <xdr:cNvPicPr>
          <a:picLocks noChangeAspect="1"/>
        </xdr:cNvPicPr>
      </xdr:nvPicPr>
      <xdr:blipFill>
        <a:blip r:embed="rId337"/>
        <a:stretch>
          <a:fillRect/>
        </a:stretch>
      </xdr:blipFill>
      <xdr:spPr>
        <a:xfrm>
          <a:off x="7057390" y="22327235"/>
          <a:ext cx="11420475" cy="6477000"/>
        </a:xfrm>
        <a:prstGeom prst="rect">
          <a:avLst/>
        </a:prstGeom>
        <a:noFill/>
        <a:ln w="9525">
          <a:noFill/>
        </a:ln>
      </xdr:spPr>
    </xdr:pic>
  </etc:cellImage>
  <etc:cellImage>
    <xdr:pic>
      <xdr:nvPicPr>
        <xdr:cNvPr id="392" name="ID_B2F93D36C4E040C19ECE7D6CEA89966C"/>
        <xdr:cNvPicPr>
          <a:picLocks noChangeAspect="1"/>
        </xdr:cNvPicPr>
      </xdr:nvPicPr>
      <xdr:blipFill>
        <a:blip r:embed="rId338"/>
        <a:stretch>
          <a:fillRect/>
        </a:stretch>
      </xdr:blipFill>
      <xdr:spPr>
        <a:xfrm>
          <a:off x="6866890" y="23726140"/>
          <a:ext cx="17059275" cy="6867525"/>
        </a:xfrm>
        <a:prstGeom prst="rect">
          <a:avLst/>
        </a:prstGeom>
        <a:noFill/>
        <a:ln w="9525">
          <a:noFill/>
        </a:ln>
      </xdr:spPr>
    </xdr:pic>
  </etc:cellImage>
  <etc:cellImage>
    <xdr:pic>
      <xdr:nvPicPr>
        <xdr:cNvPr id="393" name="ID_0384510DBBDE4025BD6C8F8C8D8FA12E"/>
        <xdr:cNvPicPr>
          <a:picLocks noChangeAspect="1"/>
        </xdr:cNvPicPr>
      </xdr:nvPicPr>
      <xdr:blipFill>
        <a:blip r:embed="rId339"/>
        <a:stretch>
          <a:fillRect/>
        </a:stretch>
      </xdr:blipFill>
      <xdr:spPr>
        <a:xfrm>
          <a:off x="6812280" y="28674060"/>
          <a:ext cx="4181475" cy="971550"/>
        </a:xfrm>
        <a:prstGeom prst="rect">
          <a:avLst/>
        </a:prstGeom>
        <a:noFill/>
        <a:ln w="9525">
          <a:noFill/>
        </a:ln>
      </xdr:spPr>
    </xdr:pic>
  </etc:cellImage>
  <etc:cellImage>
    <xdr:pic>
      <xdr:nvPicPr>
        <xdr:cNvPr id="394" name="ID_828B074FBDBE4EBB80306B61D6845B77"/>
        <xdr:cNvPicPr>
          <a:picLocks noChangeAspect="1"/>
        </xdr:cNvPicPr>
      </xdr:nvPicPr>
      <xdr:blipFill>
        <a:blip r:embed="rId340"/>
        <a:stretch>
          <a:fillRect/>
        </a:stretch>
      </xdr:blipFill>
      <xdr:spPr>
        <a:xfrm>
          <a:off x="9091930" y="2642235"/>
          <a:ext cx="4410075" cy="4295775"/>
        </a:xfrm>
        <a:prstGeom prst="rect">
          <a:avLst/>
        </a:prstGeom>
        <a:noFill/>
        <a:ln w="9525">
          <a:noFill/>
        </a:ln>
      </xdr:spPr>
    </xdr:pic>
  </etc:cellImage>
  <etc:cellImage>
    <xdr:pic>
      <xdr:nvPicPr>
        <xdr:cNvPr id="395" name="ID_D3CC4096FC03473893E8B1897151732E"/>
        <xdr:cNvPicPr>
          <a:picLocks noChangeAspect="1"/>
        </xdr:cNvPicPr>
      </xdr:nvPicPr>
      <xdr:blipFill>
        <a:blip r:embed="rId341"/>
        <a:stretch>
          <a:fillRect/>
        </a:stretch>
      </xdr:blipFill>
      <xdr:spPr>
        <a:xfrm>
          <a:off x="8643620" y="6412230"/>
          <a:ext cx="4552950" cy="2057400"/>
        </a:xfrm>
        <a:prstGeom prst="rect">
          <a:avLst/>
        </a:prstGeom>
        <a:noFill/>
        <a:ln w="9525">
          <a:noFill/>
        </a:ln>
      </xdr:spPr>
    </xdr:pic>
  </etc:cellImage>
  <etc:cellImage>
    <xdr:pic>
      <xdr:nvPicPr>
        <xdr:cNvPr id="396" name="ID_5ADCDBACDCD846EDACFD38E49D4B8F25"/>
        <xdr:cNvPicPr>
          <a:picLocks noChangeAspect="1"/>
        </xdr:cNvPicPr>
      </xdr:nvPicPr>
      <xdr:blipFill>
        <a:blip r:embed="rId342"/>
        <a:stretch>
          <a:fillRect/>
        </a:stretch>
      </xdr:blipFill>
      <xdr:spPr>
        <a:xfrm>
          <a:off x="8928735" y="23215600"/>
          <a:ext cx="11306175" cy="5467350"/>
        </a:xfrm>
        <a:prstGeom prst="rect">
          <a:avLst/>
        </a:prstGeom>
        <a:noFill/>
        <a:ln w="9525">
          <a:noFill/>
        </a:ln>
      </xdr:spPr>
    </xdr:pic>
  </etc:cellImage>
  <etc:cellImage>
    <xdr:pic>
      <xdr:nvPicPr>
        <xdr:cNvPr id="397" name="ID_D9A201182E2A4DF6B4810B83DB962CF8"/>
        <xdr:cNvPicPr>
          <a:picLocks noChangeAspect="1"/>
        </xdr:cNvPicPr>
      </xdr:nvPicPr>
      <xdr:blipFill>
        <a:blip r:embed="rId343"/>
        <a:stretch>
          <a:fillRect/>
        </a:stretch>
      </xdr:blipFill>
      <xdr:spPr>
        <a:xfrm>
          <a:off x="8711565" y="24737060"/>
          <a:ext cx="17002125" cy="6781800"/>
        </a:xfrm>
        <a:prstGeom prst="rect">
          <a:avLst/>
        </a:prstGeom>
        <a:noFill/>
        <a:ln w="9525">
          <a:noFill/>
        </a:ln>
      </xdr:spPr>
    </xdr:pic>
  </etc:cellImage>
  <etc:cellImage>
    <xdr:pic>
      <xdr:nvPicPr>
        <xdr:cNvPr id="401" name="ID_AF674C3D3A0F4A9C9A51B6CA2F26BA48"/>
        <xdr:cNvPicPr>
          <a:picLocks noChangeAspect="1"/>
        </xdr:cNvPicPr>
      </xdr:nvPicPr>
      <xdr:blipFill>
        <a:blip r:embed="rId344"/>
        <a:stretch>
          <a:fillRect/>
        </a:stretch>
      </xdr:blipFill>
      <xdr:spPr>
        <a:xfrm>
          <a:off x="10676890" y="2696845"/>
          <a:ext cx="3724275" cy="4067175"/>
        </a:xfrm>
        <a:prstGeom prst="rect">
          <a:avLst/>
        </a:prstGeom>
        <a:noFill/>
        <a:ln w="9525">
          <a:noFill/>
        </a:ln>
      </xdr:spPr>
    </xdr:pic>
  </etc:cellImage>
  <etc:cellImage>
    <xdr:pic>
      <xdr:nvPicPr>
        <xdr:cNvPr id="402" name="ID_6A2E678E39324F47BEB1B3757F6520A8"/>
        <xdr:cNvPicPr>
          <a:picLocks noChangeAspect="1"/>
        </xdr:cNvPicPr>
      </xdr:nvPicPr>
      <xdr:blipFill>
        <a:blip r:embed="rId345"/>
        <a:stretch>
          <a:fillRect/>
        </a:stretch>
      </xdr:blipFill>
      <xdr:spPr>
        <a:xfrm>
          <a:off x="10445115" y="6344285"/>
          <a:ext cx="4533900" cy="2047875"/>
        </a:xfrm>
        <a:prstGeom prst="rect">
          <a:avLst/>
        </a:prstGeom>
        <a:noFill/>
        <a:ln w="9525">
          <a:noFill/>
        </a:ln>
      </xdr:spPr>
    </xdr:pic>
  </etc:cellImage>
  <etc:cellImage>
    <xdr:pic>
      <xdr:nvPicPr>
        <xdr:cNvPr id="403" name="ID_5BDB777C96EC43CBB4C715EDD888A7E2"/>
        <xdr:cNvPicPr>
          <a:picLocks noChangeAspect="1"/>
        </xdr:cNvPicPr>
      </xdr:nvPicPr>
      <xdr:blipFill>
        <a:blip r:embed="rId346"/>
        <a:stretch>
          <a:fillRect/>
        </a:stretch>
      </xdr:blipFill>
      <xdr:spPr>
        <a:xfrm>
          <a:off x="10690860" y="23256240"/>
          <a:ext cx="11639550" cy="6505575"/>
        </a:xfrm>
        <a:prstGeom prst="rect">
          <a:avLst/>
        </a:prstGeom>
        <a:noFill/>
        <a:ln w="9525">
          <a:noFill/>
        </a:ln>
      </xdr:spPr>
    </xdr:pic>
  </etc:cellImage>
  <etc:cellImage>
    <xdr:pic>
      <xdr:nvPicPr>
        <xdr:cNvPr id="404" name="ID_407BBF70A16F45708B5F37CA80C39FA6"/>
        <xdr:cNvPicPr>
          <a:picLocks noChangeAspect="1"/>
        </xdr:cNvPicPr>
      </xdr:nvPicPr>
      <xdr:blipFill>
        <a:blip r:embed="rId347"/>
        <a:stretch>
          <a:fillRect/>
        </a:stretch>
      </xdr:blipFill>
      <xdr:spPr>
        <a:xfrm>
          <a:off x="10745470" y="24736425"/>
          <a:ext cx="16973550" cy="6848475"/>
        </a:xfrm>
        <a:prstGeom prst="rect">
          <a:avLst/>
        </a:prstGeom>
        <a:noFill/>
        <a:ln w="9525">
          <a:noFill/>
        </a:ln>
      </xdr:spPr>
    </xdr:pic>
  </etc:cellImage>
  <etc:cellImage>
    <xdr:pic>
      <xdr:nvPicPr>
        <xdr:cNvPr id="405" name="ID_78B03E1AF037432587B62488DC4AF094"/>
        <xdr:cNvPicPr>
          <a:picLocks noChangeAspect="1"/>
        </xdr:cNvPicPr>
      </xdr:nvPicPr>
      <xdr:blipFill>
        <a:blip r:embed="rId348"/>
        <a:stretch>
          <a:fillRect/>
        </a:stretch>
      </xdr:blipFill>
      <xdr:spPr>
        <a:xfrm>
          <a:off x="11099165" y="29884370"/>
          <a:ext cx="4124325" cy="895350"/>
        </a:xfrm>
        <a:prstGeom prst="rect">
          <a:avLst/>
        </a:prstGeom>
        <a:noFill/>
        <a:ln w="9525">
          <a:noFill/>
        </a:ln>
      </xdr:spPr>
    </xdr:pic>
  </etc:cellImage>
  <etc:cellImage>
    <xdr:pic>
      <xdr:nvPicPr>
        <xdr:cNvPr id="165" name="ID_46F96DADA62E4B5CB860BDFED7B24586"/>
        <xdr:cNvPicPr>
          <a:picLocks noChangeAspect="1"/>
        </xdr:cNvPicPr>
      </xdr:nvPicPr>
      <xdr:blipFill>
        <a:blip r:embed="rId349"/>
        <a:stretch>
          <a:fillRect/>
        </a:stretch>
      </xdr:blipFill>
      <xdr:spPr>
        <a:xfrm>
          <a:off x="11106785" y="2850515"/>
          <a:ext cx="4914900" cy="3962400"/>
        </a:xfrm>
        <a:prstGeom prst="rect">
          <a:avLst/>
        </a:prstGeom>
        <a:noFill/>
        <a:ln w="9525">
          <a:noFill/>
        </a:ln>
      </xdr:spPr>
    </xdr:pic>
  </etc:cellImage>
  <etc:cellImage>
    <xdr:pic>
      <xdr:nvPicPr>
        <xdr:cNvPr id="171" name="ID_648DB963FA7B4625AD25BE4145E66833"/>
        <xdr:cNvPicPr>
          <a:picLocks noChangeAspect="1"/>
        </xdr:cNvPicPr>
      </xdr:nvPicPr>
      <xdr:blipFill>
        <a:blip r:embed="rId350"/>
        <a:stretch>
          <a:fillRect/>
        </a:stretch>
      </xdr:blipFill>
      <xdr:spPr>
        <a:xfrm>
          <a:off x="10789920" y="6670040"/>
          <a:ext cx="4152900" cy="1885950"/>
        </a:xfrm>
        <a:prstGeom prst="rect">
          <a:avLst/>
        </a:prstGeom>
        <a:noFill/>
        <a:ln w="9525">
          <a:noFill/>
        </a:ln>
      </xdr:spPr>
    </xdr:pic>
  </etc:cellImage>
  <etc:cellImage>
    <xdr:pic>
      <xdr:nvPicPr>
        <xdr:cNvPr id="174" name="ID_3BF10D38ED434998B9B317D0C2DD3B4E"/>
        <xdr:cNvPicPr>
          <a:picLocks noChangeAspect="1"/>
        </xdr:cNvPicPr>
      </xdr:nvPicPr>
      <xdr:blipFill>
        <a:blip r:embed="rId351"/>
        <a:stretch>
          <a:fillRect/>
        </a:stretch>
      </xdr:blipFill>
      <xdr:spPr>
        <a:xfrm>
          <a:off x="10925810" y="24029670"/>
          <a:ext cx="8953500" cy="5972175"/>
        </a:xfrm>
        <a:prstGeom prst="rect">
          <a:avLst/>
        </a:prstGeom>
        <a:noFill/>
        <a:ln w="9525">
          <a:noFill/>
        </a:ln>
      </xdr:spPr>
    </xdr:pic>
  </etc:cellImage>
  <etc:cellImage>
    <xdr:pic>
      <xdr:nvPicPr>
        <xdr:cNvPr id="176" name="ID_7C6E87BA8BE9466286DE4250808CD944"/>
        <xdr:cNvPicPr>
          <a:picLocks noChangeAspect="1"/>
        </xdr:cNvPicPr>
      </xdr:nvPicPr>
      <xdr:blipFill>
        <a:blip r:embed="rId352"/>
        <a:stretch>
          <a:fillRect/>
        </a:stretch>
      </xdr:blipFill>
      <xdr:spPr>
        <a:xfrm>
          <a:off x="13405485" y="25055195"/>
          <a:ext cx="16935450" cy="6829425"/>
        </a:xfrm>
        <a:prstGeom prst="rect">
          <a:avLst/>
        </a:prstGeom>
        <a:noFill/>
        <a:ln w="9525">
          <a:noFill/>
        </a:ln>
      </xdr:spPr>
    </xdr:pic>
  </etc:cellImage>
  <etc:cellImage>
    <xdr:pic>
      <xdr:nvPicPr>
        <xdr:cNvPr id="200" name="ID_76864BC77993453FA2E84810B8164057"/>
        <xdr:cNvPicPr>
          <a:picLocks noChangeAspect="1"/>
        </xdr:cNvPicPr>
      </xdr:nvPicPr>
      <xdr:blipFill>
        <a:blip r:embed="rId353"/>
        <a:stretch>
          <a:fillRect/>
        </a:stretch>
      </xdr:blipFill>
      <xdr:spPr>
        <a:xfrm>
          <a:off x="12644120" y="30290135"/>
          <a:ext cx="4171950" cy="933450"/>
        </a:xfrm>
        <a:prstGeom prst="rect">
          <a:avLst/>
        </a:prstGeom>
        <a:noFill/>
        <a:ln w="9525">
          <a:noFill/>
        </a:ln>
      </xdr:spPr>
    </xdr:pic>
  </etc:cellImage>
  <etc:cellImage>
    <xdr:pic>
      <xdr:nvPicPr>
        <xdr:cNvPr id="204" name="ID_884F98CC892A4CE6ABDBA140550374CF"/>
        <xdr:cNvPicPr>
          <a:picLocks noChangeAspect="1"/>
        </xdr:cNvPicPr>
      </xdr:nvPicPr>
      <xdr:blipFill>
        <a:blip r:embed="rId354"/>
        <a:stretch>
          <a:fillRect/>
        </a:stretch>
      </xdr:blipFill>
      <xdr:spPr>
        <a:xfrm>
          <a:off x="14705330" y="2641600"/>
          <a:ext cx="4124325" cy="4257675"/>
        </a:xfrm>
        <a:prstGeom prst="rect">
          <a:avLst/>
        </a:prstGeom>
        <a:noFill/>
        <a:ln w="9525">
          <a:noFill/>
        </a:ln>
      </xdr:spPr>
    </xdr:pic>
  </etc:cellImage>
  <etc:cellImage>
    <xdr:pic>
      <xdr:nvPicPr>
        <xdr:cNvPr id="211" name="ID_DEFA036F13AF4B5291C4B9F71B9AC210"/>
        <xdr:cNvPicPr>
          <a:picLocks noChangeAspect="1"/>
        </xdr:cNvPicPr>
      </xdr:nvPicPr>
      <xdr:blipFill>
        <a:blip r:embed="rId355"/>
        <a:stretch>
          <a:fillRect/>
        </a:stretch>
      </xdr:blipFill>
      <xdr:spPr>
        <a:xfrm>
          <a:off x="14800580" y="6357620"/>
          <a:ext cx="4457700" cy="2038350"/>
        </a:xfrm>
        <a:prstGeom prst="rect">
          <a:avLst/>
        </a:prstGeom>
        <a:noFill/>
        <a:ln w="9525">
          <a:noFill/>
        </a:ln>
      </xdr:spPr>
    </xdr:pic>
  </etc:cellImage>
  <etc:cellImage>
    <xdr:pic>
      <xdr:nvPicPr>
        <xdr:cNvPr id="213" name="ID_6DCECDAC551F419D901B8173BB9D22C7"/>
        <xdr:cNvPicPr>
          <a:picLocks noChangeAspect="1"/>
        </xdr:cNvPicPr>
      </xdr:nvPicPr>
      <xdr:blipFill>
        <a:blip r:embed="rId356"/>
        <a:stretch>
          <a:fillRect/>
        </a:stretch>
      </xdr:blipFill>
      <xdr:spPr>
        <a:xfrm>
          <a:off x="14841220" y="23120350"/>
          <a:ext cx="11391900" cy="5762625"/>
        </a:xfrm>
        <a:prstGeom prst="rect">
          <a:avLst/>
        </a:prstGeom>
        <a:noFill/>
        <a:ln w="9525">
          <a:noFill/>
        </a:ln>
      </xdr:spPr>
    </xdr:pic>
  </etc:cellImage>
  <etc:cellImage>
    <xdr:pic>
      <xdr:nvPicPr>
        <xdr:cNvPr id="214" name="ID_01CAF2251C874A78B0161B47E2CC7A6B"/>
        <xdr:cNvPicPr>
          <a:picLocks noChangeAspect="1"/>
        </xdr:cNvPicPr>
      </xdr:nvPicPr>
      <xdr:blipFill>
        <a:blip r:embed="rId357"/>
        <a:stretch>
          <a:fillRect/>
        </a:stretch>
      </xdr:blipFill>
      <xdr:spPr>
        <a:xfrm>
          <a:off x="14691360" y="24655145"/>
          <a:ext cx="17059275" cy="6838950"/>
        </a:xfrm>
        <a:prstGeom prst="rect">
          <a:avLst/>
        </a:prstGeom>
        <a:noFill/>
        <a:ln w="9525">
          <a:noFill/>
        </a:ln>
      </xdr:spPr>
    </xdr:pic>
  </etc:cellImage>
  <etc:cellImage>
    <xdr:pic>
      <xdr:nvPicPr>
        <xdr:cNvPr id="215" name="ID_02370C474E81415580E625047449E9E8"/>
        <xdr:cNvPicPr>
          <a:picLocks noChangeAspect="1"/>
        </xdr:cNvPicPr>
      </xdr:nvPicPr>
      <xdr:blipFill>
        <a:blip r:embed="rId358"/>
        <a:stretch>
          <a:fillRect/>
        </a:stretch>
      </xdr:blipFill>
      <xdr:spPr>
        <a:xfrm>
          <a:off x="16603980" y="2669540"/>
          <a:ext cx="4324350" cy="4286250"/>
        </a:xfrm>
        <a:prstGeom prst="rect">
          <a:avLst/>
        </a:prstGeom>
        <a:noFill/>
        <a:ln w="9525">
          <a:noFill/>
        </a:ln>
      </xdr:spPr>
    </xdr:pic>
  </etc:cellImage>
  <etc:cellImage>
    <xdr:pic>
      <xdr:nvPicPr>
        <xdr:cNvPr id="220" name="ID_A187F7DB71E04A73A7C5BA003F87B3FB"/>
        <xdr:cNvPicPr>
          <a:picLocks noChangeAspect="1"/>
        </xdr:cNvPicPr>
      </xdr:nvPicPr>
      <xdr:blipFill>
        <a:blip r:embed="rId359"/>
        <a:stretch>
          <a:fillRect/>
        </a:stretch>
      </xdr:blipFill>
      <xdr:spPr>
        <a:xfrm>
          <a:off x="16657955" y="2723515"/>
          <a:ext cx="4019550" cy="4267200"/>
        </a:xfrm>
        <a:prstGeom prst="rect">
          <a:avLst/>
        </a:prstGeom>
        <a:noFill/>
        <a:ln w="9525">
          <a:noFill/>
        </a:ln>
      </xdr:spPr>
    </xdr:pic>
  </etc:cellImage>
  <etc:cellImage>
    <xdr:pic>
      <xdr:nvPicPr>
        <xdr:cNvPr id="221" name="ID_E85A45DD65D74D5F9EE75FA564B2DB12"/>
        <xdr:cNvPicPr>
          <a:picLocks noChangeAspect="1"/>
        </xdr:cNvPicPr>
      </xdr:nvPicPr>
      <xdr:blipFill>
        <a:blip r:embed="rId360"/>
        <a:stretch>
          <a:fillRect/>
        </a:stretch>
      </xdr:blipFill>
      <xdr:spPr>
        <a:xfrm>
          <a:off x="16807815" y="6453505"/>
          <a:ext cx="4324350" cy="2019300"/>
        </a:xfrm>
        <a:prstGeom prst="rect">
          <a:avLst/>
        </a:prstGeom>
        <a:noFill/>
        <a:ln w="9525">
          <a:noFill/>
        </a:ln>
      </xdr:spPr>
    </xdr:pic>
  </etc:cellImage>
  <etc:cellImage>
    <xdr:pic>
      <xdr:nvPicPr>
        <xdr:cNvPr id="222" name="ID_1DD8B763086845DEB0A0F16E1C1821F0"/>
        <xdr:cNvPicPr>
          <a:picLocks noChangeAspect="1"/>
        </xdr:cNvPicPr>
      </xdr:nvPicPr>
      <xdr:blipFill>
        <a:blip r:embed="rId361"/>
        <a:stretch>
          <a:fillRect/>
        </a:stretch>
      </xdr:blipFill>
      <xdr:spPr>
        <a:xfrm>
          <a:off x="16726535" y="23174325"/>
          <a:ext cx="11353800" cy="5381625"/>
        </a:xfrm>
        <a:prstGeom prst="rect">
          <a:avLst/>
        </a:prstGeom>
        <a:noFill/>
        <a:ln w="9525">
          <a:noFill/>
        </a:ln>
      </xdr:spPr>
    </xdr:pic>
  </etc:cellImage>
  <etc:cellImage>
    <xdr:pic>
      <xdr:nvPicPr>
        <xdr:cNvPr id="224" name="ID_1A183D6897BC4DD4B77DF2D3004CCEEC"/>
        <xdr:cNvPicPr>
          <a:picLocks noChangeAspect="1"/>
        </xdr:cNvPicPr>
      </xdr:nvPicPr>
      <xdr:blipFill>
        <a:blip r:embed="rId362"/>
        <a:stretch>
          <a:fillRect/>
        </a:stretch>
      </xdr:blipFill>
      <xdr:spPr>
        <a:xfrm>
          <a:off x="17134205" y="24818340"/>
          <a:ext cx="16973550" cy="6810375"/>
        </a:xfrm>
        <a:prstGeom prst="rect">
          <a:avLst/>
        </a:prstGeom>
        <a:noFill/>
        <a:ln w="9525">
          <a:noFill/>
        </a:ln>
      </xdr:spPr>
    </xdr:pic>
  </etc:cellImage>
  <etc:cellImage>
    <xdr:pic>
      <xdr:nvPicPr>
        <xdr:cNvPr id="225" name="ID_3813A90F11FE4D259891F005BE7C6F74"/>
        <xdr:cNvPicPr>
          <a:picLocks noChangeAspect="1"/>
        </xdr:cNvPicPr>
      </xdr:nvPicPr>
      <xdr:blipFill>
        <a:blip r:embed="rId363"/>
        <a:stretch>
          <a:fillRect/>
        </a:stretch>
      </xdr:blipFill>
      <xdr:spPr>
        <a:xfrm>
          <a:off x="16916400" y="30399355"/>
          <a:ext cx="4133850" cy="952500"/>
        </a:xfrm>
        <a:prstGeom prst="rect">
          <a:avLst/>
        </a:prstGeom>
        <a:noFill/>
        <a:ln w="9525">
          <a:noFill/>
        </a:ln>
      </xdr:spPr>
    </xdr:pic>
  </etc:cellImage>
  <etc:cellImage>
    <xdr:pic>
      <xdr:nvPicPr>
        <xdr:cNvPr id="226" name="ID_702FD2F1EB8D4024B4681CB4BAE3B1A2"/>
        <xdr:cNvPicPr>
          <a:picLocks noChangeAspect="1"/>
        </xdr:cNvPicPr>
      </xdr:nvPicPr>
      <xdr:blipFill>
        <a:blip r:embed="rId364"/>
        <a:stretch>
          <a:fillRect/>
        </a:stretch>
      </xdr:blipFill>
      <xdr:spPr>
        <a:xfrm>
          <a:off x="18419445" y="6316980"/>
          <a:ext cx="3562350" cy="2038350"/>
        </a:xfrm>
        <a:prstGeom prst="rect">
          <a:avLst/>
        </a:prstGeom>
        <a:noFill/>
        <a:ln w="9525">
          <a:noFill/>
        </a:ln>
      </xdr:spPr>
    </xdr:pic>
  </etc:cellImage>
  <etc:cellImage>
    <xdr:pic>
      <xdr:nvPicPr>
        <xdr:cNvPr id="227" name="ID_F9CE271BD0254238A288C14C6CB1D314"/>
        <xdr:cNvPicPr>
          <a:picLocks noChangeAspect="1"/>
        </xdr:cNvPicPr>
      </xdr:nvPicPr>
      <xdr:blipFill>
        <a:blip r:embed="rId365"/>
        <a:stretch>
          <a:fillRect/>
        </a:stretch>
      </xdr:blipFill>
      <xdr:spPr>
        <a:xfrm>
          <a:off x="18310860" y="23038435"/>
          <a:ext cx="11315700" cy="5562600"/>
        </a:xfrm>
        <a:prstGeom prst="rect">
          <a:avLst/>
        </a:prstGeom>
        <a:noFill/>
        <a:ln w="9525">
          <a:noFill/>
        </a:ln>
      </xdr:spPr>
    </xdr:pic>
  </etc:cellImage>
  <etc:cellImage>
    <xdr:pic>
      <xdr:nvPicPr>
        <xdr:cNvPr id="230" name="ID_E14D1726330D4270A5CC1116759AEF89"/>
        <xdr:cNvPicPr>
          <a:picLocks noChangeAspect="1"/>
        </xdr:cNvPicPr>
      </xdr:nvPicPr>
      <xdr:blipFill>
        <a:blip r:embed="rId366"/>
        <a:stretch>
          <a:fillRect/>
        </a:stretch>
      </xdr:blipFill>
      <xdr:spPr>
        <a:xfrm>
          <a:off x="18460085" y="24627840"/>
          <a:ext cx="16954500" cy="6810375"/>
        </a:xfrm>
        <a:prstGeom prst="rect">
          <a:avLst/>
        </a:prstGeom>
        <a:noFill/>
        <a:ln w="9525">
          <a:noFill/>
        </a:ln>
      </xdr:spPr>
    </xdr:pic>
  </etc:cellImage>
  <etc:cellImage>
    <xdr:pic>
      <xdr:nvPicPr>
        <xdr:cNvPr id="232" name="ID_8E70A92E5E7D46AD85F585AAF5E18309"/>
        <xdr:cNvPicPr>
          <a:picLocks noChangeAspect="1"/>
        </xdr:cNvPicPr>
      </xdr:nvPicPr>
      <xdr:blipFill>
        <a:blip r:embed="rId367"/>
        <a:stretch>
          <a:fillRect/>
        </a:stretch>
      </xdr:blipFill>
      <xdr:spPr>
        <a:xfrm>
          <a:off x="18705195" y="30372050"/>
          <a:ext cx="4143375" cy="962025"/>
        </a:xfrm>
        <a:prstGeom prst="rect">
          <a:avLst/>
        </a:prstGeom>
        <a:noFill/>
        <a:ln w="9525">
          <a:noFill/>
        </a:ln>
      </xdr:spPr>
    </xdr:pic>
  </etc:cellImage>
  <etc:cellImage>
    <xdr:pic>
      <xdr:nvPicPr>
        <xdr:cNvPr id="233" name="ID_B4E45121E0324934A6D82CC61900D2FF"/>
        <xdr:cNvPicPr>
          <a:picLocks noChangeAspect="1"/>
        </xdr:cNvPicPr>
      </xdr:nvPicPr>
      <xdr:blipFill>
        <a:blip r:embed="rId368"/>
        <a:stretch>
          <a:fillRect/>
        </a:stretch>
      </xdr:blipFill>
      <xdr:spPr>
        <a:xfrm>
          <a:off x="20346035" y="2614930"/>
          <a:ext cx="4724400" cy="4333875"/>
        </a:xfrm>
        <a:prstGeom prst="rect">
          <a:avLst/>
        </a:prstGeom>
        <a:noFill/>
        <a:ln w="9525">
          <a:noFill/>
        </a:ln>
      </xdr:spPr>
    </xdr:pic>
  </etc:cellImage>
  <etc:cellImage>
    <xdr:pic>
      <xdr:nvPicPr>
        <xdr:cNvPr id="236" name="ID_E974B194E9574061B468622F5B8F9071"/>
        <xdr:cNvPicPr>
          <a:picLocks noChangeAspect="1"/>
        </xdr:cNvPicPr>
      </xdr:nvPicPr>
      <xdr:blipFill>
        <a:blip r:embed="rId369"/>
        <a:stretch>
          <a:fillRect/>
        </a:stretch>
      </xdr:blipFill>
      <xdr:spPr>
        <a:xfrm>
          <a:off x="20794345" y="6316980"/>
          <a:ext cx="4419600" cy="2038350"/>
        </a:xfrm>
        <a:prstGeom prst="rect">
          <a:avLst/>
        </a:prstGeom>
        <a:noFill/>
        <a:ln w="9525">
          <a:noFill/>
        </a:ln>
      </xdr:spPr>
    </xdr:pic>
  </etc:cellImage>
  <etc:cellImage>
    <xdr:pic>
      <xdr:nvPicPr>
        <xdr:cNvPr id="239" name="ID_DA798469EAAC46D598A7702F161272BE"/>
        <xdr:cNvPicPr>
          <a:picLocks noChangeAspect="1"/>
        </xdr:cNvPicPr>
      </xdr:nvPicPr>
      <xdr:blipFill>
        <a:blip r:embed="rId370"/>
        <a:stretch>
          <a:fillRect/>
        </a:stretch>
      </xdr:blipFill>
      <xdr:spPr>
        <a:xfrm>
          <a:off x="20453985" y="22869525"/>
          <a:ext cx="11391900" cy="6191250"/>
        </a:xfrm>
        <a:prstGeom prst="rect">
          <a:avLst/>
        </a:prstGeom>
        <a:noFill/>
        <a:ln w="9525">
          <a:noFill/>
        </a:ln>
      </xdr:spPr>
    </xdr:pic>
  </etc:cellImage>
  <etc:cellImage>
    <xdr:pic>
      <xdr:nvPicPr>
        <xdr:cNvPr id="241" name="ID_206395D6EE294073B7F7F263071FA97A"/>
        <xdr:cNvPicPr>
          <a:picLocks noChangeAspect="1"/>
        </xdr:cNvPicPr>
      </xdr:nvPicPr>
      <xdr:blipFill>
        <a:blip r:embed="rId371"/>
        <a:stretch>
          <a:fillRect/>
        </a:stretch>
      </xdr:blipFill>
      <xdr:spPr>
        <a:xfrm>
          <a:off x="20794345" y="24554180"/>
          <a:ext cx="16992600" cy="6819900"/>
        </a:xfrm>
        <a:prstGeom prst="rect">
          <a:avLst/>
        </a:prstGeom>
        <a:noFill/>
        <a:ln w="9525">
          <a:noFill/>
        </a:ln>
      </xdr:spPr>
    </xdr:pic>
  </etc:cellImage>
  <etc:cellImage>
    <xdr:pic>
      <xdr:nvPicPr>
        <xdr:cNvPr id="242" name="ID_2E93EA25A8FF498AA5306F20C62331A7"/>
        <xdr:cNvPicPr>
          <a:picLocks noChangeAspect="1"/>
        </xdr:cNvPicPr>
      </xdr:nvPicPr>
      <xdr:blipFill>
        <a:blip r:embed="rId372"/>
        <a:stretch>
          <a:fillRect/>
        </a:stretch>
      </xdr:blipFill>
      <xdr:spPr>
        <a:xfrm>
          <a:off x="20209510" y="29999305"/>
          <a:ext cx="4152900" cy="981075"/>
        </a:xfrm>
        <a:prstGeom prst="rect">
          <a:avLst/>
        </a:prstGeom>
        <a:noFill/>
        <a:ln w="9525">
          <a:noFill/>
        </a:ln>
      </xdr:spPr>
    </xdr:pic>
  </etc:cellImage>
  <etc:cellImage>
    <xdr:pic>
      <xdr:nvPicPr>
        <xdr:cNvPr id="245" name="ID_FE55F2C7044F48A2936B5E364B0333F1"/>
        <xdr:cNvPicPr>
          <a:picLocks noChangeAspect="1"/>
        </xdr:cNvPicPr>
      </xdr:nvPicPr>
      <xdr:blipFill>
        <a:blip r:embed="rId373"/>
        <a:stretch>
          <a:fillRect/>
        </a:stretch>
      </xdr:blipFill>
      <xdr:spPr>
        <a:xfrm>
          <a:off x="22801580" y="2887345"/>
          <a:ext cx="3781425" cy="4229100"/>
        </a:xfrm>
        <a:prstGeom prst="rect">
          <a:avLst/>
        </a:prstGeom>
        <a:noFill/>
        <a:ln w="9525">
          <a:noFill/>
        </a:ln>
      </xdr:spPr>
    </xdr:pic>
  </etc:cellImage>
  <etc:cellImage>
    <xdr:pic>
      <xdr:nvPicPr>
        <xdr:cNvPr id="247" name="ID_28025AA5038945DDA01BE2439B31B73D"/>
        <xdr:cNvPicPr>
          <a:picLocks noChangeAspect="1"/>
        </xdr:cNvPicPr>
      </xdr:nvPicPr>
      <xdr:blipFill>
        <a:blip r:embed="rId374"/>
        <a:stretch>
          <a:fillRect/>
        </a:stretch>
      </xdr:blipFill>
      <xdr:spPr>
        <a:xfrm>
          <a:off x="22080220" y="6249035"/>
          <a:ext cx="4362450" cy="2047875"/>
        </a:xfrm>
        <a:prstGeom prst="rect">
          <a:avLst/>
        </a:prstGeom>
        <a:noFill/>
        <a:ln w="9525">
          <a:noFill/>
        </a:ln>
      </xdr:spPr>
    </xdr:pic>
  </etc:cellImage>
  <etc:cellImage>
    <xdr:pic>
      <xdr:nvPicPr>
        <xdr:cNvPr id="248" name="ID_C5E9282963D84A0FAA8CC2A5F7A28042"/>
        <xdr:cNvPicPr>
          <a:picLocks noChangeAspect="1"/>
        </xdr:cNvPicPr>
      </xdr:nvPicPr>
      <xdr:blipFill>
        <a:blip r:embed="rId375"/>
        <a:stretch>
          <a:fillRect/>
        </a:stretch>
      </xdr:blipFill>
      <xdr:spPr>
        <a:xfrm>
          <a:off x="22393910" y="22701250"/>
          <a:ext cx="10744200" cy="5324475"/>
        </a:xfrm>
        <a:prstGeom prst="rect">
          <a:avLst/>
        </a:prstGeom>
        <a:noFill/>
        <a:ln w="9525">
          <a:noFill/>
        </a:ln>
      </xdr:spPr>
    </xdr:pic>
  </etc:cellImage>
  <etc:cellImage>
    <xdr:pic>
      <xdr:nvPicPr>
        <xdr:cNvPr id="261" name="ID_0AD48F30BCE0455392C151B8941D1C13"/>
        <xdr:cNvPicPr>
          <a:picLocks noChangeAspect="1"/>
        </xdr:cNvPicPr>
      </xdr:nvPicPr>
      <xdr:blipFill>
        <a:blip r:embed="rId376"/>
        <a:stretch>
          <a:fillRect/>
        </a:stretch>
      </xdr:blipFill>
      <xdr:spPr>
        <a:xfrm>
          <a:off x="22787610" y="24439880"/>
          <a:ext cx="16935450" cy="6791325"/>
        </a:xfrm>
        <a:prstGeom prst="rect">
          <a:avLst/>
        </a:prstGeom>
        <a:noFill/>
        <a:ln w="9525">
          <a:noFill/>
        </a:ln>
      </xdr:spPr>
    </xdr:pic>
  </etc:cellImage>
  <etc:cellImage>
    <xdr:pic>
      <xdr:nvPicPr>
        <xdr:cNvPr id="264" name="ID_D1EF5A42E65C4164BE81CAC16110E4DC"/>
        <xdr:cNvPicPr>
          <a:picLocks noChangeAspect="1"/>
        </xdr:cNvPicPr>
      </xdr:nvPicPr>
      <xdr:blipFill>
        <a:blip r:embed="rId377"/>
        <a:stretch>
          <a:fillRect/>
        </a:stretch>
      </xdr:blipFill>
      <xdr:spPr>
        <a:xfrm>
          <a:off x="22393910" y="29816425"/>
          <a:ext cx="4171950" cy="942975"/>
        </a:xfrm>
        <a:prstGeom prst="rect">
          <a:avLst/>
        </a:prstGeom>
        <a:noFill/>
        <a:ln w="9525">
          <a:noFill/>
        </a:ln>
      </xdr:spPr>
    </xdr:pic>
  </etc:cellImage>
  <etc:cellImage>
    <xdr:pic>
      <xdr:nvPicPr>
        <xdr:cNvPr id="266" name="ID_9CD56A2EBBBA4FC389F33E7845C76BC1"/>
        <xdr:cNvPicPr>
          <a:picLocks noChangeAspect="1"/>
        </xdr:cNvPicPr>
      </xdr:nvPicPr>
      <xdr:blipFill>
        <a:blip r:embed="rId378"/>
        <a:stretch>
          <a:fillRect/>
        </a:stretch>
      </xdr:blipFill>
      <xdr:spPr>
        <a:xfrm>
          <a:off x="24535765" y="2696845"/>
          <a:ext cx="5534025" cy="4381500"/>
        </a:xfrm>
        <a:prstGeom prst="rect">
          <a:avLst/>
        </a:prstGeom>
        <a:noFill/>
        <a:ln w="9525">
          <a:noFill/>
        </a:ln>
      </xdr:spPr>
    </xdr:pic>
  </etc:cellImage>
  <etc:cellImage>
    <xdr:pic>
      <xdr:nvPicPr>
        <xdr:cNvPr id="269" name="ID_1E144C3F973B45CA92E95BB8CDC0C32B"/>
        <xdr:cNvPicPr>
          <a:picLocks noChangeAspect="1"/>
        </xdr:cNvPicPr>
      </xdr:nvPicPr>
      <xdr:blipFill>
        <a:blip r:embed="rId379"/>
        <a:stretch>
          <a:fillRect/>
        </a:stretch>
      </xdr:blipFill>
      <xdr:spPr>
        <a:xfrm>
          <a:off x="24413210" y="6330315"/>
          <a:ext cx="4457700" cy="2019300"/>
        </a:xfrm>
        <a:prstGeom prst="rect">
          <a:avLst/>
        </a:prstGeom>
        <a:noFill/>
        <a:ln w="9525">
          <a:noFill/>
        </a:ln>
      </xdr:spPr>
    </xdr:pic>
  </etc:cellImage>
  <etc:cellImage>
    <xdr:pic>
      <xdr:nvPicPr>
        <xdr:cNvPr id="271" name="ID_12455B888A5943E1AEC074F35E263C4B"/>
        <xdr:cNvPicPr>
          <a:picLocks noChangeAspect="1"/>
        </xdr:cNvPicPr>
      </xdr:nvPicPr>
      <xdr:blipFill>
        <a:blip r:embed="rId380"/>
        <a:stretch>
          <a:fillRect/>
        </a:stretch>
      </xdr:blipFill>
      <xdr:spPr>
        <a:xfrm>
          <a:off x="24290655" y="22606000"/>
          <a:ext cx="10725150" cy="5648325"/>
        </a:xfrm>
        <a:prstGeom prst="rect">
          <a:avLst/>
        </a:prstGeom>
        <a:noFill/>
        <a:ln w="9525">
          <a:noFill/>
        </a:ln>
      </xdr:spPr>
    </xdr:pic>
  </etc:cellImage>
  <etc:cellImage>
    <xdr:pic>
      <xdr:nvPicPr>
        <xdr:cNvPr id="273" name="ID_E85BFEFB5E9B431DB94122D0185A78DC"/>
        <xdr:cNvPicPr>
          <a:picLocks noChangeAspect="1"/>
        </xdr:cNvPicPr>
      </xdr:nvPicPr>
      <xdr:blipFill>
        <a:blip r:embed="rId381"/>
        <a:stretch>
          <a:fillRect/>
        </a:stretch>
      </xdr:blipFill>
      <xdr:spPr>
        <a:xfrm>
          <a:off x="24372570" y="24426545"/>
          <a:ext cx="16925925" cy="6810375"/>
        </a:xfrm>
        <a:prstGeom prst="rect">
          <a:avLst/>
        </a:prstGeom>
        <a:noFill/>
        <a:ln w="9525">
          <a:noFill/>
        </a:ln>
      </xdr:spPr>
    </xdr:pic>
  </etc:cellImage>
  <etc:cellImage>
    <xdr:pic>
      <xdr:nvPicPr>
        <xdr:cNvPr id="275" name="ID_32489B1415AC43EB9EA453F32FAE8061"/>
        <xdr:cNvPicPr>
          <a:picLocks noChangeAspect="1"/>
        </xdr:cNvPicPr>
      </xdr:nvPicPr>
      <xdr:blipFill>
        <a:blip r:embed="rId382"/>
        <a:stretch>
          <a:fillRect/>
        </a:stretch>
      </xdr:blipFill>
      <xdr:spPr>
        <a:xfrm>
          <a:off x="26489660" y="2628265"/>
          <a:ext cx="4772025" cy="4143375"/>
        </a:xfrm>
        <a:prstGeom prst="rect">
          <a:avLst/>
        </a:prstGeom>
        <a:noFill/>
        <a:ln w="9525">
          <a:noFill/>
        </a:ln>
      </xdr:spPr>
    </xdr:pic>
  </etc:cellImage>
  <etc:cellImage>
    <xdr:pic>
      <xdr:nvPicPr>
        <xdr:cNvPr id="286" name="ID_79DC19433BAF49FDB1BD665E4AB68967"/>
        <xdr:cNvPicPr>
          <a:picLocks noChangeAspect="1"/>
        </xdr:cNvPicPr>
      </xdr:nvPicPr>
      <xdr:blipFill>
        <a:blip r:embed="rId383"/>
        <a:stretch>
          <a:fillRect/>
        </a:stretch>
      </xdr:blipFill>
      <xdr:spPr>
        <a:xfrm>
          <a:off x="26489025" y="6357620"/>
          <a:ext cx="4552950" cy="2047875"/>
        </a:xfrm>
        <a:prstGeom prst="rect">
          <a:avLst/>
        </a:prstGeom>
        <a:noFill/>
        <a:ln w="9525">
          <a:noFill/>
        </a:ln>
      </xdr:spPr>
    </xdr:pic>
  </etc:cellImage>
  <etc:cellImage>
    <xdr:pic>
      <xdr:nvPicPr>
        <xdr:cNvPr id="308" name="ID_E3FD9555AA7D42678F0EC061BE560978"/>
        <xdr:cNvPicPr>
          <a:picLocks noChangeAspect="1"/>
        </xdr:cNvPicPr>
      </xdr:nvPicPr>
      <xdr:blipFill>
        <a:blip r:embed="rId384"/>
        <a:stretch>
          <a:fillRect/>
        </a:stretch>
      </xdr:blipFill>
      <xdr:spPr>
        <a:xfrm>
          <a:off x="26121995" y="22701250"/>
          <a:ext cx="10582275" cy="5476875"/>
        </a:xfrm>
        <a:prstGeom prst="rect">
          <a:avLst/>
        </a:prstGeom>
        <a:noFill/>
        <a:ln w="9525">
          <a:noFill/>
        </a:ln>
      </xdr:spPr>
    </xdr:pic>
  </etc:cellImage>
  <etc:cellImage>
    <xdr:pic>
      <xdr:nvPicPr>
        <xdr:cNvPr id="406" name="ID_8328B4F086EC404194193CC05FABE2BD"/>
        <xdr:cNvPicPr>
          <a:picLocks noChangeAspect="1"/>
        </xdr:cNvPicPr>
      </xdr:nvPicPr>
      <xdr:blipFill>
        <a:blip r:embed="rId385"/>
        <a:stretch>
          <a:fillRect/>
        </a:stretch>
      </xdr:blipFill>
      <xdr:spPr>
        <a:xfrm>
          <a:off x="26598245" y="24439880"/>
          <a:ext cx="16964025" cy="6829425"/>
        </a:xfrm>
        <a:prstGeom prst="rect">
          <a:avLst/>
        </a:prstGeom>
        <a:noFill/>
        <a:ln w="9525">
          <a:noFill/>
        </a:ln>
      </xdr:spPr>
    </xdr:pic>
  </etc:cellImage>
  <etc:cellImage>
    <xdr:pic>
      <xdr:nvPicPr>
        <xdr:cNvPr id="407" name="ID_F440BB21B54146A1B057FCF7FDE7599B"/>
        <xdr:cNvPicPr>
          <a:picLocks noChangeAspect="1"/>
        </xdr:cNvPicPr>
      </xdr:nvPicPr>
      <xdr:blipFill>
        <a:blip r:embed="rId335"/>
        <a:stretch>
          <a:fillRect/>
        </a:stretch>
      </xdr:blipFill>
      <xdr:spPr>
        <a:xfrm>
          <a:off x="2945765" y="868045"/>
          <a:ext cx="4010025" cy="4286250"/>
        </a:xfrm>
        <a:prstGeom prst="rect">
          <a:avLst/>
        </a:prstGeom>
        <a:noFill/>
        <a:ln w="9525">
          <a:noFill/>
        </a:ln>
      </xdr:spPr>
    </xdr:pic>
  </etc:cellImage>
  <etc:cellImage>
    <xdr:pic>
      <xdr:nvPicPr>
        <xdr:cNvPr id="408" name="ID_E6646E1A942C4840AC0EA720E4F5FDF3"/>
        <xdr:cNvPicPr>
          <a:picLocks noChangeAspect="1"/>
        </xdr:cNvPicPr>
      </xdr:nvPicPr>
      <xdr:blipFill>
        <a:blip r:embed="rId386"/>
        <a:stretch>
          <a:fillRect/>
        </a:stretch>
      </xdr:blipFill>
      <xdr:spPr>
        <a:xfrm>
          <a:off x="3023870" y="2740660"/>
          <a:ext cx="10725150" cy="3667125"/>
        </a:xfrm>
        <a:prstGeom prst="rect">
          <a:avLst/>
        </a:prstGeom>
        <a:noFill/>
        <a:ln w="9525">
          <a:noFill/>
        </a:ln>
      </xdr:spPr>
    </xdr:pic>
  </etc:cellImage>
  <etc:cellImage>
    <xdr:pic>
      <xdr:nvPicPr>
        <xdr:cNvPr id="409" name="ID_8B3B8E7D71434225BB5D8CA2A63AA982"/>
        <xdr:cNvPicPr>
          <a:picLocks noChangeAspect="1"/>
        </xdr:cNvPicPr>
      </xdr:nvPicPr>
      <xdr:blipFill>
        <a:blip r:embed="rId387"/>
        <a:stretch>
          <a:fillRect/>
        </a:stretch>
      </xdr:blipFill>
      <xdr:spPr>
        <a:xfrm>
          <a:off x="3023870" y="4142105"/>
          <a:ext cx="11163300" cy="7639050"/>
        </a:xfrm>
        <a:prstGeom prst="rect">
          <a:avLst/>
        </a:prstGeom>
        <a:noFill/>
        <a:ln w="9525">
          <a:noFill/>
        </a:ln>
      </xdr:spPr>
    </xdr:pic>
  </etc:cellImage>
  <etc:cellImage>
    <xdr:pic>
      <xdr:nvPicPr>
        <xdr:cNvPr id="410" name="ID_82EFED26E5DE4E1FAF4C6079DBC2708D"/>
        <xdr:cNvPicPr>
          <a:picLocks noChangeAspect="1"/>
        </xdr:cNvPicPr>
      </xdr:nvPicPr>
      <xdr:blipFill>
        <a:blip r:embed="rId388"/>
        <a:stretch>
          <a:fillRect/>
        </a:stretch>
      </xdr:blipFill>
      <xdr:spPr>
        <a:xfrm>
          <a:off x="7398385" y="2785745"/>
          <a:ext cx="10810875" cy="3829050"/>
        </a:xfrm>
        <a:prstGeom prst="rect">
          <a:avLst/>
        </a:prstGeom>
        <a:noFill/>
        <a:ln w="9525">
          <a:noFill/>
        </a:ln>
      </xdr:spPr>
    </xdr:pic>
  </etc:cellImage>
  <etc:cellImage>
    <xdr:pic>
      <xdr:nvPicPr>
        <xdr:cNvPr id="411" name="ID_0A69F4FE57694E39A69373DEB755AF7E"/>
        <xdr:cNvPicPr>
          <a:picLocks noChangeAspect="1"/>
        </xdr:cNvPicPr>
      </xdr:nvPicPr>
      <xdr:blipFill>
        <a:blip r:embed="rId389"/>
        <a:stretch>
          <a:fillRect/>
        </a:stretch>
      </xdr:blipFill>
      <xdr:spPr>
        <a:xfrm>
          <a:off x="7207885" y="4186555"/>
          <a:ext cx="11144250" cy="8296275"/>
        </a:xfrm>
        <a:prstGeom prst="rect">
          <a:avLst/>
        </a:prstGeom>
        <a:noFill/>
        <a:ln w="9525">
          <a:noFill/>
        </a:ln>
      </xdr:spPr>
    </xdr:pic>
  </etc:cellImage>
  <etc:cellImage>
    <xdr:pic>
      <xdr:nvPicPr>
        <xdr:cNvPr id="412" name="ID_DD2C0F305A4E4FF99211830DC665244F"/>
        <xdr:cNvPicPr>
          <a:picLocks noChangeAspect="1"/>
        </xdr:cNvPicPr>
      </xdr:nvPicPr>
      <xdr:blipFill>
        <a:blip r:embed="rId340"/>
        <a:stretch>
          <a:fillRect/>
        </a:stretch>
      </xdr:blipFill>
      <xdr:spPr>
        <a:xfrm>
          <a:off x="7880350" y="633095"/>
          <a:ext cx="4410075" cy="4295775"/>
        </a:xfrm>
        <a:prstGeom prst="rect">
          <a:avLst/>
        </a:prstGeom>
        <a:noFill/>
        <a:ln w="9525">
          <a:noFill/>
        </a:ln>
      </xdr:spPr>
    </xdr:pic>
  </etc:cellImage>
  <etc:cellImage>
    <xdr:pic>
      <xdr:nvPicPr>
        <xdr:cNvPr id="413" name="ID_F95EDF90DD52402180DAE322383906D1"/>
        <xdr:cNvPicPr>
          <a:picLocks noChangeAspect="1"/>
        </xdr:cNvPicPr>
      </xdr:nvPicPr>
      <xdr:blipFill>
        <a:blip r:embed="rId325"/>
        <a:stretch>
          <a:fillRect/>
        </a:stretch>
      </xdr:blipFill>
      <xdr:spPr>
        <a:xfrm>
          <a:off x="3416300" y="835025"/>
          <a:ext cx="3895725" cy="4124325"/>
        </a:xfrm>
        <a:prstGeom prst="rect">
          <a:avLst/>
        </a:prstGeom>
        <a:noFill/>
        <a:ln w="9525">
          <a:noFill/>
        </a:ln>
      </xdr:spPr>
    </xdr:pic>
  </etc:cellImage>
  <etc:cellImage>
    <xdr:pic>
      <xdr:nvPicPr>
        <xdr:cNvPr id="414" name="ID_E4A4BA5D40B04D1BA8221EBAD12B07C7"/>
        <xdr:cNvPicPr>
          <a:picLocks noChangeAspect="1"/>
        </xdr:cNvPicPr>
      </xdr:nvPicPr>
      <xdr:blipFill>
        <a:blip r:embed="rId390"/>
        <a:stretch>
          <a:fillRect/>
        </a:stretch>
      </xdr:blipFill>
      <xdr:spPr>
        <a:xfrm>
          <a:off x="3135630" y="4458970"/>
          <a:ext cx="11144250" cy="7648575"/>
        </a:xfrm>
        <a:prstGeom prst="rect">
          <a:avLst/>
        </a:prstGeom>
        <a:noFill/>
        <a:ln w="9525">
          <a:noFill/>
        </a:ln>
      </xdr:spPr>
    </xdr:pic>
  </etc:cellImage>
  <etc:cellImage>
    <xdr:pic>
      <xdr:nvPicPr>
        <xdr:cNvPr id="415" name="ID_2ABBDED5F38F4B7D98B89882496DA2F1"/>
        <xdr:cNvPicPr>
          <a:picLocks noChangeAspect="1"/>
        </xdr:cNvPicPr>
      </xdr:nvPicPr>
      <xdr:blipFill>
        <a:blip r:embed="rId391"/>
        <a:stretch>
          <a:fillRect/>
        </a:stretch>
      </xdr:blipFill>
      <xdr:spPr>
        <a:xfrm>
          <a:off x="3640455" y="2863850"/>
          <a:ext cx="12163425" cy="4286250"/>
        </a:xfrm>
        <a:prstGeom prst="rect">
          <a:avLst/>
        </a:prstGeom>
        <a:noFill/>
        <a:ln w="9525">
          <a:noFill/>
        </a:ln>
      </xdr:spPr>
    </xdr:pic>
  </etc:cellImage>
  <etc:cellImage>
    <xdr:pic>
      <xdr:nvPicPr>
        <xdr:cNvPr id="416" name="ID_C15E5902C69949E1B2BB4DFBD5D71126"/>
        <xdr:cNvPicPr>
          <a:picLocks noChangeAspect="1"/>
        </xdr:cNvPicPr>
      </xdr:nvPicPr>
      <xdr:blipFill>
        <a:blip r:embed="rId392"/>
        <a:stretch>
          <a:fillRect/>
        </a:stretch>
      </xdr:blipFill>
      <xdr:spPr>
        <a:xfrm>
          <a:off x="15426055" y="767715"/>
          <a:ext cx="4914900" cy="3962400"/>
        </a:xfrm>
        <a:prstGeom prst="rect">
          <a:avLst/>
        </a:prstGeom>
        <a:noFill/>
        <a:ln w="9525">
          <a:noFill/>
        </a:ln>
      </xdr:spPr>
    </xdr:pic>
  </etc:cellImage>
  <etc:cellImage>
    <xdr:pic>
      <xdr:nvPicPr>
        <xdr:cNvPr id="417" name="ID_C8B7C622B32D4B1C9140A40D3ED6F968"/>
        <xdr:cNvPicPr>
          <a:picLocks noChangeAspect="1"/>
        </xdr:cNvPicPr>
      </xdr:nvPicPr>
      <xdr:blipFill>
        <a:blip r:embed="rId393"/>
        <a:stretch>
          <a:fillRect/>
        </a:stretch>
      </xdr:blipFill>
      <xdr:spPr>
        <a:xfrm>
          <a:off x="15627350" y="4130675"/>
          <a:ext cx="12553950" cy="8572500"/>
        </a:xfrm>
        <a:prstGeom prst="rect">
          <a:avLst/>
        </a:prstGeom>
        <a:noFill/>
        <a:ln w="9525">
          <a:noFill/>
        </a:ln>
      </xdr:spPr>
    </xdr:pic>
  </etc:cellImage>
  <etc:cellImage>
    <xdr:pic>
      <xdr:nvPicPr>
        <xdr:cNvPr id="418" name="ID_FFCD2B072B7940759EE81CEBA5E3B37C"/>
        <xdr:cNvPicPr>
          <a:picLocks noChangeAspect="1"/>
        </xdr:cNvPicPr>
      </xdr:nvPicPr>
      <xdr:blipFill>
        <a:blip r:embed="rId394"/>
        <a:stretch>
          <a:fillRect/>
        </a:stretch>
      </xdr:blipFill>
      <xdr:spPr>
        <a:xfrm>
          <a:off x="16153765" y="2886075"/>
          <a:ext cx="12192000" cy="4143375"/>
        </a:xfrm>
        <a:prstGeom prst="rect">
          <a:avLst/>
        </a:prstGeom>
        <a:noFill/>
        <a:ln w="9525">
          <a:noFill/>
        </a:ln>
      </xdr:spPr>
    </xdr:pic>
  </etc:cellImage>
  <etc:cellImage>
    <xdr:pic>
      <xdr:nvPicPr>
        <xdr:cNvPr id="419" name="ID_EFAC88B1860949689DE632C9B88E061F" descr="1"/>
        <xdr:cNvPicPr>
          <a:picLocks noChangeAspect="1"/>
        </xdr:cNvPicPr>
      </xdr:nvPicPr>
      <xdr:blipFill>
        <a:blip r:embed="rId395"/>
        <a:srcRect l="33255" t="17807" r="32542" b="7329"/>
        <a:stretch>
          <a:fillRect/>
        </a:stretch>
      </xdr:blipFill>
      <xdr:spPr>
        <a:xfrm>
          <a:off x="740410" y="2245360"/>
          <a:ext cx="2446020" cy="2805430"/>
        </a:xfrm>
        <a:prstGeom prst="rect">
          <a:avLst/>
        </a:prstGeom>
      </xdr:spPr>
    </xdr:pic>
  </etc:cellImage>
  <etc:cellImage>
    <xdr:pic>
      <xdr:nvPicPr>
        <xdr:cNvPr id="420" name="ID_278C291D48D74AEEABB53F97DADB2DD4"/>
        <xdr:cNvPicPr>
          <a:picLocks noChangeAspect="1"/>
        </xdr:cNvPicPr>
      </xdr:nvPicPr>
      <xdr:blipFill>
        <a:blip r:embed="rId396"/>
        <a:stretch>
          <a:fillRect/>
        </a:stretch>
      </xdr:blipFill>
      <xdr:spPr>
        <a:xfrm>
          <a:off x="448945" y="5612765"/>
          <a:ext cx="3676650" cy="4219575"/>
        </a:xfrm>
        <a:prstGeom prst="rect">
          <a:avLst/>
        </a:prstGeom>
        <a:noFill/>
        <a:ln w="9525">
          <a:noFill/>
        </a:ln>
      </xdr:spPr>
    </xdr:pic>
  </etc:cellImage>
  <etc:cellImage>
    <xdr:pic>
      <xdr:nvPicPr>
        <xdr:cNvPr id="421" name="ID_17476ABB353D469C805A7DB7D6F42F20"/>
        <xdr:cNvPicPr>
          <a:picLocks noChangeAspect="1"/>
        </xdr:cNvPicPr>
      </xdr:nvPicPr>
      <xdr:blipFill>
        <a:blip r:embed="rId397"/>
        <a:stretch>
          <a:fillRect/>
        </a:stretch>
      </xdr:blipFill>
      <xdr:spPr>
        <a:xfrm>
          <a:off x="437515" y="2289810"/>
          <a:ext cx="8296275" cy="9648825"/>
        </a:xfrm>
        <a:prstGeom prst="rect">
          <a:avLst/>
        </a:prstGeom>
        <a:noFill/>
        <a:ln w="9525">
          <a:noFill/>
        </a:ln>
      </xdr:spPr>
    </xdr:pic>
  </etc:cellImage>
  <etc:cellImage>
    <xdr:pic>
      <xdr:nvPicPr>
        <xdr:cNvPr id="422" name="ID_7D89D030B534468BB552D3D113F24BEB" descr="J:\中宏炸锅\中宏炸锅\14.jpg14"/>
        <xdr:cNvPicPr>
          <a:picLocks noChangeAspect="1"/>
        </xdr:cNvPicPr>
      </xdr:nvPicPr>
      <xdr:blipFill>
        <a:blip r:embed="rId398"/>
        <a:srcRect/>
        <a:stretch>
          <a:fillRect/>
        </a:stretch>
      </xdr:blipFill>
      <xdr:spPr>
        <a:xfrm>
          <a:off x="269240" y="5623560"/>
          <a:ext cx="2214245" cy="2214245"/>
        </a:xfrm>
        <a:prstGeom prst="rect">
          <a:avLst/>
        </a:prstGeom>
      </xdr:spPr>
    </xdr:pic>
  </etc:cellImage>
  <etc:cellImage>
    <xdr:pic>
      <xdr:nvPicPr>
        <xdr:cNvPr id="209" name="ID_36F006E165224129BACA027D9C1BFAA8"/>
        <xdr:cNvPicPr>
          <a:picLocks noChangeAspect="1"/>
        </xdr:cNvPicPr>
      </xdr:nvPicPr>
      <xdr:blipFill>
        <a:blip r:embed="rId399"/>
        <a:stretch>
          <a:fillRect/>
        </a:stretch>
      </xdr:blipFill>
      <xdr:spPr>
        <a:xfrm>
          <a:off x="772795" y="6030595"/>
          <a:ext cx="2492375" cy="2725420"/>
        </a:xfrm>
        <a:prstGeom prst="rect">
          <a:avLst/>
        </a:prstGeom>
        <a:noFill/>
        <a:ln w="9525">
          <a:noFill/>
        </a:ln>
      </xdr:spPr>
    </xdr:pic>
  </etc:cellImage>
  <etc:cellImage>
    <xdr:pic>
      <xdr:nvPicPr>
        <xdr:cNvPr id="212" name="ID_FB18C7FFA5A842B2BBBCD2A98C47BA5D"/>
        <xdr:cNvPicPr>
          <a:picLocks noChangeAspect="1"/>
        </xdr:cNvPicPr>
      </xdr:nvPicPr>
      <xdr:blipFill>
        <a:blip r:embed="rId399"/>
        <a:stretch>
          <a:fillRect/>
        </a:stretch>
      </xdr:blipFill>
      <xdr:spPr>
        <a:xfrm>
          <a:off x="20631150" y="5619750"/>
          <a:ext cx="1576705" cy="1709420"/>
        </a:xfrm>
        <a:prstGeom prst="rect">
          <a:avLst/>
        </a:prstGeom>
        <a:noFill/>
        <a:ln w="9525">
          <a:noFill/>
        </a:ln>
      </xdr:spPr>
    </xdr:pic>
  </etc:cellImage>
  <etc:cellImage>
    <xdr:pic>
      <xdr:nvPicPr>
        <xdr:cNvPr id="217" name="ID_279315D7EC164217A4A866C45C573469" descr="J:\中宏炸锅\中宏炸锅\20.jpg20"/>
        <xdr:cNvPicPr>
          <a:picLocks noChangeAspect="1"/>
        </xdr:cNvPicPr>
      </xdr:nvPicPr>
      <xdr:blipFill>
        <a:blip r:embed="rId400"/>
        <a:srcRect/>
        <a:stretch>
          <a:fillRect/>
        </a:stretch>
      </xdr:blipFill>
      <xdr:spPr>
        <a:xfrm>
          <a:off x="953135" y="19361785"/>
          <a:ext cx="2214245" cy="2214245"/>
        </a:xfrm>
        <a:prstGeom prst="rect">
          <a:avLst/>
        </a:prstGeom>
      </xdr:spPr>
    </xdr:pic>
  </etc:cellImage>
  <etc:cellImage>
    <xdr:pic>
      <xdr:nvPicPr>
        <xdr:cNvPr id="218" name="ID_38098777F50340029881000E221BEAF1" descr="1b9dedf6dee27ee66ec81a4075978df"/>
        <xdr:cNvPicPr>
          <a:picLocks noChangeAspect="1"/>
        </xdr:cNvPicPr>
      </xdr:nvPicPr>
      <xdr:blipFill>
        <a:blip r:embed="rId401"/>
        <a:stretch>
          <a:fillRect/>
        </a:stretch>
      </xdr:blipFill>
      <xdr:spPr>
        <a:xfrm>
          <a:off x="1289685" y="22745065"/>
          <a:ext cx="2883535" cy="1986915"/>
        </a:xfrm>
        <a:prstGeom prst="rect">
          <a:avLst/>
        </a:prstGeom>
      </xdr:spPr>
    </xdr:pic>
  </etc:cellImage>
  <etc:cellImage>
    <xdr:pic>
      <xdr:nvPicPr>
        <xdr:cNvPr id="219" name="ID_B9A391075D0B4F08A8F681ACCD8C5470"/>
        <xdr:cNvPicPr>
          <a:picLocks noChangeAspect="1"/>
        </xdr:cNvPicPr>
      </xdr:nvPicPr>
      <xdr:blipFill>
        <a:blip r:embed="rId402"/>
        <a:stretch>
          <a:fillRect/>
        </a:stretch>
      </xdr:blipFill>
      <xdr:spPr>
        <a:xfrm>
          <a:off x="494030" y="26313765"/>
          <a:ext cx="2389505" cy="2184400"/>
        </a:xfrm>
        <a:prstGeom prst="rect">
          <a:avLst/>
        </a:prstGeom>
        <a:noFill/>
        <a:ln w="9525">
          <a:noFill/>
        </a:ln>
      </xdr:spPr>
    </xdr:pic>
  </etc:cellImage>
  <etc:cellImage>
    <xdr:pic>
      <xdr:nvPicPr>
        <xdr:cNvPr id="229" name="ID_0638C53282A7483FB2432365468CAD6C"/>
        <xdr:cNvPicPr>
          <a:picLocks noChangeAspect="1"/>
        </xdr:cNvPicPr>
      </xdr:nvPicPr>
      <xdr:blipFill>
        <a:blip r:embed="rId403"/>
        <a:stretch>
          <a:fillRect/>
        </a:stretch>
      </xdr:blipFill>
      <xdr:spPr>
        <a:xfrm>
          <a:off x="1300480" y="29669740"/>
          <a:ext cx="5715000" cy="4000500"/>
        </a:xfrm>
        <a:prstGeom prst="rect">
          <a:avLst/>
        </a:prstGeom>
        <a:noFill/>
        <a:ln w="9525">
          <a:noFill/>
        </a:ln>
      </xdr:spPr>
    </xdr:pic>
  </etc:cellImage>
  <etc:cellImage>
    <xdr:pic>
      <xdr:nvPicPr>
        <xdr:cNvPr id="231" name="ID_C879EEAE0317429BB37CDD4A8AF2923D"/>
        <xdr:cNvPicPr>
          <a:picLocks noChangeAspect="1"/>
        </xdr:cNvPicPr>
      </xdr:nvPicPr>
      <xdr:blipFill>
        <a:blip r:embed="rId397"/>
        <a:stretch>
          <a:fillRect/>
        </a:stretch>
      </xdr:blipFill>
      <xdr:spPr>
        <a:xfrm>
          <a:off x="4676775" y="857250"/>
          <a:ext cx="8296275" cy="9648825"/>
        </a:xfrm>
        <a:prstGeom prst="rect">
          <a:avLst/>
        </a:prstGeom>
        <a:noFill/>
        <a:ln w="9525">
          <a:noFill/>
        </a:ln>
      </xdr:spPr>
    </xdr:pic>
  </etc:cellImage>
  <etc:cellImage>
    <xdr:pic>
      <xdr:nvPicPr>
        <xdr:cNvPr id="234" name="ID_DC9D283A32094ACC9679A070D9107FCA"/>
        <xdr:cNvPicPr>
          <a:picLocks noChangeAspect="1"/>
        </xdr:cNvPicPr>
      </xdr:nvPicPr>
      <xdr:blipFill>
        <a:blip r:embed="rId404"/>
        <a:stretch>
          <a:fillRect/>
        </a:stretch>
      </xdr:blipFill>
      <xdr:spPr>
        <a:xfrm>
          <a:off x="12238355" y="914400"/>
          <a:ext cx="8429625" cy="8429625"/>
        </a:xfrm>
        <a:prstGeom prst="rect">
          <a:avLst/>
        </a:prstGeom>
        <a:noFill/>
        <a:ln w="9525">
          <a:noFill/>
        </a:ln>
      </xdr:spPr>
    </xdr:pic>
  </etc:cellImage>
</etc:cellImages>
</file>

<file path=xl/comments1.xml><?xml version="1.0" encoding="utf-8"?>
<comments xmlns="http://schemas.openxmlformats.org/spreadsheetml/2006/main">
  <authors>
    <author>Administrator</author>
  </authors>
  <commentList>
    <comment ref="J72" authorId="0">
      <text>
        <r>
          <rPr>
            <b/>
            <sz val="9"/>
            <rFont val="宋体"/>
            <charset val="134"/>
          </rPr>
          <t>Administrator:</t>
        </r>
        <r>
          <rPr>
            <sz val="9"/>
            <rFont val="宋体"/>
            <charset val="134"/>
          </rPr>
          <t xml:space="preserve">
头部top20为榜单产品；代表此竞争度</t>
        </r>
      </text>
    </comment>
    <comment ref="A88" authorId="0">
      <text>
        <r>
          <rPr>
            <b/>
            <sz val="9"/>
            <rFont val="宋体"/>
            <charset val="134"/>
          </rPr>
          <t>Administrator:</t>
        </r>
        <r>
          <rPr>
            <sz val="9"/>
            <rFont val="宋体"/>
            <charset val="134"/>
          </rPr>
          <t xml:space="preserve">
上架90天内的算新品爆发机会点分析
</t>
        </r>
      </text>
    </comment>
  </commentList>
</comments>
</file>

<file path=xl/comments2.xml><?xml version="1.0" encoding="utf-8"?>
<comments xmlns="http://schemas.openxmlformats.org/spreadsheetml/2006/main">
  <authors>
    <author>Administrator</author>
  </authors>
  <commentList>
    <comment ref="I151" authorId="0">
      <text>
        <r>
          <rPr>
            <b/>
            <sz val="9"/>
            <rFont val="宋体"/>
            <charset val="134"/>
          </rPr>
          <t>Administrator:</t>
        </r>
        <r>
          <rPr>
            <sz val="9"/>
            <rFont val="宋体"/>
            <charset val="134"/>
          </rPr>
          <t xml:space="preserve">
这里指单一链接</t>
        </r>
      </text>
    </comment>
  </commentList>
</comments>
</file>

<file path=xl/comments3.xml><?xml version="1.0" encoding="utf-8"?>
<comments xmlns="http://schemas.openxmlformats.org/spreadsheetml/2006/main">
  <authors>
    <author>Administrator</author>
  </authors>
  <commentList>
    <comment ref="B75" authorId="0">
      <text>
        <r>
          <rPr>
            <b/>
            <sz val="9"/>
            <rFont val="宋体"/>
            <charset val="134"/>
          </rPr>
          <t>Administrator:</t>
        </r>
        <r>
          <rPr>
            <sz val="9"/>
            <rFont val="宋体"/>
            <charset val="134"/>
          </rPr>
          <t xml:space="preserve">
取播放量最多的以为KOL红人开箱链接；不限上传时间。</t>
        </r>
      </text>
    </comment>
  </commentList>
</comments>
</file>

<file path=xl/comments4.xml><?xml version="1.0" encoding="utf-8"?>
<comments xmlns="http://schemas.openxmlformats.org/spreadsheetml/2006/main">
  <authors>
    <author>Administrator</author>
  </authors>
  <commentList>
    <comment ref="C2" authorId="0">
      <text>
        <r>
          <rPr>
            <b/>
            <sz val="9"/>
            <rFont val="宋体"/>
            <charset val="134"/>
          </rPr>
          <t>Administrator:</t>
        </r>
        <r>
          <rPr>
            <sz val="9"/>
            <rFont val="宋体"/>
            <charset val="134"/>
          </rPr>
          <t xml:space="preserve">
有实单了，大货价格与供应链部门同事一起看能不能谈到98元左右。</t>
        </r>
      </text>
    </comment>
    <comment ref="C13" authorId="0">
      <text>
        <r>
          <rPr>
            <b/>
            <sz val="9"/>
            <rFont val="宋体"/>
            <charset val="134"/>
          </rPr>
          <t>Administrator:</t>
        </r>
        <r>
          <rPr>
            <sz val="9"/>
            <rFont val="宋体"/>
            <charset val="134"/>
          </rPr>
          <t xml:space="preserve">
有实单了，大货价格与供应链部门同事一起看能不能谈到98元左右。</t>
        </r>
      </text>
    </comment>
    <comment ref="C35" authorId="0">
      <text>
        <r>
          <rPr>
            <b/>
            <sz val="9"/>
            <rFont val="宋体"/>
            <charset val="134"/>
          </rPr>
          <t>Administrator:</t>
        </r>
        <r>
          <rPr>
            <sz val="9"/>
            <rFont val="宋体"/>
            <charset val="134"/>
          </rPr>
          <t xml:space="preserve">
有实单了，大货价格与供应链部门同事一起看能不能谈到98元左右。</t>
        </r>
      </text>
    </comment>
  </commentList>
</comments>
</file>

<file path=xl/sharedStrings.xml><?xml version="1.0" encoding="utf-8"?>
<sst xmlns="http://schemas.openxmlformats.org/spreadsheetml/2006/main" count="31822" uniqueCount="6344">
  <si>
    <t>空气炸锅产品调研</t>
  </si>
  <si>
    <t>英文关键词</t>
  </si>
  <si>
    <t>Air Fryer</t>
  </si>
  <si>
    <t>调研时间</t>
  </si>
  <si>
    <t>编号</t>
  </si>
  <si>
    <t>AF001</t>
  </si>
  <si>
    <t>阅读须知</t>
  </si>
  <si>
    <t xml:space="preserve">
1.本表格的“数据调研”板块的数据来源于XXXX关键词搜索TOP 100 listing；
2.务必提供准确的数据，如果数据中包含不相干的产品数据，请先将杂质清除，表格框格不够时，请自行添加；
3.本表格每页都有“备注”板块，用于讲解或提示本页面的数据及注意事项，使用前需提前了解；
4.表格中的红色字样为注释，可以覆盖或者删除；
5.XXXX字样请自行更改，需要填写完整，绿色底纹和灰色底纹的字样、公式字样请勿更改；
6.灰色底纹的字样为提示或者参考字样，使用时需要删除;
7.表格中除标题外，其他数据和图片需自行整理导入。</t>
  </si>
  <si>
    <t>市场背景调查</t>
  </si>
  <si>
    <t>1.宏观分析</t>
  </si>
  <si>
    <r>
      <rPr>
        <b/>
        <sz val="10"/>
        <color rgb="FFFF0000"/>
        <rFont val="微软雅黑"/>
        <charset val="134"/>
      </rPr>
      <t>【总结】</t>
    </r>
    <r>
      <rPr>
        <sz val="8"/>
        <color rgb="FFFF0000"/>
        <rFont val="微软雅黑"/>
        <charset val="134"/>
      </rPr>
      <t xml:space="preserve">
</t>
    </r>
    <r>
      <rPr>
        <sz val="8"/>
        <rFont val="微软雅黑"/>
        <charset val="134"/>
      </rPr>
      <t>1）空气炸锅从20年12月份开始，热度较20年初及19年之前，扩大2倍以上，20年12月份之后，稳定市容在20W以上至今，其中20年12月与22年11月出发两次市容峰值，市容峰值分别为512082pcs、501381pcs；
2）自20年1月份之后，整体体量持续领先于往年18/19年速度，20年增长加速，22年/23年增长回落；
3）22年较21年合计稳定增长-5.11%，其中22年上半年较21年持续负增长，这与疫情局势有关，俄乌战争影响、美国持续7次加息整层等；22年下半年较21年持续正增长，下半年月平均复合增长率42.90%；
4）平均卖家数在18年达到历史峰值，达65家，21年22年稍有回落，其中22年萎缩量较5年前18年达40~45%左右；
5）平均品牌数在18年迎来空前高涨，峰值品牌在18年11月出现，达65个，，近一年品牌数量回落至40左右；
【趋势表明】
体量在逐年走高情况下，老牌卖家经过市场测试验证失败后逐步退场，top头部品牌坑位、流量、订单依旧坚挺，且保持一定扩大态势。新品进驻生存空间越来越小，需有一定产品成本优势、性能优势、供应链优势、营销资源优势等才可能有打榜成功的机会。</t>
    </r>
  </si>
  <si>
    <t>21年较20年</t>
  </si>
  <si>
    <t>20年较19年</t>
  </si>
  <si>
    <t>2.行业分析&amp;市场大盘分析</t>
  </si>
  <si>
    <r>
      <rPr>
        <sz val="8"/>
        <color rgb="FFFF0000"/>
        <rFont val="微软雅黑"/>
        <charset val="134"/>
      </rPr>
      <t xml:space="preserve">（取样asin1204个）
</t>
    </r>
    <r>
      <rPr>
        <b/>
        <sz val="10"/>
        <color rgb="FFFF0000"/>
        <rFont val="微软雅黑"/>
        <charset val="134"/>
      </rPr>
      <t>【总结】</t>
    </r>
    <r>
      <rPr>
        <sz val="8"/>
        <color rgb="FFFF0000"/>
        <rFont val="微软雅黑"/>
        <charset val="134"/>
      </rPr>
      <t xml:space="preserve">
</t>
    </r>
    <r>
      <rPr>
        <b/>
        <sz val="8"/>
        <color rgb="FFFF0000"/>
        <rFont val="微软雅黑"/>
        <charset val="134"/>
      </rPr>
      <t>1）市场规模</t>
    </r>
    <r>
      <rPr>
        <sz val="8"/>
        <color rgb="FFFF0000"/>
        <rFont val="微软雅黑"/>
        <charset val="134"/>
      </rPr>
      <t xml:space="preserve">
22年较21年</t>
    </r>
    <r>
      <rPr>
        <sz val="8"/>
        <rFont val="微软雅黑"/>
        <charset val="134"/>
      </rPr>
      <t>行业市场年度大盘增长率首次出现负增长，维持率在-4.47%，其中Amazon自营占比70~80%之间浮动，三方卖家占比30~35%左右；</t>
    </r>
    <r>
      <rPr>
        <sz val="8"/>
        <color rgb="FFFF0000"/>
        <rFont val="微软雅黑"/>
        <charset val="134"/>
      </rPr>
      <t xml:space="preserve">
</t>
    </r>
    <r>
      <rPr>
        <b/>
        <sz val="8"/>
        <color rgb="FFFF0000"/>
        <rFont val="微软雅黑"/>
        <charset val="134"/>
      </rPr>
      <t>2）产业链</t>
    </r>
    <r>
      <rPr>
        <sz val="8"/>
        <color rgb="FFFF0000"/>
        <rFont val="微软雅黑"/>
        <charset val="134"/>
      </rPr>
      <t xml:space="preserve">
</t>
    </r>
    <r>
      <rPr>
        <sz val="8"/>
        <rFont val="微软雅黑"/>
        <charset val="134"/>
      </rPr>
      <t>上游：上游塑胶ABS/PP注塑料成本浮动不大，不锈钢价格随国际时事形势受波动影响较大，电子料及主板随市场行情供需关系影响而波动。高清显示屏及触电容控制根据方案稳定性成本会存在细微差异。产业主要聚焦在中山、慈溪、宁波等一带；</t>
    </r>
    <r>
      <rPr>
        <sz val="8"/>
        <color rgb="FFFF0000"/>
        <rFont val="微软雅黑"/>
        <charset val="134"/>
      </rPr>
      <t xml:space="preserve">
</t>
    </r>
    <r>
      <rPr>
        <b/>
        <sz val="8"/>
        <color rgb="FFFF0000"/>
        <rFont val="微软雅黑"/>
        <charset val="134"/>
      </rPr>
      <t>3）自营与SC/VC市场占比</t>
    </r>
    <r>
      <rPr>
        <sz val="8"/>
        <color rgb="FFFF0000"/>
        <rFont val="微软雅黑"/>
        <charset val="134"/>
      </rPr>
      <t xml:space="preserve">
</t>
    </r>
    <r>
      <rPr>
        <sz val="8"/>
        <rFont val="微软雅黑"/>
        <charset val="134"/>
      </rPr>
      <t xml:space="preserve">数据表明，自22年1~6月份，自营市场占比与三方销售额占比达8:2的市场格局分布，其他时间维持在7:3的时长格局，且自22年下半年开始，自营市场份额占比逐步走低，三方销售额市场占比有所回暖；
</t>
    </r>
    <r>
      <rPr>
        <b/>
        <sz val="8"/>
        <color rgb="FFFF0000"/>
        <rFont val="微软雅黑"/>
        <charset val="134"/>
      </rPr>
      <t>4）自营与SC/VC月度市容变化分析</t>
    </r>
    <r>
      <rPr>
        <sz val="8"/>
        <color rgb="FFFF0000"/>
        <rFont val="微软雅黑"/>
        <charset val="134"/>
      </rPr>
      <t xml:space="preserve">
</t>
    </r>
    <r>
      <rPr>
        <sz val="8"/>
        <rFont val="微软雅黑"/>
        <charset val="134"/>
      </rPr>
      <t>21年全年Amazon自营销售额占比是三方销售额的2.5倍以上，22年开始，三方销售额自同比21年上半年出现萎缩即出现负增长，负增长比例平均达25%以上；Amazon自营销售额同比21年1~9月份出现正增长，22年末Q4季度出现负增长，负增长比例达30%以上。综合来看，三方销售额22年较21年有所提升，自营销售额22年较21年有所下滑（这给新品卖家一定入驻的机会），三方销售额与自营销售额在出现峰值的时间分别为23年1月与21年12月，峰值月GMV分别为$15233240.23、$47559315.53；</t>
    </r>
    <r>
      <rPr>
        <sz val="8"/>
        <color rgb="FFFF0000"/>
        <rFont val="微软雅黑"/>
        <charset val="134"/>
      </rPr>
      <t xml:space="preserve">
</t>
    </r>
    <r>
      <rPr>
        <b/>
        <sz val="8"/>
        <color rgb="FFFF0000"/>
        <rFont val="微软雅黑"/>
        <charset val="134"/>
      </rPr>
      <t>5）行业集中度分析：</t>
    </r>
    <r>
      <rPr>
        <sz val="8"/>
        <color rgb="FFFF0000"/>
        <rFont val="微软雅黑"/>
        <charset val="134"/>
      </rPr>
      <t xml:space="preserve">
</t>
    </r>
    <r>
      <rPr>
        <sz val="8"/>
        <rFont val="微软雅黑"/>
        <charset val="134"/>
      </rPr>
      <t>品牌集中度与卖家集中度均较高，top10品牌集中度达83.68%，自营卖家集中度达80.82%；
其中ninja市场份额占比达22.4%，asin数量达达33个，销售额达$190,973,586.74；
COSORI市场份额占比达21.99%，asin数量达54个，销售额达$ 187,452,373.24；
Instant Pot市场份额占比达17.71%，asin数量达69个（布局最多sku数量的品牌），销售额达$ 150,978,744.34；</t>
    </r>
    <r>
      <rPr>
        <sz val="8"/>
        <color rgb="FFFF0000"/>
        <rFont val="微软雅黑"/>
        <charset val="134"/>
      </rPr>
      <t xml:space="preserve">
</t>
    </r>
    <r>
      <rPr>
        <b/>
        <sz val="8"/>
        <color rgb="FFFF0000"/>
        <rFont val="微软雅黑"/>
        <charset val="134"/>
      </rPr>
      <t xml:space="preserve">6）卖家区域分布：
</t>
    </r>
    <r>
      <rPr>
        <sz val="8"/>
        <rFont val="微软雅黑"/>
        <charset val="134"/>
      </rPr>
      <t xml:space="preserve">以中国卖家居多，asin数量470个，卖家数量330个，销售额$47,851,494.87，市场份额占比5.57%；
美国卖家其次，asin数量390个，卖家数量248个，销售额$192,595,967.96，市场份额占比22.43%；
剩下Amazon自营占比及产品未采集到归属地属性的综合市场份额占比达71.33%，销售额$612,431,692.39，asin数量有653个.
</t>
    </r>
    <r>
      <rPr>
        <b/>
        <sz val="8"/>
        <color rgb="FFFF0000"/>
        <rFont val="微软雅黑"/>
        <charset val="134"/>
      </rPr>
      <t>7）竞争力分析：</t>
    </r>
    <r>
      <rPr>
        <sz val="8"/>
        <rFont val="微软雅黑"/>
        <charset val="134"/>
      </rPr>
      <t xml:space="preserve">
top20产品近两年市场份额占比与非top20之外市场份额占比维持在6:4与7:3的市场格局配置，行业竞争有一定的头部垄断，整体来说，头部top20占比趋于稳定，每年旺季对于腰部及尾部梯队市场份额有一定明显拉升；
</t>
    </r>
    <r>
      <rPr>
        <b/>
        <sz val="8"/>
        <color rgb="FFFF0000"/>
        <rFont val="微软雅黑"/>
        <charset val="134"/>
      </rPr>
      <t>8）卖家物流分布：</t>
    </r>
    <r>
      <rPr>
        <sz val="8"/>
        <rFont val="微软雅黑"/>
        <charset val="134"/>
      </rPr>
      <t xml:space="preserve">
Amazon自营近一年维持在68~89%之间；
FBA维持在7-26%之间；
FBM维持在4~14%之间
</t>
    </r>
    <r>
      <rPr>
        <b/>
        <sz val="8"/>
        <color rgb="FFFF0000"/>
        <rFont val="微软雅黑"/>
        <charset val="134"/>
      </rPr>
      <t>9）新品爆发机会点</t>
    </r>
    <r>
      <rPr>
        <sz val="8"/>
        <rFont val="微软雅黑"/>
        <charset val="134"/>
      </rPr>
      <t xml:space="preserve">
21年10月份与7月份为上新高峰期，且新品市场份额占比在21年10月份达到5%，产品在去年22年9/10/11/12月份上新，存在一定新品打榜机会，这四个月新品市场占有率均有2%；23年3月新品市占比达到仅一年的巅峰，预计23年下半年新品冲击top100榜单的态势愈演愈烈。</t>
    </r>
  </si>
  <si>
    <t>21体量上半年</t>
  </si>
  <si>
    <t>22体量上半年</t>
  </si>
  <si>
    <t>321 999</t>
  </si>
  <si>
    <t>21GMV</t>
  </si>
  <si>
    <t>22GMV</t>
  </si>
  <si>
    <t>32872 764.65</t>
  </si>
  <si>
    <t>2.卖家画像</t>
  </si>
  <si>
    <r>
      <rPr>
        <b/>
        <sz val="11"/>
        <color rgb="FFFF0000"/>
        <rFont val="微软雅黑"/>
        <charset val="134"/>
      </rPr>
      <t xml:space="preserve">【总结】
</t>
    </r>
    <r>
      <rPr>
        <sz val="11"/>
        <color theme="1"/>
        <rFont val="微软雅黑"/>
        <charset val="134"/>
      </rPr>
      <t xml:space="preserve">
</t>
    </r>
    <r>
      <rPr>
        <sz val="8"/>
        <color theme="1"/>
        <rFont val="微软雅黑"/>
        <charset val="134"/>
      </rPr>
      <t>1）空气炸锅用户画像男性女性比例接近1:1持平，其中男性平均占比47%女性占比53%；
2）购物偏向线上视频/社交种草购物或引流购物；
3）年龄带宽分布，普遍集中在25~34岁之间，占比为25%，其次就是第二年龄象限，在35~44岁之间，占比为22%，第三年龄象限为45~54岁，占比为17%；
4）用户购买偏好前五大属性分别为：</t>
    </r>
    <r>
      <rPr>
        <b/>
        <sz val="8"/>
        <color rgb="FFFF0000"/>
        <rFont val="微软雅黑"/>
        <charset val="134"/>
      </rPr>
      <t>容量＞功能＞使用方式＞材质＞产品兼容性食物等</t>
    </r>
    <r>
      <rPr>
        <sz val="8"/>
        <color theme="1"/>
        <rFont val="微软雅黑"/>
        <charset val="134"/>
      </rPr>
      <t xml:space="preserve">
</t>
    </r>
    <r>
      <rPr>
        <b/>
        <sz val="8"/>
        <color rgb="FFFF0000"/>
        <rFont val="微软雅黑"/>
        <charset val="134"/>
      </rPr>
      <t>【备注：用户画像数据非Amazon ABA后台数据，有一定数据失真度，仅供参考】</t>
    </r>
  </si>
  <si>
    <t>产品生命周期分析</t>
  </si>
  <si>
    <t>1.产品季节性分析</t>
  </si>
  <si>
    <t>3.产品流行区域</t>
  </si>
  <si>
    <t xml:space="preserve">备注：建议搜索两个以上的关键词;
产品季节性分析、生命周期分析分别对应着谷歌近一年和近五年的趋势；
</t>
  </si>
  <si>
    <t>2.产品生命周期分析</t>
  </si>
  <si>
    <t>4.总结</t>
  </si>
  <si>
    <r>
      <rPr>
        <b/>
        <sz val="11"/>
        <color rgb="FFFF0000"/>
        <rFont val="微软雅黑"/>
        <charset val="134"/>
      </rPr>
      <t>【分析原则】</t>
    </r>
    <r>
      <rPr>
        <sz val="11"/>
        <color theme="1"/>
        <rFont val="微软雅黑"/>
        <charset val="134"/>
      </rPr>
      <t xml:space="preserve">
</t>
    </r>
    <r>
      <rPr>
        <b/>
        <sz val="11"/>
        <color rgb="FFFF0000"/>
        <rFont val="微软雅黑"/>
        <charset val="134"/>
      </rPr>
      <t>1、产品趋势及对比：</t>
    </r>
    <r>
      <rPr>
        <sz val="11"/>
        <color theme="1"/>
        <rFont val="微软雅黑"/>
        <charset val="134"/>
      </rPr>
      <t xml:space="preserve">近一年谷歌趋势显示，主关键流量大词air fryer热度需求有无淡旺季，受旺季节日属性刺激消费影响，年尾11月末与12月末出现市场需求峰值，其他时间段全年需求热度平稳；
</t>
    </r>
    <r>
      <rPr>
        <b/>
        <sz val="11"/>
        <color rgb="FFFF0000"/>
        <rFont val="微软雅黑"/>
        <charset val="134"/>
      </rPr>
      <t>2、产品季节分析：</t>
    </r>
    <r>
      <rPr>
        <sz val="11"/>
        <color theme="1"/>
        <rFont val="微软雅黑"/>
        <charset val="134"/>
      </rPr>
      <t xml:space="preserve">近五年谷歌趋势显示，主关键流量大词air fryer在20年12月27日达到近五年的波峰（与疫情期间消费方式有关，20年线下购买力弱于线上），无季节性，节日属性会拉大消费潜力与消费杠杆。旺季需要一定库存水位，来满足节日性需求，产品属持续增量型产品线。产品较稳定，技术日趋成熟，生命周期较久，一年四季均可在售，近两年市场需求热度峰值回落，与疫情消失消费形式更多元化 ，线下体验式购买逐步复苏，冲击线上购买力。
</t>
    </r>
    <r>
      <rPr>
        <b/>
        <sz val="11"/>
        <color rgb="FFFF0000"/>
        <rFont val="微软雅黑"/>
        <charset val="134"/>
      </rPr>
      <t>3、产品流行区域：</t>
    </r>
    <r>
      <rPr>
        <sz val="11"/>
        <color theme="1"/>
        <rFont val="微软雅黑"/>
        <charset val="134"/>
      </rPr>
      <t>主关键词流行购买区域遍布美东，其中air fryer oven在南卡罗来纳州，佛罗里达、纽约州、西弗吉尼亚洲、俄亥俄州等区域出现较强购买力。</t>
    </r>
  </si>
  <si>
    <t>关键词</t>
  </si>
  <si>
    <t>关键词翻译</t>
  </si>
  <si>
    <t>AC推荐词</t>
  </si>
  <si>
    <t>相关度</t>
  </si>
  <si>
    <t>ABA排名</t>
  </si>
  <si>
    <t>月搜索量</t>
  </si>
  <si>
    <t>月购买量</t>
  </si>
  <si>
    <t>购买率</t>
  </si>
  <si>
    <t>SPR</t>
  </si>
  <si>
    <t>标题密度</t>
  </si>
  <si>
    <t>商品数</t>
  </si>
  <si>
    <t>供需比</t>
  </si>
  <si>
    <t>广告竞品数</t>
  </si>
  <si>
    <t>点击集中度</t>
  </si>
  <si>
    <r>
      <rPr>
        <sz val="10"/>
        <color rgb="FFFFFFFF"/>
        <rFont val="方正书宋_GBK"/>
        <charset val="134"/>
      </rPr>
      <t>前三</t>
    </r>
    <r>
      <rPr>
        <sz val="10"/>
        <color rgb="FFFFFFFF"/>
        <rFont val="Calibri"/>
        <charset val="134"/>
      </rPr>
      <t>ASIN</t>
    </r>
    <r>
      <rPr>
        <sz val="10"/>
        <color rgb="FFFFFFFF"/>
        <rFont val="方正书宋_GBK"/>
        <charset val="134"/>
      </rPr>
      <t>转化总占比</t>
    </r>
  </si>
  <si>
    <t>PPC竞价</t>
  </si>
  <si>
    <t>建议竞价范围</t>
  </si>
  <si>
    <t>均价</t>
  </si>
  <si>
    <t>评分数</t>
  </si>
  <si>
    <t>评分值</t>
  </si>
  <si>
    <t>所属类目</t>
  </si>
  <si>
    <r>
      <rPr>
        <sz val="10"/>
        <color rgb="FFFFFFFF"/>
        <rFont val="Calibri"/>
        <charset val="134"/>
      </rPr>
      <t xml:space="preserve">#1 </t>
    </r>
    <r>
      <rPr>
        <sz val="10"/>
        <color rgb="FFFFFFFF"/>
        <rFont val="华文宋体"/>
        <charset val="134"/>
      </rPr>
      <t>前三</t>
    </r>
    <r>
      <rPr>
        <sz val="10"/>
        <color rgb="FFFFFFFF"/>
        <rFont val="Calibri"/>
        <charset val="134"/>
      </rPr>
      <t>ASIN</t>
    </r>
  </si>
  <si>
    <r>
      <rPr>
        <sz val="10"/>
        <color rgb="FFFFFFFF"/>
        <rFont val="Calibri"/>
        <charset val="134"/>
      </rPr>
      <t xml:space="preserve">#1 </t>
    </r>
    <r>
      <rPr>
        <sz val="10"/>
        <color rgb="FFFFFFFF"/>
        <rFont val="宋体"/>
        <charset val="134"/>
      </rPr>
      <t>点击共享</t>
    </r>
  </si>
  <si>
    <r>
      <rPr>
        <sz val="10"/>
        <color rgb="FFFFFFFF"/>
        <rFont val="Calibri"/>
        <charset val="134"/>
      </rPr>
      <t>#1</t>
    </r>
    <r>
      <rPr>
        <sz val="10"/>
        <color rgb="FFFFFFFF"/>
        <rFont val="宋体"/>
        <charset val="134"/>
      </rPr>
      <t>转化共享</t>
    </r>
  </si>
  <si>
    <r>
      <rPr>
        <sz val="10"/>
        <color rgb="FFFFFFFF"/>
        <rFont val="Calibri"/>
        <charset val="134"/>
      </rPr>
      <t xml:space="preserve">#2 </t>
    </r>
    <r>
      <rPr>
        <sz val="10"/>
        <color rgb="FFFFFFFF"/>
        <rFont val="华文宋体"/>
        <charset val="134"/>
      </rPr>
      <t>前三</t>
    </r>
    <r>
      <rPr>
        <sz val="10"/>
        <color rgb="FFFFFFFF"/>
        <rFont val="Calibri"/>
        <charset val="134"/>
      </rPr>
      <t>ASIN</t>
    </r>
  </si>
  <si>
    <r>
      <rPr>
        <sz val="10"/>
        <color rgb="FFFFFFFF"/>
        <rFont val="Calibri"/>
        <charset val="134"/>
      </rPr>
      <t xml:space="preserve">#2 </t>
    </r>
    <r>
      <rPr>
        <sz val="10"/>
        <color rgb="FFFFFFFF"/>
        <rFont val="宋体"/>
        <charset val="134"/>
      </rPr>
      <t>点击共享</t>
    </r>
  </si>
  <si>
    <r>
      <rPr>
        <sz val="10"/>
        <color rgb="FFFFFFFF"/>
        <rFont val="Calibri"/>
        <charset val="134"/>
      </rPr>
      <t xml:space="preserve">#2 </t>
    </r>
    <r>
      <rPr>
        <sz val="10"/>
        <color rgb="FFFFFFFF"/>
        <rFont val="宋体"/>
        <charset val="134"/>
      </rPr>
      <t>转化共享</t>
    </r>
  </si>
  <si>
    <r>
      <rPr>
        <sz val="10"/>
        <color rgb="FFFFFFFF"/>
        <rFont val="Calibri"/>
        <charset val="134"/>
      </rPr>
      <t xml:space="preserve">#3 </t>
    </r>
    <r>
      <rPr>
        <sz val="10"/>
        <color rgb="FFFFFFFF"/>
        <rFont val="华文宋体"/>
        <charset val="134"/>
      </rPr>
      <t>前三</t>
    </r>
    <r>
      <rPr>
        <sz val="10"/>
        <color rgb="FFFFFFFF"/>
        <rFont val="Calibri"/>
        <charset val="134"/>
      </rPr>
      <t>ASIN</t>
    </r>
  </si>
  <si>
    <r>
      <rPr>
        <sz val="10"/>
        <color rgb="FFFFFFFF"/>
        <rFont val="Calibri"/>
        <charset val="134"/>
      </rPr>
      <t xml:space="preserve">#3 </t>
    </r>
    <r>
      <rPr>
        <sz val="10"/>
        <color rgb="FFFFFFFF"/>
        <rFont val="宋体"/>
        <charset val="134"/>
      </rPr>
      <t>点击共享</t>
    </r>
  </si>
  <si>
    <r>
      <rPr>
        <sz val="10"/>
        <color rgb="FFFFFFFF"/>
        <rFont val="Calibri"/>
        <charset val="134"/>
      </rPr>
      <t xml:space="preserve">#3 </t>
    </r>
    <r>
      <rPr>
        <sz val="10"/>
        <color rgb="FFFFFFFF"/>
        <rFont val="宋体"/>
        <charset val="134"/>
      </rPr>
      <t>转化共享</t>
    </r>
  </si>
  <si>
    <t>前十ASIN</t>
  </si>
  <si>
    <t>每日竞争程度</t>
  </si>
  <si>
    <t>站内广告竞争程度分析</t>
  </si>
  <si>
    <t>air fryer</t>
  </si>
  <si>
    <t>空气炸锅</t>
  </si>
  <si>
    <t/>
  </si>
  <si>
    <t>$1.98</t>
  </si>
  <si>
    <t>$1.35-$2.46</t>
  </si>
  <si>
    <t>$97.89</t>
  </si>
  <si>
    <t>Home &amp; Kitchen</t>
  </si>
  <si>
    <t>B07FDJMC9Q</t>
  </si>
  <si>
    <t>B08YS3WCVY</t>
  </si>
  <si>
    <t>B085W3GN5J</t>
  </si>
  <si>
    <t>B09VX679PC,B07VHFMZHJ,B075X3287P,B096N28SZP,B08GQF21T6,B07FDJMC9Q,B09BJHB2BD,B089NKT312,B07VH2CXPJ,B0936FGLQS</t>
  </si>
  <si>
    <t>ninja air fryer</t>
  </si>
  <si>
    <t>忍者空气炸锅</t>
  </si>
  <si>
    <t>Y</t>
  </si>
  <si>
    <t>$0.82</t>
  </si>
  <si>
    <t>$0.61-$1.49</t>
  </si>
  <si>
    <t>$119.99</t>
  </si>
  <si>
    <t>B0B5B54DNF</t>
  </si>
  <si>
    <t>B07S76WBGF</t>
  </si>
  <si>
    <t>B08GQF21T6,B0B3QT6H7H,B08PP57BG7,B07FDJMC9Q,B0B15Q3HCQ,B07VQM2827,B0B7CBQM87,B07SCGY2H6,B0853CR7LG,B07S76WBGF</t>
  </si>
  <si>
    <t>TOP1</t>
  </si>
  <si>
    <t>20+</t>
  </si>
  <si>
    <t>airfryer</t>
  </si>
  <si>
    <t>空气炸药</t>
  </si>
  <si>
    <t>$0.51</t>
  </si>
  <si>
    <t>$0.28-$1.50</t>
  </si>
  <si>
    <t>B0936FGLQS,B08YS2ZZ97,B07FDJMC9Q,B089TQWJKK,B07NBQX8HS,B07VHFMZHJ,B0BBFTPTKH,B08739L374,B0B1GFFB9B,B0777RJG6D</t>
  </si>
  <si>
    <t>cosori air fryer</t>
  </si>
  <si>
    <t>科索里空气炸锅</t>
  </si>
  <si>
    <t>$1.02</t>
  </si>
  <si>
    <t>$0.74-$2.76</t>
  </si>
  <si>
    <t>Home &amp; Kitchen&amp;Patio, Lawn &amp; Garden</t>
  </si>
  <si>
    <t>B0BD4BYR11</t>
  </si>
  <si>
    <t>B0BPY841P6</t>
  </si>
  <si>
    <t>B09BJHB2BD,B0BGM4JY9G,B0B5G96T83,B085W3GN5J,B0BD4BYR11,B08L39951F,B08GQF21T6,B07GJBBGHG,B08K8T3W2V,B0B59D1J98</t>
  </si>
  <si>
    <t>air fryer toaster oven</t>
  </si>
  <si>
    <t>空气炸锅烤箱</t>
  </si>
  <si>
    <t>$0.93</t>
  </si>
  <si>
    <t>$0.67-$1.72</t>
  </si>
  <si>
    <t>$149.99</t>
  </si>
  <si>
    <t>B0BGM4JY9G</t>
  </si>
  <si>
    <t>B07J2PWRFJ</t>
  </si>
  <si>
    <t>B07SCGY2H6</t>
  </si>
  <si>
    <t>B08GQF21T6,B08R7VRXR5,B09871GCN1,B0BGM4JY9G,B00IXBN636,B01N5UPTZS,B07SCGY2H6,B08PP57BG7,B004JMZGM2,B07W67NQMN</t>
  </si>
  <si>
    <t>air fryers</t>
  </si>
  <si>
    <t>$1.96</t>
  </si>
  <si>
    <t>$1.33-$2.44</t>
  </si>
  <si>
    <t>B08GQF21T6,B075X3287P,B096N28SZP,B07FDJMC9Q,B089NKT312,B09BJHB2BD,B08K8T3W2V,B0936FGLQS,B085LT31HP,B07VH2CXPJ</t>
  </si>
  <si>
    <t>toaster oven air fryer combo</t>
  </si>
  <si>
    <t>烤箱空气炸锅组合</t>
  </si>
  <si>
    <t>$2.26</t>
  </si>
  <si>
    <t>$1.70-$2.83</t>
  </si>
  <si>
    <t>$111.99</t>
  </si>
  <si>
    <t>B08CW95ZFR</t>
  </si>
  <si>
    <t>B09VX679PC,B0BGM4JY9G,B09F7XG6W9,B07J2PWRFJ,B091FQ52MK,B0BJZS8WSP,B07W67NQMN,B0B59D1J98,B08ZDV99K9,B08R12QZS1</t>
  </si>
  <si>
    <t>freidora de aire</t>
  </si>
  <si>
    <t>自由女神像</t>
  </si>
  <si>
    <t>$1.30</t>
  </si>
  <si>
    <t>$1.16-$2.03</t>
  </si>
  <si>
    <t>B07FDJMC9Q,B0936FGLQS,B089TQWJKK,B08CY6ZPCW,B07X1VXQMS,B07FF117K7,B06XYKVPLS,B093MMDQ8L,B08CW95ZFR,B09HSWBTN4</t>
  </si>
  <si>
    <t>TOP2</t>
  </si>
  <si>
    <t>58+</t>
  </si>
  <si>
    <t>air fryer oven</t>
  </si>
  <si>
    <t>$1.20</t>
  </si>
  <si>
    <t>$0.55-$2.64</t>
  </si>
  <si>
    <t>$149.95</t>
  </si>
  <si>
    <t>B07VM28XTR</t>
  </si>
  <si>
    <t>B07LBZGD97</t>
  </si>
  <si>
    <t>B07LBZGD97,B08GQF21T6,B01K0W8LTE,B07VM28XTR,B00IXBN636,B07KWFC5Y7,B08K8T3W2V,B085LT31HP,B07XQXJT63,B075X3287P</t>
  </si>
  <si>
    <t>air fyryer</t>
  </si>
  <si>
    <t>$1.95</t>
  </si>
  <si>
    <t>$1.46-$2.44</t>
  </si>
  <si>
    <t>B075X3287P,B07FDJMC9Q,B0936FGLQS,B09JL1HC4F,B089TQWJKK,B0BJTKWGKY,B08YS3WCVY,B0B5B54DNF,B07FF117K7,B08DL8WH9V</t>
  </si>
  <si>
    <t>instant pot air fryer</t>
  </si>
  <si>
    <t>即溶锅空气炸锅</t>
  </si>
  <si>
    <t>$0.70-$1.16</t>
  </si>
  <si>
    <t>B08WCLJ7JG</t>
  </si>
  <si>
    <t>B07VM1FT8W</t>
  </si>
  <si>
    <t>B08WCLJ7JG,B07GNSHPBQ,B08YS2ZZ97,B07VHFMZHJ,B09K6MK5VN,B0956KYCPS,B096N3FTZP,B07NBQX8HS,B08YFJXN5B,B089NKT312</t>
  </si>
  <si>
    <t>power xl air fryer</t>
  </si>
  <si>
    <t>劲爆XL空气炸锅</t>
  </si>
  <si>
    <t>$1.36</t>
  </si>
  <si>
    <t>$1.08-$1.96</t>
  </si>
  <si>
    <t>$129.00</t>
  </si>
  <si>
    <t>B08FMVM61C</t>
  </si>
  <si>
    <t>B086K1T4JJ</t>
  </si>
  <si>
    <t>B0769Y1JVN</t>
  </si>
  <si>
    <t>B08FMT6N24,B07XR1BKLX,B086WP6SY9,B0769Y1JVN,B01M036C6E,B07YGVC4LX,B09Q3NPJTF,B0963P9QTM,B01LXHFWXV,B09M1NX7GJ</t>
  </si>
  <si>
    <t>small air fryer</t>
  </si>
  <si>
    <t>小型空气炸锅</t>
  </si>
  <si>
    <t>$0.69-$1.85</t>
  </si>
  <si>
    <t>$44.99</t>
  </si>
  <si>
    <t>B07NBQX8HS</t>
  </si>
  <si>
    <t>B0815KPZVB</t>
  </si>
  <si>
    <t>B08YS2ZZ97,B07VHFMZHJ,B07NBQX8HS,B08YNDYG71,B096N28SZP,B0B7CBQM87,B08NCD23WQ,B09BJHB2BD,B07FF117K7,B07FDJMC9Q</t>
  </si>
  <si>
    <t>备注：每日竞争程度=核心关键词搜索热度/站内核心关键词搜索热度/30
判定竞争程度激烈与否的标准：
单日竞争程度＜3，代表此类产品竞争异常激烈，供需关系处于供过于求的高位状态
3≤单日竞争程度＜5，代表此类产品竞争程度较激烈，供需关系处于供过于求的中位状态
5≤单日竞争程度＜10，代表此类产品竞争程度一般，供需关系处于平衡状态
10≤单日竞争程度＜20，代表此类产品竞争程度不激烈，供需关系处于供少于求的状态
单日竞争程度＞20，代表此类产品竞争极其不激烈，供需关系处于极不饱和状态，蓝海市场，亟待迅速切入
站内广告竞争程度分析：
单个页面广告位页数＞100页以上，广告竞争异常激烈，CPC竞价最高；
单个页面广告位页数＞80页以上，广告竞争较激烈，CPC竞价较高；
单个页面广告位页数＞50页以上，广告竞争一般，CPC竞价一般；
单个页面广告位页数＞30页以上，广告竞争不激烈，CPC竞价不高；
单个页面广告位页数＜30页，广告竞争不激烈，CPC竞价不高</t>
  </si>
  <si>
    <t>mini air fryer</t>
  </si>
  <si>
    <t>迷你空气炸锅</t>
  </si>
  <si>
    <t>$1.05-$1.65</t>
  </si>
  <si>
    <t>$35.88</t>
  </si>
  <si>
    <t>B087T8LKNC</t>
  </si>
  <si>
    <t>B086GWG6BG</t>
  </si>
  <si>
    <t>B08YS2ZZ97,B08R6KMBQT,B095Y6ZF5Q,B08NCD23WQ,B076B32K3V,B07VZ65M7H,B07NBQX8HS,B085W3GN5J,B081B21KGS,B082QKB8Z4</t>
  </si>
  <si>
    <t>stainless steel air fryer</t>
  </si>
  <si>
    <t>不锈钢空气炸锅</t>
  </si>
  <si>
    <t>$1.48</t>
  </si>
  <si>
    <t>$0.79-$3.26</t>
  </si>
  <si>
    <t>$96.12</t>
  </si>
  <si>
    <t>B0B7C5ZY9S</t>
  </si>
  <si>
    <t>B0BGM4JY9G,B07VHFMZHJ,B08DKYBTPH,B08R6KMBQT,B091FQ52MK,B0BF4TCX6J,B08289XQKP,B01N5UPTZS,B08FBLZD8R,B09HSWBTN4</t>
  </si>
  <si>
    <t>large air fryer</t>
  </si>
  <si>
    <t>大型空气炸锅</t>
  </si>
  <si>
    <t>$1.70</t>
  </si>
  <si>
    <t>$1.26-$3.06</t>
  </si>
  <si>
    <t>Home &amp; Kitchen&amp;Industrial &amp; Scientific</t>
  </si>
  <si>
    <t>B085LT31HP</t>
  </si>
  <si>
    <t>B096X9LGJ1,B089TQWJKK,B085W3GN5J,B07VM28XTR,B0872DQV7Z,B08R68562Y,B07SCGY2H6,B092ZHXM37,B07LBZGD97,B07GJBBGHG</t>
  </si>
  <si>
    <t>TOP3</t>
  </si>
  <si>
    <t>30+</t>
  </si>
  <si>
    <t>ninja air fryer max xl</t>
  </si>
  <si>
    <t>忍者空气炸锅 Max xl</t>
  </si>
  <si>
    <t>$1.57</t>
  </si>
  <si>
    <t>$1.21-$2.38</t>
  </si>
  <si>
    <t>B0B7CBQM87</t>
  </si>
  <si>
    <t>B07S6529ZZ</t>
  </si>
  <si>
    <t>B07S6529ZZ,B096X9LGJ1,B08KDL8YZF,B08QKTXT1N,B089TQWJKK,B0B3S5GWX7,B08BXX69K4,B08HQPC87P,B089TQ82WT,B07FDJMC9Q</t>
  </si>
  <si>
    <t>air fryers best rated</t>
  </si>
  <si>
    <t>空气炸锅的最佳评价</t>
  </si>
  <si>
    <t>$1.75</t>
  </si>
  <si>
    <t>$0.87-$2.13</t>
  </si>
  <si>
    <t>B075X3287P</t>
  </si>
  <si>
    <t>B075X3287P,B07VZ65M7H,B09YZ33MTL,B081B21KGS,B07FDJMC9Q,B08GQF21T6,B0952MCF59,B085W3GN5J,B0853CR7LG,B0B6TTCKCQ</t>
  </si>
  <si>
    <t>air frier</t>
  </si>
  <si>
    <t>气炸机</t>
  </si>
  <si>
    <t>$2.09</t>
  </si>
  <si>
    <t>$1.35-$2.74</t>
  </si>
  <si>
    <t>$46.97</t>
  </si>
  <si>
    <t>B08R6KMBQT</t>
  </si>
  <si>
    <t>B089TQWJKK,B08R6KMBQT,B0B2K5X369,B01LX9T6HF,B07SCGY2H6,B08QKTXT1N,B075X3287P,B0BPN8H8L8,B07NBQX8HS,B08GY96RL7</t>
  </si>
  <si>
    <t>best air fryer</t>
  </si>
  <si>
    <t>最好的空气炸锅</t>
  </si>
  <si>
    <t>$1.69</t>
  </si>
  <si>
    <t>$1.13-$2.13</t>
  </si>
  <si>
    <t>B0978M8136</t>
  </si>
  <si>
    <t>B07FDJMC9Q,B089TQWJKK,B0936FGLQS,B07VHFMZHJ,B0978M8136,B07GJBBGHG,B08QKTXT1N,B07SCGY2H6,B096N3FTZP,B07FF117K7</t>
  </si>
  <si>
    <t>air fyer</t>
  </si>
  <si>
    <t>空气发酵器</t>
  </si>
  <si>
    <t>$1.22</t>
  </si>
  <si>
    <t>$0.92-$1.52</t>
  </si>
  <si>
    <t>B085W3GN5J,B0BF54F2SV,B07FDJMC9Q,B089TQWJKK,B0936FGLQS,B07VHFMZHJ,B08YS2ZZ97,B01LX9T6HF,B0B8TP8542,B09CV2VDXQ</t>
  </si>
  <si>
    <t>air fryer small</t>
  </si>
  <si>
    <t>空气炸锅小</t>
  </si>
  <si>
    <t>$0.99</t>
  </si>
  <si>
    <t>$0.63-$1.57</t>
  </si>
  <si>
    <t>Home &amp; Kitchen&amp;Industrial &amp; Scientific&amp;Beauty &amp; Personal Care</t>
  </si>
  <si>
    <t>B07SCGY2H6,B0923CBH72,B08WRQVP96,B07S76WBGF,B07NLHMYH4,B082QKB8Z4,B075BDY5WR,B0977M6FJP,B07VHFMZHJ,B07S85TPLG</t>
  </si>
  <si>
    <t>air fryer basket for oven</t>
  </si>
  <si>
    <t>烤箱用空气炸锅篮</t>
  </si>
  <si>
    <t>$0.98</t>
  </si>
  <si>
    <t>$0.74-$1.42</t>
  </si>
  <si>
    <t>$22.23</t>
  </si>
  <si>
    <t>B01NAFY0W9</t>
  </si>
  <si>
    <t>B06W55WL7Q</t>
  </si>
  <si>
    <t>B0B3S8Y8SM</t>
  </si>
  <si>
    <t>B0BHSYL263,B09XCJ8141,B0B3S8Y8SM,B0B253C69N,B06W55WL7Q,B09HX2Y2P2,B07VMHLTHC,B09M868YNF,B0BNVVMPM9,B0B9373ZHZ</t>
  </si>
  <si>
    <t>air fryers on sale and clearance</t>
  </si>
  <si>
    <t>空气炸锅销售和清仓</t>
  </si>
  <si>
    <t>-</t>
  </si>
  <si>
    <t>$88.99</t>
  </si>
  <si>
    <t>B0777RJG6D</t>
  </si>
  <si>
    <t>B0936FGLQS,B0B59D1J98,B09JL1HC4F,B08DL8WH9V,B076FPT78K,B08QKTXT1N,B07LBZGD97,B08WRQVP96,B08YS2ZZ97,B07VM28XTR</t>
  </si>
  <si>
    <t>compact air fryer</t>
  </si>
  <si>
    <t>紧凑型空气炸锅</t>
  </si>
  <si>
    <t>$1.13</t>
  </si>
  <si>
    <t>$0.63-$1.79</t>
  </si>
  <si>
    <t>B08YS2ZZ97</t>
  </si>
  <si>
    <t>B09P9PBJRZ,B07JBLY2D2,B097S47H3Q,B08YS2ZZ97,B09YHBJRZS,B07FDJMC9Q,B08NCD23WQ,B0B1JQD8C6,B07FF117K7,B0B7CBQM87</t>
  </si>
  <si>
    <t>instant air fryer</t>
  </si>
  <si>
    <t>即时空气炸锅</t>
  </si>
  <si>
    <t>$1.80</t>
  </si>
  <si>
    <t>$0.40-$2.07</t>
  </si>
  <si>
    <t>$139.99</t>
  </si>
  <si>
    <t>B08V5DPMM5</t>
  </si>
  <si>
    <t>B08R6KMBQT,B07VHFMZHJ,B096N3FTZP,B07VM28XTR,B07SCGY2H6,B096N28SZP,B096MZHB7K,B0B2K7CPP8,B07FDJMC9Q,B09VT5CNQD</t>
  </si>
  <si>
    <t>总结</t>
  </si>
  <si>
    <t>air fruer</t>
  </si>
  <si>
    <t>空气清新剂</t>
  </si>
  <si>
    <t>$0.87</t>
  </si>
  <si>
    <t>$0.66-$1.10</t>
  </si>
  <si>
    <t>B096N28SZP,B07FDJMC9Q,B09BJHB2BD,B07FYXBHJ9,B08YS614RJ,B089NKT312,B07VHFMZHJ,B0106RV5JG,B08N98SHL5,B07VDVD4VJ</t>
  </si>
  <si>
    <t>air fryer cosori</t>
  </si>
  <si>
    <t>空气炸锅 cosori</t>
  </si>
  <si>
    <t>$2.57</t>
  </si>
  <si>
    <t>$1.94-$3.23</t>
  </si>
  <si>
    <t>B09MS2RQGL</t>
  </si>
  <si>
    <t>B085W3GN5J,B07GJBBGHG,B0BD4BYR11,B0B59D1J98,B08K8T3W2V,B08L39951F,B09JSDT5LH,B0BSKTL57K,B09MS2RQGL,B08GT97F16</t>
  </si>
  <si>
    <t>xl air fryer</t>
  </si>
  <si>
    <t>超大型空气炸锅</t>
  </si>
  <si>
    <t>$1.86</t>
  </si>
  <si>
    <t>$1.00-$3.42</t>
  </si>
  <si>
    <t>B07PPD1H64</t>
  </si>
  <si>
    <t>B096X9LGJ1,B085W3GN5J,B092ZHXM37,B07PPD1H64,B08FMVM61C,B09K6MK5VN,B08BXX69K4,B08DKYBTPH,B08DL8WH9V,B089TQWJKK</t>
  </si>
  <si>
    <t>kalorik air fryer</t>
  </si>
  <si>
    <t>卡洛里克空气炸锅</t>
  </si>
  <si>
    <t>$0.88</t>
  </si>
  <si>
    <t>$0.58-$1.45</t>
  </si>
  <si>
    <t>$179.00</t>
  </si>
  <si>
    <t>B0872DQV7Z</t>
  </si>
  <si>
    <t>B09CR5S18P</t>
  </si>
  <si>
    <t>B097YYKC1H</t>
  </si>
  <si>
    <t>B0872DQV7Z,B09XBSQNB7,B08FVJ9KN7,B08XY2H131,B09C8ZRDRG,B0996943CH,B08WM259VG,B09BK37SCT,B099BXZVWT,B09BK3ZZ7V</t>
  </si>
  <si>
    <t>crux air fryer</t>
  </si>
  <si>
    <t>关键空气炸锅</t>
  </si>
  <si>
    <t>$1.24</t>
  </si>
  <si>
    <t>$0.86-$2.16</t>
  </si>
  <si>
    <t>$130.00</t>
  </si>
  <si>
    <t>B08DVVY1SW</t>
  </si>
  <si>
    <t>B08SHYP66H</t>
  </si>
  <si>
    <t>B08P27TNL6</t>
  </si>
  <si>
    <t>B08P27TNL6,B07Z6RHKFV,B08P26WHZD,B08P27RFLB,B08DVVY1SW,B08SJ6L9MT,B08T81TTS5,B08P261735,B08FYBPVBF,B08SHYP66H</t>
  </si>
  <si>
    <t>airfryer oven</t>
  </si>
  <si>
    <t>$0.81-$3.06</t>
  </si>
  <si>
    <t>$111.34</t>
  </si>
  <si>
    <t>B08K8T3W2V</t>
  </si>
  <si>
    <t>B08K8T3W2V,B07SCGY2H6,B0B59D1J98,B089TQWJKK,B0936FGLQS,B07FDJMC9Q,B07LBZGD97,B07NLHMYH4,B08739L374,B0872DQV7Z</t>
  </si>
  <si>
    <t>emeril lagasse air fryer 360</t>
  </si>
  <si>
    <t>emeril lagasse 空气炸锅 360</t>
  </si>
  <si>
    <t>$0.68-$1.33</t>
  </si>
  <si>
    <t>B09B7SB46R</t>
  </si>
  <si>
    <t>B07NLHMYH4</t>
  </si>
  <si>
    <t>B07NLHMYH4,B08GQF21T6,B089NKT312,B07Z9HNYQ9,B0853CR7LG,B07Z9HNY75,B07VQM2827,B07ZCVWC8X,B07Z4HVXDM,B09B7SB46R</t>
  </si>
  <si>
    <t>air fryer xl</t>
  </si>
  <si>
    <t>空气炸锅 xl</t>
  </si>
  <si>
    <t>$2.17</t>
  </si>
  <si>
    <t>$1.23-$7.17</t>
  </si>
  <si>
    <t>B01M036C6E</t>
  </si>
  <si>
    <t>B00IXBMS6M,B075X3287P,B08FMT6N24,B07S6529ZZ,B085W3GN5J,B096X9LGJ1,B0872DQV7Z,B07PPD1H64,B08XXWFKSF,B0BBWMV6S6</t>
  </si>
  <si>
    <t>ninja dual air fryer</t>
  </si>
  <si>
    <t>忍者双空气炸锅</t>
  </si>
  <si>
    <t>$0.64-$1.41</t>
  </si>
  <si>
    <t>$142.23</t>
  </si>
  <si>
    <t>B089TQWJKK</t>
  </si>
  <si>
    <t>B09X5BK8TF</t>
  </si>
  <si>
    <t>B089TQWJKK,B096X9LGJ1,B09ZBLYV2T,B0853CR7LG,B08GQF21T6,B09X5BK8TF,B09FNT7LVL,B099TD7K3W,B08X1BKNHC,B093MMDQ8L</t>
  </si>
  <si>
    <t>vortex air fryer</t>
  </si>
  <si>
    <t>涡流空气炸锅</t>
  </si>
  <si>
    <t>$1.76</t>
  </si>
  <si>
    <t>$0.46-$2.28</t>
  </si>
  <si>
    <t>$132.99</t>
  </si>
  <si>
    <t>B096N3FTZP</t>
  </si>
  <si>
    <t>B08R6KMBQT,B07VHFMZHJ,B096N3FTZP,B096N28SZP,B07XR1BKLX,B083PXZJL9,B083TGW7DN,B0936FGLQS,B09JL1HC4F,B09LJ33L31</t>
  </si>
  <si>
    <t>emeril lagasse air fryer</t>
  </si>
  <si>
    <t>emeril lagasse空气炸锅</t>
  </si>
  <si>
    <t>$4.98</t>
  </si>
  <si>
    <t>$1.49-$6.17</t>
  </si>
  <si>
    <t>$199.99</t>
  </si>
  <si>
    <t>B07Z9HNYQ9</t>
  </si>
  <si>
    <t>B08GQF21T6,B07NLHMYH4,B089NKT312,B07Z9HNYQ9,B08PNHBCTL,B09B7SB46R,B07VQM2827,B07Z9HNY75,B084KQZ9ZZ,B07ZCVWC8X</t>
  </si>
  <si>
    <t>freidora de aire en oferta</t>
  </si>
  <si>
    <t>弗雷多拉·德·艾尔·奥弗塔</t>
  </si>
  <si>
    <t>$1.50</t>
  </si>
  <si>
    <t>$1.05-$4.80</t>
  </si>
  <si>
    <t>B07G3V9K17,B08SJ6L9MT,B0815KQ9PQ,B07VQM2827,B08PL5FM5Z,B07GP6TYQR,B07FDJMC9Q,B0B2K5X369,B0777RJG6D,B076FPT78K</t>
  </si>
  <si>
    <t>small air fryer for two people</t>
  </si>
  <si>
    <t>两个人的小型空气炸锅</t>
  </si>
  <si>
    <t>$1.15</t>
  </si>
  <si>
    <t>$0.73-$1.97</t>
  </si>
  <si>
    <t>B08YS2ZZ97,B0B7CBQM87,B07NBQX8HS,B0815KPZVB,B0BG4BP58S,B08WRQVP96,B075BDY5WR,B09DJVZMYR,B09XMFK5QF,B08578WCDF</t>
  </si>
  <si>
    <t>cosori dual blaze 6.8-quart smart air fryer</t>
  </si>
  <si>
    <t>cosori dual blaze 6.8夸脱智能空气炸锅</t>
  </si>
  <si>
    <t>$126.49</t>
  </si>
  <si>
    <t>B09BJHB2BD</t>
  </si>
  <si>
    <t>B09BJHB2BD,B09RV44K3R,B09XB3C73M,B0BT9FYR5N,B0B59D1J98,B08L39951F,B08GT97F16,B08K8T3W2V,B0978M8136,B096X9LGJ1</t>
  </si>
  <si>
    <t>big air fryer</t>
  </si>
  <si>
    <t>大空气炸锅</t>
  </si>
  <si>
    <t>$1.37-$2.76</t>
  </si>
  <si>
    <t>B089TQWJKK,B096X9LGJ1,B085W3GN5J,B085LT31HP,B0B59D1J98,B08DKYBTPH,B07PPD1H64,B09K6MK5VN,B0853CR7LG,B07NLHMYH4</t>
  </si>
  <si>
    <t>air fry</t>
  </si>
  <si>
    <t>空炸</t>
  </si>
  <si>
    <t>$0.86</t>
  </si>
  <si>
    <t>$0.64-$1.08</t>
  </si>
  <si>
    <t>Home &amp; Kitchen&amp;Patio, Lawn &amp; Garden&amp;Grocery &amp; Gourmet Food</t>
  </si>
  <si>
    <t>B07FDJMC9Q,B07VM28XTR,B0936FGLQS,B07FF117K7,B08L89LS8S,B089TQWJKK,B0815KPZVB,B07MRG5F4J,B08YS2ZZ97,B089ZT66H9</t>
  </si>
  <si>
    <t>ultrean air fryer</t>
  </si>
  <si>
    <t>超低温空气炸锅</t>
  </si>
  <si>
    <t>$1.12</t>
  </si>
  <si>
    <t>$0.85-$1.40</t>
  </si>
  <si>
    <t>$79.99</t>
  </si>
  <si>
    <t>B081SYTG63</t>
  </si>
  <si>
    <t>B07X1VXQMS</t>
  </si>
  <si>
    <t>B07FF117K7</t>
  </si>
  <si>
    <t>B0832G7C5V,B0BK1X7NV3,B07FF117K7,B07X1VXQMS,B07PPD1H64,B07Z1R5D26,B092ZHXM37,B08H264SYJ,B09DK811XG,B099Y1Q241</t>
  </si>
  <si>
    <t>ninja xl air fryer</t>
  </si>
  <si>
    <t>忍者 XL 空气炸锅</t>
  </si>
  <si>
    <t>$1.16</t>
  </si>
  <si>
    <t>$0.57-$2.02</t>
  </si>
  <si>
    <t>$179.99</t>
  </si>
  <si>
    <t>B08BXX69K4</t>
  </si>
  <si>
    <t>B089TQ82WT</t>
  </si>
  <si>
    <t>B07S6529ZZ,B08QKTXT1N,B08BXX69K4,B096X9LGJ1,B0B15Q3HCQ,B089TQ82WT,B09ZBLYV2T,B09QPMN5WS,B0B67J4HYM,B085W3GN5J</t>
  </si>
  <si>
    <t>air fruwe</t>
  </si>
  <si>
    <t>空中飞人</t>
  </si>
  <si>
    <t>$99.99</t>
  </si>
  <si>
    <t>B0936FGLQS</t>
  </si>
  <si>
    <t>B07FDJMC9Q,B07VHFMZHJ,B095Y6ZF5Q,B0936FGLQS,B096N28SZP,B07VZ65M7H,B09JL1HC4F,B09BJHB2BD,B0952MCF59,B07FYXBHJ9</t>
  </si>
  <si>
    <t>freidora de aire ninja</t>
  </si>
  <si>
    <t>freidora de aire 忍者</t>
  </si>
  <si>
    <t>$0.62-$1.21</t>
  </si>
  <si>
    <t>B07FDJMC9Q,B089TQWJKK,B08QKTXT1N,B07S76WBGF,B07XWKF5W9,B09ZBLYV2T,B09FNT7LVL,B096X9LGJ1,B0B1G5M31V,B0BNQ848PG</t>
  </si>
  <si>
    <t>$0.31</t>
  </si>
  <si>
    <t>$0.23-$2.01</t>
  </si>
  <si>
    <t>B0815KPZVB,B08YNDYG71,B07X1VXQMS,B08YS3WCVY,B07R6TZMZL,B0936FGLQS,B089NKT312,B07FF117K7,B089TQWJKK,B07FDJMC9Q</t>
  </si>
  <si>
    <t>aur fryer</t>
  </si>
  <si>
    <t>$0.87-$1.46</t>
  </si>
  <si>
    <t>B0936FGLQS,B07FDJMC9Q,B08YS614RJ,B089TQWJKK,B0B59D1J98,B07LBZGD97,B08QKTXT1N,B07SCGY2H6,B07FF117K7,B09ZBLYV2T</t>
  </si>
  <si>
    <t>hot air fryer</t>
  </si>
  <si>
    <t>热风炸锅</t>
  </si>
  <si>
    <t>$0.68</t>
  </si>
  <si>
    <t>$0.49-$1.69</t>
  </si>
  <si>
    <t>B07FDJMC9Q,B085W3GN5J,B089TQWJKK,B07FF117K7,B07GJBBGHG,B07VHFMZHJ,B07VM1HQ87,B07VZ65M7H,B08NCD23WQ,B08G5CH2HR</t>
  </si>
  <si>
    <r>
      <rPr>
        <b/>
        <sz val="8"/>
        <color rgb="FFFF0000"/>
        <rFont val="微软雅黑"/>
        <charset val="134"/>
      </rPr>
      <t>数据来源：</t>
    </r>
    <r>
      <rPr>
        <sz val="8"/>
        <color rgb="FFFF0000"/>
        <rFont val="微软雅黑"/>
        <charset val="134"/>
      </rPr>
      <t xml:space="preserve">
1、主核心关键词热度来源值：
卖家精灵/Merchant words/Asinseed/seller motor等等都具备关键词热度挖掘功能；
2、top3或5的SP广告位页数与目标产品相匹配的页数判断关键词广告流量入口是否被卡死。</t>
    </r>
  </si>
  <si>
    <t>air fryer large</t>
  </si>
  <si>
    <t>空气炸锅大</t>
  </si>
  <si>
    <t>$1.15-$3.22</t>
  </si>
  <si>
    <t>B096X9LGJ1,B085W3GN5J,B089TQWJKK,B07VM28XTR,B0BGM4JY9G,B07FDJMC9Q,B08DKYBTPH,B07PPD1H64,B07S76WBGF,B08R68562Y</t>
  </si>
  <si>
    <t>air fries fryer</t>
  </si>
  <si>
    <t>$1.42</t>
  </si>
  <si>
    <t>$1.03-$2.28</t>
  </si>
  <si>
    <t>B07FDJMC9Q,B081B21KGS,B089TQWJKK,B07VZ65M7H,B085W3GN5J,B0952MCF59,B08R6KMBQT,B09RKGQB99,B0815KJCM1,B08QKTXT1N</t>
  </si>
  <si>
    <t>digital air fryer</t>
  </si>
  <si>
    <t>数码空气炸锅</t>
  </si>
  <si>
    <t>$0.87-$1.90</t>
  </si>
  <si>
    <t>B08QQRH2Z9</t>
  </si>
  <si>
    <t>B08R6KMBQT,B07XQXJT63,B08R6GZ2KP,B07KWFC5Y7,B088H6WXVF,B08DL8WH9V,B07SCGY2H6,B07GJBBGHG,B0978M8136,B08GNZJ4R1</t>
  </si>
  <si>
    <t>extra large air fryer</t>
  </si>
  <si>
    <t>特大号空气炸锅</t>
  </si>
  <si>
    <t>$0.68-$2.96</t>
  </si>
  <si>
    <t>$157.00</t>
  </si>
  <si>
    <t>B09871GCN1</t>
  </si>
  <si>
    <t>B096X9LGJ1,B07VM28XTR,B09K6MK5VN,B089NKT312,B075X3287P,B08PP57BG7,B08GQF21T6,B0853CR7LG,B089TQWJKK,B00IXBMS6M</t>
  </si>
  <si>
    <t>cheap air fryer</t>
  </si>
  <si>
    <t>便宜的空气炸锅</t>
  </si>
  <si>
    <t>$1.49</t>
  </si>
  <si>
    <t>$1.14-$2.42</t>
  </si>
  <si>
    <t>B081B21KGS,B08YS2ZZ97,B0923CBH72,B07NBQX8HS,B00IXBNUDW,B07VZ65M7H,B087T8LKNC,B0952MCF59,B0978M8136,B0936FGLQS</t>
  </si>
  <si>
    <t>airfryers</t>
  </si>
  <si>
    <t>$1.52</t>
  </si>
  <si>
    <t>$1.12-$2.50</t>
  </si>
  <si>
    <t>B0936FGLQS,B07FDJMC9Q,B089TQWJKK,B08R6KMBQT,B07NBQX8HS,B0B59D1J98,B08QKTXT1N,B07H9LM58Y,B089NKT312,B07NLHMYH4</t>
  </si>
  <si>
    <t>paula deen air fryer</t>
  </si>
  <si>
    <t>宝拉-迪恩空气炸锅</t>
  </si>
  <si>
    <t>$1.33</t>
  </si>
  <si>
    <t>$0.68-$1.66</t>
  </si>
  <si>
    <t>$189.99</t>
  </si>
  <si>
    <t>B0B4BLJL1C</t>
  </si>
  <si>
    <t>B08SHFYQMV</t>
  </si>
  <si>
    <t>B08PNHBCTL</t>
  </si>
  <si>
    <t>B08PNHBCTL,B08SJHF83T,B09T5NTCF5,B085W3GN5J,B07FDJMC9Q,B07NLHMYH4,B096N3FTZP,B0BG5P1KC1,B085LT31HP,B08R6KMBQT</t>
  </si>
  <si>
    <t>air fryer clearance</t>
  </si>
  <si>
    <t>空气炸锅清关</t>
  </si>
  <si>
    <t>$1.38</t>
  </si>
  <si>
    <t>$0.95-$2.50</t>
  </si>
  <si>
    <t>B00IXBMS6M</t>
  </si>
  <si>
    <t>B075X3287P,B089NKT312,B07FDJMC9Q,B07Z1R5D26,B0936FGLQS,B08PP57BG7,B0777RJG6D,B07VQM2827,B08739L374,B0B59D1J98</t>
  </si>
  <si>
    <t>air fryee</t>
  </si>
  <si>
    <t>$0.74</t>
  </si>
  <si>
    <t>$0.55-$0.93</t>
  </si>
  <si>
    <t>B0936FGLQS,B07FDJMC9Q,B08YS614RJ,B089TQWJKK,B0B59D1J98,B07LBZGD97,B08QKTXT1N,B01LX9T6HF,B09ZBLYV2T,B07SCGY2H6</t>
  </si>
  <si>
    <t>aor fryer</t>
  </si>
  <si>
    <t>$1.25</t>
  </si>
  <si>
    <t>$0.93-$1.55</t>
  </si>
  <si>
    <t>B0936FGLQS,B095Y6ZF5Q,B07FDJMC9Q,B07VZ65M7H,B089TQWJKK,B0952MCF59,B07FYXBHJ9,B08YS3WCVY,B081B2DY7C,B0B59D1J98</t>
  </si>
  <si>
    <t>insta air fryer</t>
  </si>
  <si>
    <t>insta空气炸锅</t>
  </si>
  <si>
    <t>$1.71</t>
  </si>
  <si>
    <t>$0.62-$1.89</t>
  </si>
  <si>
    <t>B096N28SZP</t>
  </si>
  <si>
    <t>B08R6KMBQT,B096N3FTZP,B07VM28XTR,B07VM1HQ87,B096X9LGJ1,B08V57P86Z,B085W3GN5J,B08QKTXT1N,B09K6MK5VN,B07VT23JDM</t>
  </si>
  <si>
    <t>freidoras de aire</t>
  </si>
  <si>
    <t>自由报</t>
  </si>
  <si>
    <t>$0.81-$1.95</t>
  </si>
  <si>
    <t>B089NKT312,B08SJ6L9MT,B07FDJMC9Q,B0936FGLQS,B089TQWJKK,B07VHFMZHJ,B0923CBH72,B08DL8WH9V,B0BG4BP58S,B09TZZS2GJ</t>
  </si>
  <si>
    <t>airfryier</t>
  </si>
  <si>
    <t>B08YS614RJ</t>
  </si>
  <si>
    <t>B0936FGLQS,B095Y6ZF5Q,B07FDJMC9Q,B07VZ65M7H,B08YS3WCVY,B0952MCF59,B081B2DY7C,B0777RJG6D,B089TQWJKK,B0B59D1J98</t>
  </si>
  <si>
    <t>airfyer</t>
  </si>
  <si>
    <t>飞行器</t>
  </si>
  <si>
    <t>$0.54</t>
  </si>
  <si>
    <t>$0.40-$0.68</t>
  </si>
  <si>
    <t>B08R6KMBQT,B07X1VXQMS,B076B32K3V,B08YS2ZZ97,B07FF117K7,B085W3GN5J,B07FDJMC9Q,B07GNSHPBQ,B0936FGLQS,B089TQWJKK</t>
  </si>
  <si>
    <t>air fryer small size</t>
  </si>
  <si>
    <t>空气炸锅小号</t>
  </si>
  <si>
    <t>$0.64</t>
  </si>
  <si>
    <t>$0.52-$1.29</t>
  </si>
  <si>
    <t>B0BMNB11G6,B0815KPZVB,B07FDJMC9Q,B07NBQX8HS,B0936FGLQS,B0BQJ9SPVR,B0B7CBQM87,B0BGL1VMW8,B0B59D1J98,B09BZVQNTC</t>
  </si>
  <si>
    <t>ninja max xl air fryer</t>
  </si>
  <si>
    <t>ninja max xl 空气炸锅</t>
  </si>
  <si>
    <t>$1.27</t>
  </si>
  <si>
    <t>$1.00-$1.78</t>
  </si>
  <si>
    <t>B08QKTXT1N</t>
  </si>
  <si>
    <t>B09YZ33MTL,B08V5DPMM5,B07S6529ZZ,B089NKT312,B08QKTXT1N,B075X3287P,B096X9LGJ1,B08R6KMBQT,B089TQWJKK,B08HQPC87P</t>
  </si>
  <si>
    <t>air fryer instant</t>
  </si>
  <si>
    <t>空气炸锅瞬间</t>
  </si>
  <si>
    <t>$1.63</t>
  </si>
  <si>
    <t>$0.73-$2.34</t>
  </si>
  <si>
    <t>B08R6KMBQT,B081B21KGS,B07VHFMZHJ,B096N3FTZP,B07VZ65M7H,B07SCGY2H6,B0952MCF59,B07VM28XTR,B096MZHB7K,B096N28SZP</t>
  </si>
  <si>
    <t>6 quart air fryer</t>
  </si>
  <si>
    <t>6夸脱空气炸锅</t>
  </si>
  <si>
    <t>$1.55</t>
  </si>
  <si>
    <t>$1.14-$2.33</t>
  </si>
  <si>
    <t>B07Z1R5D26</t>
  </si>
  <si>
    <t>B07VHFMZHJ,B081T2GD53,B07Z1R5D26,B08FMVM61C,B096N3FTZP,B08H264SYJ,B08PNHBCTL,B0B5B54DNF,B096N28SZP,B08GNZJ4R1</t>
  </si>
  <si>
    <t>cosori air fryer basket replacement</t>
  </si>
  <si>
    <t>cosori 空气炸锅篮更换</t>
  </si>
  <si>
    <t>$24.99</t>
  </si>
  <si>
    <t>B08YDQSG55</t>
  </si>
  <si>
    <t>B07QDSNFS2</t>
  </si>
  <si>
    <t>B07QDSHKV1</t>
  </si>
  <si>
    <t>B08YDQSG55,B07QDSHKV1,B0B93CMST3,B0B9X2XF8Y,B0BD4BYR11,B0BDG5T19F,B0BKKTQXK8,B0BF53M7ZL,B0BG38PC5T,B09LJ33L31</t>
  </si>
  <si>
    <t>air fryers on sale</t>
  </si>
  <si>
    <t>出售空气炸锅</t>
  </si>
  <si>
    <t>$0.91-$2.21</t>
  </si>
  <si>
    <t>B07FDJMC9Q,B08DL8WH9V,B08DKYBTPH,B07NBQX8HS,B07FF117K7,B07VM28XTR,B076FPT78K,B07S6529ZZ,B096N3FTZP,B08CW95ZFR</t>
  </si>
  <si>
    <t>power air fryer oven</t>
  </si>
  <si>
    <t>电动空气炸锅烤箱</t>
  </si>
  <si>
    <t>$0.55-$2.65</t>
  </si>
  <si>
    <t>B07CFW48ND</t>
  </si>
  <si>
    <t>B07YGVC4LX</t>
  </si>
  <si>
    <t>B0769Y1JVN,B07CFW48ND,B07YGVC4LX,B07NLHMYH4,B08DL8WH9V,B07ZCVWC8X,B086WP6SY9,B08G5CH2HR,B09YS1RQ8J,B08NWCVMK2</t>
  </si>
  <si>
    <t>air flyer</t>
  </si>
  <si>
    <t>航空传单</t>
  </si>
  <si>
    <t>$0.56</t>
  </si>
  <si>
    <t>$0.41-$0.69</t>
  </si>
  <si>
    <t>B0B59D1J98,B08DL8WH9V,B09DGHZVK4,B089D48NHM,B08TWB9L5P,B00IXBN636,B085W3GN5J,B07FDJMC9Q,B07VM28XTR,B09C8ZRDRG</t>
  </si>
  <si>
    <t>airfry</t>
  </si>
  <si>
    <t>$0.37</t>
  </si>
  <si>
    <t>$0.25-$0.75</t>
  </si>
  <si>
    <t>B0B59D1J98,B0B2J25Z8N,B08YS614RJ,B096N3FTZP,B08SJ6L9MT,B09B9K9552,B07FDJMC9Q,B0936FGLQS,B0B1G5M31V,B09TKKLT4R</t>
  </si>
  <si>
    <t>airfrier</t>
  </si>
  <si>
    <t>$0.49</t>
  </si>
  <si>
    <t>$0.33-$0.68</t>
  </si>
  <si>
    <t>B07VH2CXPJ,B096N28SZP,B07FDJMC9Q,B07VMD2CP7,B07FYXBHJ9,B09BJHB2BD,B0936FGLQS,B08GQF21T6,B089TQWJKK,B0106RV5JG</t>
  </si>
  <si>
    <t>5 qt air fryer</t>
  </si>
  <si>
    <t>5qt空气炸锅</t>
  </si>
  <si>
    <t>$1.03-$2.50</t>
  </si>
  <si>
    <t>$72.34</t>
  </si>
  <si>
    <t>B07FYXBHJ9</t>
  </si>
  <si>
    <t>B08CY6ZPCW</t>
  </si>
  <si>
    <t>B0936FGLQS,B09JL1HC4F,B07FYXBHJ9,B08N98SHL5,B08CY6ZPCW,B07XR1BKLX,B07ZQSP27V,B08R7TC3JJ,B07FDJMC9Q,B08R6KMBQT</t>
  </si>
  <si>
    <t>air frywr</t>
  </si>
  <si>
    <t>$0.61</t>
  </si>
  <si>
    <t>$0.46-$0.75</t>
  </si>
  <si>
    <t>B07FDJMC9Q,B08YS3WCVY,B0936FGLQS,B0777RJG6D,B07LBZGD97,B075X3287P,B07VHFMZHJ,B089TQWJKK,B01LX9T6HF,B08739L374</t>
  </si>
  <si>
    <t>portable air fryer</t>
  </si>
  <si>
    <t>便携式空气炸锅</t>
  </si>
  <si>
    <t>$1.34</t>
  </si>
  <si>
    <t>$0.73-$2.00</t>
  </si>
  <si>
    <t>B08NCHMH1L</t>
  </si>
  <si>
    <t>B075X3287P,B0BBWMV6S6,B07NBQX8HS,B08NCHMH1L,B087T8LKNC,B096X9LGJ1,B09YZ33MTL,B075BDY5WR,B0B88YBB2J,B0BGBMW9G5</t>
  </si>
  <si>
    <t>large capacity air fryer</t>
  </si>
  <si>
    <t>大容量空气炸锅</t>
  </si>
  <si>
    <t>$4.90</t>
  </si>
  <si>
    <t>$3.68-$6.13</t>
  </si>
  <si>
    <t>B0853CR7LG,B00IXBNPT6,B096X9LGJ1,B08PL5FM5Z,B085LT31HP,B075X3287P,B089TQWJKK,B089NKT312,B07VM28XTR,B07PPD1H64</t>
  </si>
  <si>
    <t>air feyer</t>
  </si>
  <si>
    <t>空气通道</t>
  </si>
  <si>
    <t>$0.85</t>
  </si>
  <si>
    <t>$0.63-$1.05</t>
  </si>
  <si>
    <t>B0936FGLQS,B0B7C28KPT,B096N28SZP,B07FDJMC9Q,B089NKT312,B09BJHB2BD,B09JL1HC4F,B0777RJG6D,B07VH2CXPJ,B0978M8136</t>
  </si>
  <si>
    <t>fritadora de aire</t>
  </si>
  <si>
    <t>$0.97</t>
  </si>
  <si>
    <t>$0.73-$1.21</t>
  </si>
  <si>
    <t>B0B1G5M31V</t>
  </si>
  <si>
    <t>B0B2D89LT8,B08YNDYG71,B07SCGY2H6,B085LT31HP,B0B7C28KPT,B0936FGLQS,B07KWFC5Y7,B07FDJMC9Q,B08YS2ZZ97,B07LBGDTCQ</t>
  </si>
  <si>
    <t>6qt air fryer</t>
  </si>
  <si>
    <t>$0.73-$1.19</t>
  </si>
  <si>
    <t>B081T2GD53,B089NKT312,B08R6GZ2KP,B07VHFMZHJ,B075X3287P,B08GNZJ4R1,B096N3FTZP,B07VQM2827,B09NZQ7X1Q,B07Z1R5D26</t>
  </si>
  <si>
    <t>pioneer woman air fryer</t>
  </si>
  <si>
    <t>先锋女式空气炸锅</t>
  </si>
  <si>
    <t>$1.03</t>
  </si>
  <si>
    <t>$0.86-$1.37</t>
  </si>
  <si>
    <t>B0BRKSXZJH</t>
  </si>
  <si>
    <t>B089NKT312,B08YS3WCVY,B08PP57BG7,B09D2QQZKG,B08YNDYG71,B07FDJMC9Q,B07VQM2827,B07VMD2CP7,B0BFF23X2M,B0832G7C5V</t>
  </si>
  <si>
    <t>freidoras de aire en oferta</t>
  </si>
  <si>
    <t>弗雷多拉斯·德艾尔·恩奥弗塔</t>
  </si>
  <si>
    <t>$2.29</t>
  </si>
  <si>
    <t>$1.73-$2.88</t>
  </si>
  <si>
    <t>B08DL8WH9V</t>
  </si>
  <si>
    <t>B07FDJMC9Q,B081B21KGS,B0777RJG6D,B07VZ65M7H,B07NBQX8HS,B0952MCF59,B09RKGQB99,B09YS2MRXX,B08R6KMBQT,B08QQRH2Z9</t>
  </si>
  <si>
    <t>all air fryers</t>
  </si>
  <si>
    <t>所有空气炸锅</t>
  </si>
  <si>
    <t>$1.19</t>
  </si>
  <si>
    <t>$0.87-$2.03</t>
  </si>
  <si>
    <t>B07FDJMC9Q,B0936FGLQS,B089TQWJKK,B07GJBBGHG,B096N3FTZP,B096X9LGJ1,B07FF117K7,B07NBQX8HS,B09BZVQNTC,B0BD4BYR11</t>
  </si>
  <si>
    <t>innsky air fryer</t>
  </si>
  <si>
    <t>因斯基空气炸锅</t>
  </si>
  <si>
    <t>$0.62-$2.45</t>
  </si>
  <si>
    <t>$89.99</t>
  </si>
  <si>
    <t>B07RX9JQGN</t>
  </si>
  <si>
    <t>B07MR3KWSL</t>
  </si>
  <si>
    <t>B07RX9JQGN,B085W3GN5J,B08R6KMBQT,B08H7RL4GN,B0BG5P1KC1,B075X3287P,B08GNZJ4R1,B08V57P86Z,B096N3FTZP,B07Z6RHKFV</t>
  </si>
  <si>
    <t>williams sonoma open kitchen digital air fryer</t>
  </si>
  <si>
    <t>威廉姆斯索诺玛开放式厨房数字空气炸锅</t>
  </si>
  <si>
    <t>B08YNDYG71</t>
  </si>
  <si>
    <t>B0936FGLQS,B07FDJMC9Q,B07S6529ZZ,B08YNDYG71,B08R6KMBQT,B096N28SZP,B09YHBJRZS,B0815KJCM1</t>
  </si>
  <si>
    <t>air fryer best rated</t>
  </si>
  <si>
    <t>空气炸锅评分最高</t>
  </si>
  <si>
    <t>$1.72</t>
  </si>
  <si>
    <t>$1.28-$2.15</t>
  </si>
  <si>
    <t>B07FDJMC9Q,B085W3GN5J,B08R6KMBQT,B08QKTXT1N,B08DKYBTPH,B08QR5G3LT,B096X9LGJ1,B07VM28XTR,B075X3287P,B09X29W34C</t>
  </si>
  <si>
    <t>fridoras. de aire</t>
  </si>
  <si>
    <t>空气炸锅。</t>
  </si>
  <si>
    <t>$0.75</t>
  </si>
  <si>
    <t>$0.56-$0.93</t>
  </si>
  <si>
    <t>B0B1JQD8C6,B08GQF21T6,B089TQWJKK,B09VX679PC,B08PP57BG7,B08CJZ8XBZ,B0973B8GLV,B09ZBLYV2T,B07X1VXQMS,B076FPT78K</t>
  </si>
  <si>
    <t>air oven</t>
  </si>
  <si>
    <t>空气烤箱</t>
  </si>
  <si>
    <t>$1.35</t>
  </si>
  <si>
    <t>$1.00-$1.69</t>
  </si>
  <si>
    <t>B08BXXQ37X</t>
  </si>
  <si>
    <t>B07LBGDTCQ</t>
  </si>
  <si>
    <t>B08BXXQ37X,B09HSWBTN4,B00XBOXVIA,B0B59D1J98,B00IXBMS6M,B08K8T3W2V,B07VM28XTR,B085LT31HP,B00IXC5228,B08DL8WH9V</t>
  </si>
  <si>
    <t>clearance air fryer</t>
  </si>
  <si>
    <t>清仓空气炸锅</t>
  </si>
  <si>
    <t>$0.58-$1.33</t>
  </si>
  <si>
    <t>B0777RJG6D,B07NLHMYH4,B076FPT78K,B07VQM2827,B08DL8WH9V,B075X3287P,B087TCQ6TR,B0777TC57D</t>
  </si>
  <si>
    <t>air frayer</t>
  </si>
  <si>
    <t>$0.62</t>
  </si>
  <si>
    <t>$0.46-$0.77</t>
  </si>
  <si>
    <t>$99.95</t>
  </si>
  <si>
    <t>B085W3GN5J,B07VHFMZHJ,B08N98SHL5,B09GL56L4T,B096N28SZP,B07FDJMC9Q,B0BBZZG4Z8,B09BJHB2BD,B0936FGLQS,B075X3287P</t>
  </si>
  <si>
    <t>taotronics air fryer</t>
  </si>
  <si>
    <t>taotronics空气炸锅</t>
  </si>
  <si>
    <t>$1.28</t>
  </si>
  <si>
    <t>$1.05-$2.71</t>
  </si>
  <si>
    <t>B08GNZJ4R1</t>
  </si>
  <si>
    <t>B0B1J6SB7C</t>
  </si>
  <si>
    <t>B0936FGLQS,B07FDJMC9Q,B07GJBBGHG,B089TQWJKK,B07KWFC5Y7,B0978M8136,B08R6KMBQT,B0BK89RYWT,B08DL8WH9V,B0777RJG6D</t>
  </si>
  <si>
    <t>small air fryers</t>
  </si>
  <si>
    <t>$0.68-$1.97</t>
  </si>
  <si>
    <t>$39.99</t>
  </si>
  <si>
    <t>B08YS614RJ,B08R6KMBQT,B081B21KGS,B07FDJMC9Q,B076B32K3V,B07VZ65M7H,B07NBQX8HS,B085W3GN5J,B0952MCF59,B08NCD23WQ</t>
  </si>
  <si>
    <t>cp158-af</t>
  </si>
  <si>
    <t>$0.52-$1.64</t>
  </si>
  <si>
    <t>B0BD4BYR11,B085W3GN5J,B0978M8136,B08K8T3W2V,B07SCGY2H6,B0B1GSWB7T,B09ZP86Z1J,B08YDQSG55,B07NLHMYH4,B096X9LGJ1</t>
  </si>
  <si>
    <t>air frye</t>
  </si>
  <si>
    <t>$1.07</t>
  </si>
  <si>
    <t>$0.40-$1.37</t>
  </si>
  <si>
    <t>$109.98</t>
  </si>
  <si>
    <t>B0936FGLQS,B08YS3WCVY,B07D4NNC9G,B07FDJMC9Q,B089TQWJKK,B08QKTXT1N,B0815KQ9PQ,B07VHFMZHJ,B0777RJG6D,B08SJ6L9MT</t>
  </si>
  <si>
    <t>air fryer with basket</t>
  </si>
  <si>
    <t>带篮子的空气炸锅</t>
  </si>
  <si>
    <t>$0.89-$1.54</t>
  </si>
  <si>
    <t>$89.95</t>
  </si>
  <si>
    <t>B0B1M5T255,B07FDJMC9Q,B085W3GN5J,B0777RJG6D,B08YS2ZZ97,B089TQWJKK,B07Z1R5D26,B096X9LGJ1,B09BZVQNTC,B08QKTXT1N</t>
  </si>
  <si>
    <t>basket air fryer</t>
  </si>
  <si>
    <t>篮式空气炸锅</t>
  </si>
  <si>
    <t>$0.91-$1.88</t>
  </si>
  <si>
    <t>B07Z1R5D26,B07VHFMZHJ,B08YS2ZZ97,B07FDJMC9Q,B089TQWJKK,B07X1VXQMS,B0936FGLQS,B07SCGY2H6,B096MZHB7K,B08DKYBTPH</t>
  </si>
  <si>
    <t>ait fryer</t>
  </si>
  <si>
    <t>油炸锅</t>
  </si>
  <si>
    <t>$0.94-$1.58</t>
  </si>
  <si>
    <t>B075X3287P,B07VHFMZHJ,B085LT31HP,B096N28SZP,B07FDJMC9Q,B0B6ZXKNJN,B09BJHB2BD,B09JL1HC4F,B08YS3WCVY,B089NKT312</t>
  </si>
  <si>
    <t>best air fryers</t>
  </si>
  <si>
    <t>$1.37</t>
  </si>
  <si>
    <t>$0.93-$1.75</t>
  </si>
  <si>
    <t>B07FDJMC9Q,B07FF117K7,B081B21KGS,B089TQWJKK,B00IXBMS6M,B0952MCF59,B0936FGLQS,B07VZ65M7H,B07VHFMZHJ,B08R6GZ2KP</t>
  </si>
  <si>
    <t>family size air fryer</t>
  </si>
  <si>
    <t>家庭用空气炸锅</t>
  </si>
  <si>
    <t>$0.99-$2.44</t>
  </si>
  <si>
    <t>B089TQWJKK,B08DL8WH9V,B092ZHXM37,B096X9LGJ1,B0B59D1J98,B07PPD1H64,B08K8T3W2V,B08R68562Y,B09ZBLYV2T,B0853CR7LG</t>
  </si>
  <si>
    <t>airfrywr</t>
  </si>
  <si>
    <t>$0.62-$1.03</t>
  </si>
  <si>
    <t>B07FDJMC9Q,B075X3287P,B07VHFMZHJ,B0936FGLQS,B096N28SZP,B08N98SHL5,B08YS614RJ,B09BJHB2BD,B07FYXBHJ9,B07VH2CXPJ</t>
  </si>
  <si>
    <t>air cooker</t>
  </si>
  <si>
    <t>空气锅</t>
  </si>
  <si>
    <t>$0.43-$1.74</t>
  </si>
  <si>
    <t>B076FPT78K</t>
  </si>
  <si>
    <t>B07S85TPLG,B08R6KMBQT,B07VT23JDM,B07GJBBGHG,B07VM1HQ87,B07FF117K7,B076FPT78K,B01L7TOZJO,B0BK89RYWT,B07X1VXQMS</t>
  </si>
  <si>
    <t>best rated air fryer</t>
  </si>
  <si>
    <t>评价最高的空气炸锅</t>
  </si>
  <si>
    <t>$1.00-$2.50</t>
  </si>
  <si>
    <t>B081B21KGS,B07FDJMC9Q,B089TQWJKK,B07VZ65M7H,B08R6KMBQT,B0952MCF59,B09RKGQB99,B08QKTXT1N,B07VM28XTR,B08K8T3W2V</t>
  </si>
  <si>
    <t>air fryers best seller</t>
  </si>
  <si>
    <t>空气炸锅最畅销</t>
  </si>
  <si>
    <t>$1.01</t>
  </si>
  <si>
    <t>$0.62-$1.94</t>
  </si>
  <si>
    <t>B07FDJMC9Q,B089TQWJKK,B07GJBBGHG,B07VM28XTR,B08QKTXT1N,B08DL8WH9V,B07VH2CXPJ,B07NLHMYH4,B085LT31HP,B0853CR7LG</t>
  </si>
  <si>
    <t>casori air fryer</t>
  </si>
  <si>
    <t>卡索里空气炸锅</t>
  </si>
  <si>
    <t>$1.46</t>
  </si>
  <si>
    <t>$0.93-$1.80</t>
  </si>
  <si>
    <t>Home &amp; Kitchen&amp;Tools &amp; Home Improvement&amp;Electronics&amp;Computers&amp;Patio, Lawn &amp; Garden&amp;Camera and Photo</t>
  </si>
  <si>
    <t>B0B5G788P2</t>
  </si>
  <si>
    <t>B085W3GN5J,B0BD4BYR11,B07GJBBGHG,B0B59D1J98,B08K8T3W2V,B08L39951F,B09JSDT5LH,B09MS2RQGL,B07T2LGN8P,B07GJJ71XS</t>
  </si>
  <si>
    <t>air friers</t>
  </si>
  <si>
    <t>$2.04</t>
  </si>
  <si>
    <t>$1.53-$2.55</t>
  </si>
  <si>
    <t>B08YS3WCVY,B07FDJMC9Q,B0936FGLQS,B08R6GZ2KP,B0B15Q3HCQ,B0777RJG6D,B07FF117K7,B01N5UPTZS,B07VHFMZHJ,B096X9LGJ1</t>
  </si>
  <si>
    <t>kitcher air fryer</t>
  </si>
  <si>
    <t>厨房空气炸锅</t>
  </si>
  <si>
    <t>$1.10-$2.03</t>
  </si>
  <si>
    <t>$68.00</t>
  </si>
  <si>
    <t>B08JCG9YW4</t>
  </si>
  <si>
    <t>B08YNDYG71,B08V5DPMM5,B08JCG9YW4,B08PP57BG7,B08YWLHMG6,B0936FGLQS,B09TSRNJ94,B08DKYBTPH,B07VQM2827,B089NKT312</t>
  </si>
  <si>
    <t>air gryer</t>
  </si>
  <si>
    <t>空气干燥器</t>
  </si>
  <si>
    <t>$0.43</t>
  </si>
  <si>
    <t>$0.31-$0.54</t>
  </si>
  <si>
    <t>B07FDJMC9Q,B08R6KMBQT,B0936FGLQS,B0777RJG6D,B096X9LGJ1,B076FPT78K,B09YZ33MTL,B096N28SZP</t>
  </si>
  <si>
    <t>kids air fryer</t>
  </si>
  <si>
    <t>儿童空气炸锅</t>
  </si>
  <si>
    <t>$29.99</t>
  </si>
  <si>
    <t>Home &amp; Kitchen&amp;Toys &amp; Games&amp;Patio, Lawn &amp; Garden</t>
  </si>
  <si>
    <t>B0BFCV16X3</t>
  </si>
  <si>
    <t>B0B7MSDCH4</t>
  </si>
  <si>
    <t>B0BNH66GKX</t>
  </si>
  <si>
    <t>B0BFCV16X3,B08PP57BG7,B089NKT312,B075X3287P,B0B3LMV29Y,B0B7MSDCH4,B0BCQ8BQDZ,B0B59D1J98,B0853CR7LG,B085W3GN5J</t>
  </si>
  <si>
    <t>air frywe</t>
  </si>
  <si>
    <t>$1.00</t>
  </si>
  <si>
    <t>$0.66-$1.26</t>
  </si>
  <si>
    <t>B089NKT312,B08FMVM61C,B07FDJMC9Q,B0936FGLQS,B08YS3WCVY,B0777RJG6D,B00IXBMS6M,B089TQWJKK</t>
  </si>
  <si>
    <t>air fryer chicken</t>
  </si>
  <si>
    <t>空气炸鸡</t>
  </si>
  <si>
    <t>$3.63</t>
  </si>
  <si>
    <t>$2.72-$4.53</t>
  </si>
  <si>
    <t>$9.99</t>
  </si>
  <si>
    <t>Grocery &amp; Gourmet Food&amp;Home &amp; Kitchen</t>
  </si>
  <si>
    <t>B07Z3GF36Y</t>
  </si>
  <si>
    <t>B08DPXDRVX</t>
  </si>
  <si>
    <t>B08DPT9KKV,B08DPXDRVX,B0BSJFNB36,B08FZNQ1R5,B07RYQT59R,B07Z3GF36Y,B07ZB7Y7VG,B07D76JTF4,B0012S3JS4,B009KR74D0</t>
  </si>
  <si>
    <t>air fryers best seller prime deal of the day</t>
  </si>
  <si>
    <t>空气炸锅最畅销的当日特卖</t>
  </si>
  <si>
    <t>B07FDJMC9Q,B07VM28XTR,B089TQWJKK,B07FF117K7,B0777RJG6D,B0936FGLQS,B08DL8WH9V,B07S6529ZZ,B07GJBBGHG,B08R6KMBQT</t>
  </si>
  <si>
    <t>air fryers best seller prime</t>
  </si>
  <si>
    <t>空气炸锅畅销品prime</t>
  </si>
  <si>
    <t>$0.58-$1.54</t>
  </si>
  <si>
    <t>B07GJBBGHG</t>
  </si>
  <si>
    <t>B07GJBBGHG,B07FDJMC9Q,B08FTKQQTZ,B07R7XR59S,B08DL8WH9V,B089NKT312,B08P28TQFG,B0BKP6JZQZ,B09K6MK5VN,B0895G46CG</t>
  </si>
  <si>
    <t>airfryer best sellers</t>
  </si>
  <si>
    <t>空气炸锅畅销品</t>
  </si>
  <si>
    <t>$0.89-$2.82</t>
  </si>
  <si>
    <t>B085GN68LC</t>
  </si>
  <si>
    <t>B07JBLY2D2,B09DYPNPV4,B07FDJMC9Q,B07GJBBGHG,B0936FGLQS,B07RKRK7FD,B07FF117K7,B096N3FTZP,B09BJHB2BD,B08R6KMBQT</t>
  </si>
  <si>
    <t>air fryers best seller prime amazon choice</t>
  </si>
  <si>
    <t>空气炸锅畅销亚马逊首选</t>
  </si>
  <si>
    <t>$0.76-$2.01</t>
  </si>
  <si>
    <t>$111.33</t>
  </si>
  <si>
    <t>B07XYRKXHT,B08NZ6RP7L,B07FYXBHJ9,B08DKYBTPH,B07VM28XTR,B08H5F8KDZ,B08QKTXT1N,B07NBQX8HS,B07JBLY2D2,B085W3GN5J</t>
  </si>
  <si>
    <t>electronic air fryer</t>
  </si>
  <si>
    <t>电子空气炸锅</t>
  </si>
  <si>
    <t>$1.23</t>
  </si>
  <si>
    <t>$0.67-$1.85</t>
  </si>
  <si>
    <t>B09DYPNPV4</t>
  </si>
  <si>
    <t>B07N9786PZ</t>
  </si>
  <si>
    <t>B09SNZB4QP,B09GXJX252,B089D48NHM,B0861151N6,B09S6PCSXL,B089TQWJKK,B09FPK2W2J,B08SHR1QFS,B07N9786PZ,B08CDJRLHZ</t>
  </si>
  <si>
    <t>air fryer 4.8 qt</t>
  </si>
  <si>
    <t>空气炸锅 4.8 夸脱</t>
  </si>
  <si>
    <t>$1.17</t>
  </si>
  <si>
    <t>$0.87-$2.64</t>
  </si>
  <si>
    <t>$103.12</t>
  </si>
  <si>
    <t>B09DYL88HF</t>
  </si>
  <si>
    <t>B09BNH854T</t>
  </si>
  <si>
    <t>B095HCR6NM</t>
  </si>
  <si>
    <t>B08V57P86Z,B08WCLJ7JG,B097MK35TS,B0995LCFZF,B09DK811XG,B09GXJX252,B09J4C95PZ,B09KL5M6F1,B09KZFQSQK,B01L7TOZJO</t>
  </si>
  <si>
    <t>air frier cookers</t>
  </si>
  <si>
    <t>$0.50</t>
  </si>
  <si>
    <t>$0.33-$1.22</t>
  </si>
  <si>
    <t>B07FF117K7,B09X5BK8TF,B07GJBBGHG,B09FX9FM79,B086542G1M,B09CPJ4XT8,B08YS2ZZ97,B07VM28XTR,B0978M8136,B08CXQ3PW6</t>
  </si>
  <si>
    <t>blazant</t>
  </si>
  <si>
    <t>公然的</t>
  </si>
  <si>
    <t>$0.63-$1.53</t>
  </si>
  <si>
    <t>$151.86</t>
  </si>
  <si>
    <t>Home &amp; Kitchen&amp;Beauty &amp; Personal Care&amp;Health, Household &amp; Baby Care</t>
  </si>
  <si>
    <t>B09P15M6XR</t>
  </si>
  <si>
    <t>B0815KJCM1</t>
  </si>
  <si>
    <t>B09C8NVNK2</t>
  </si>
  <si>
    <t>B09C8NVNK2,B09GDT6VQX,B09P15M6XR,B00SNM5US4,B09H1CGRTV,B08HPQ384Y,B07VM28XTR,B097BKQCC5,B07R8GD47V,B0978M8136</t>
  </si>
  <si>
    <t>air frying pan</t>
  </si>
  <si>
    <t>空气煎锅</t>
  </si>
  <si>
    <t>$0.69</t>
  </si>
  <si>
    <t>$0.40-$0.76</t>
  </si>
  <si>
    <t>$56.18</t>
  </si>
  <si>
    <t>B07256H8D2</t>
  </si>
  <si>
    <t>B01N3JX20L,B07QHSZGXC,B089YSGMMG,B07VMHLTHC,B0777RJG6D,B0844JWL6Z,B09P9ST368,B094DXQMPL,B07VM28XTR,B019D1J9JY</t>
  </si>
  <si>
    <t>aikeidy</t>
  </si>
  <si>
    <t>合乎常理的</t>
  </si>
  <si>
    <t>$0.44</t>
  </si>
  <si>
    <t>$0.31-$0.66</t>
  </si>
  <si>
    <t>$18.99</t>
  </si>
  <si>
    <t>Electronics&amp;Beauty &amp; Personal Care&amp;Grocery &amp; Gourmet Food&amp;Sports &amp; Outdoors&amp;Health, Household &amp; Baby Care&amp;Home &amp; Kitchen&amp;Toys &amp; Games&amp;Video Games&amp;Clothing, Shoes &amp; Jewelry</t>
  </si>
  <si>
    <t>B0993H43N3</t>
  </si>
  <si>
    <t>B09GNDQP62,B0BGL34B84,B0B84WDB6S,B0BD4KM2G7,B09VKX948F,B0BD4LVTV2,B09VKWP6J8,B0B5KYPLCD,B0B595BXRD,B0BGLJVXBY</t>
  </si>
  <si>
    <t>hot air cooker</t>
  </si>
  <si>
    <t>热风锅</t>
  </si>
  <si>
    <t>$0.47</t>
  </si>
  <si>
    <t>$0.31-$1.01</t>
  </si>
  <si>
    <t>$51.53</t>
  </si>
  <si>
    <t>B01L7TOZJO</t>
  </si>
  <si>
    <t>B07T2LCKNF,B07GJBBGHG,B07NLHMYH4,B07VM1HQ87,B01L7TOZJO,B07VM28XTR,B09MVVFRL2,B08DM614SW,B08CF76S44,B09DYPNPV4</t>
  </si>
  <si>
    <t>air fiyer</t>
  </si>
  <si>
    <t>空气过滤器</t>
  </si>
  <si>
    <t>$99.18</t>
  </si>
  <si>
    <t>B095Y6S7Z9</t>
  </si>
  <si>
    <t>B09ZTTF9DD</t>
  </si>
  <si>
    <t>B08V57P86Z,B07VM1HQ87,B096N3FTZP,B09K6MK5VN,B07FDJMC9Q,B07GJBBGHG,B089TQWJKK,B08G5CH2HR,B0777RJG6D,B089LTCF59</t>
  </si>
  <si>
    <t>air fryer cooker</t>
  </si>
  <si>
    <t>$0.91-$1.78</t>
  </si>
  <si>
    <t>$126.34</t>
  </si>
  <si>
    <t>B096X9LGJ1</t>
  </si>
  <si>
    <t>B08WCLJ7JG,B07PPD1H64,B07S85TPLG,B07GJBBGHG,B07G3V9K17,B07FF117K7,B09QQC98ND,B08L3SW8DZ,B09S2WHD7D,B09QQC98ND</t>
  </si>
  <si>
    <t>air fryers best seller prime deal of the day ninja</t>
  </si>
  <si>
    <t>空气炸锅畅销忍者当日特卖</t>
  </si>
  <si>
    <t>$132.58</t>
  </si>
  <si>
    <t>B085VLP425,B092HNJS6X,B097MK35TS,B09MVVFRL2,B07W67NQMN,B08FMT6N24,B08L39951F,B08SJ6L9MT,B099XDB3HP,B09HKM5SVD</t>
  </si>
  <si>
    <t>air frer</t>
  </si>
  <si>
    <t>$0.55-$1.05</t>
  </si>
  <si>
    <t>$91.32</t>
  </si>
  <si>
    <t>B0936FGLQS,B07GJBBGHG,B07FDJMC9Q,B089TQWJKK,B09BJJ5PQ5,B07FF117K7</t>
  </si>
  <si>
    <t>tower air fryer</t>
  </si>
  <si>
    <t>塔式空气炸锅</t>
  </si>
  <si>
    <t>$0.83-$1.75</t>
  </si>
  <si>
    <t>$161.49</t>
  </si>
  <si>
    <t>B09K6MK5VN</t>
  </si>
  <si>
    <t>B07FDJMC9Q,B0815KPZVB,B08X24LS5V,B0B59D1J98,B0B2D89LT8,B09K6MK5VN,B08DL8WH9V,B09KNBHWSJ</t>
  </si>
  <si>
    <t>heißluftfritteuse</t>
  </si>
  <si>
    <t>$2.20</t>
  </si>
  <si>
    <t>$1.64-$2.75</t>
  </si>
  <si>
    <t>$99.68</t>
  </si>
  <si>
    <t>B08GPPMK8W</t>
  </si>
  <si>
    <t>B07GJBBGHG,B0978M8136,B07VM28XTR,B089TQWJKK,B07FDJMC9Q,B0777RJG6D,B08SJ6L9MT,B085W3GN5J,B0815KJCM1,B08QKTXT1N</t>
  </si>
  <si>
    <t>oven airfryer</t>
  </si>
  <si>
    <t>烤箱 空气炸药</t>
  </si>
  <si>
    <t>$1.04</t>
  </si>
  <si>
    <t>$0.75-$1.22</t>
  </si>
  <si>
    <t>B01K0W8LTE</t>
  </si>
  <si>
    <t>B07PH44BJS</t>
  </si>
  <si>
    <t>B08K8T3W2V,B07VM28XTR,B0949DJ2LN,B08CW95ZFR,B085FTBLC6,B08DL8WH9V,B07W67NQMN,B0B4W7ZQYD,B08ZKGN24Z,B08BXXQ37X</t>
  </si>
  <si>
    <t>instapot air fryer accessory</t>
  </si>
  <si>
    <t>instapot 空气炸锅配件</t>
  </si>
  <si>
    <t>$0.76</t>
  </si>
  <si>
    <t>$0.57-$0.95</t>
  </si>
  <si>
    <t>$47.27</t>
  </si>
  <si>
    <t>B08HYLZBHT</t>
  </si>
  <si>
    <t>B07VS447SB</t>
  </si>
  <si>
    <t>B09PH2XNL8,B09B4G3DW5,B08R6KMBQT,B08V57P86Z,B07MYWTLRL,B07RM1VJSN,B07YB58JZR,B089Q8BV1B,B07VM1HQ87,B09495RRSQ</t>
  </si>
  <si>
    <t>图片</t>
  </si>
  <si>
    <t>ASIN</t>
  </si>
  <si>
    <t>PASIN</t>
  </si>
  <si>
    <t>SKU</t>
  </si>
  <si>
    <t>URL</t>
  </si>
  <si>
    <t>商品主图</t>
  </si>
  <si>
    <t>品牌</t>
  </si>
  <si>
    <t>商品标题</t>
  </si>
  <si>
    <t>标题(翻译)</t>
  </si>
  <si>
    <t>亚马逊标识</t>
  </si>
  <si>
    <t>类目路径</t>
  </si>
  <si>
    <t>大类目</t>
  </si>
  <si>
    <t>大类BSR</t>
  </si>
  <si>
    <t>小类目</t>
  </si>
  <si>
    <t>小类BSR</t>
  </si>
  <si>
    <t>近30天销量</t>
  </si>
  <si>
    <t>近30天销售额($)</t>
  </si>
  <si>
    <t>价格($)</t>
  </si>
  <si>
    <t>毛利率</t>
  </si>
  <si>
    <t>FBA($)</t>
  </si>
  <si>
    <t>评分</t>
  </si>
  <si>
    <t>留评率</t>
  </si>
  <si>
    <t>月新增
评分数</t>
  </si>
  <si>
    <t>Q&amp;A数</t>
  </si>
  <si>
    <t>评级</t>
  </si>
  <si>
    <t>上架时间</t>
  </si>
  <si>
    <t>上架天数</t>
  </si>
  <si>
    <t>变体数</t>
  </si>
  <si>
    <t>卖家数</t>
  </si>
  <si>
    <t>Buybox卖家</t>
  </si>
  <si>
    <t>卖家所属地</t>
  </si>
  <si>
    <t>卖家信息</t>
  </si>
  <si>
    <t>配送方式</t>
  </si>
  <si>
    <t>重量</t>
  </si>
  <si>
    <t>体积</t>
  </si>
  <si>
    <t>https://www.amazon.com/dp/B07FDJMC9Q?psc=1</t>
  </si>
  <si>
    <t>https://images-na.ssl-images-amazon.com/images/I/31MBSKiZOPL._AC_US600_.jpg</t>
  </si>
  <si>
    <t>Ninja</t>
  </si>
  <si>
    <t>Ninja AF101 Air Fryer that Crisps, Roasts, Reheats, &amp; Dehydrates, for Quick, Easy Meals, 4 Quart Capacity, &amp; High Gloss Finis</t>
  </si>
  <si>
    <t>Ninja AF101 空气炸锅，可脆化、烘烤、再加热和脱水，可快速、轻松地进餐，容量为 4 夸脱，表面光洁度高</t>
  </si>
  <si>
    <t>BS</t>
  </si>
  <si>
    <t>Home &amp; Kitchen:Kitchen &amp; Dining:Small Appliances:Fryers:Air Fryers</t>
  </si>
  <si>
    <t>Kitchen &amp; Dining</t>
  </si>
  <si>
    <t>Air Fryers</t>
  </si>
  <si>
    <t>1</t>
  </si>
  <si>
    <t>C</t>
  </si>
  <si>
    <t>2018-08-13</t>
  </si>
  <si>
    <t>NA</t>
  </si>
  <si>
    <t>10.58 pounds</t>
  </si>
  <si>
    <t>8.5 x 12.1 x 11 inches</t>
  </si>
  <si>
    <t>https://www.amazon.com/dp/B0936FGLQS?psc=1</t>
  </si>
  <si>
    <t>https://images-na.ssl-images-amazon.com/images/I/4148pXjT5JL._AC_US600_.jpg</t>
  </si>
  <si>
    <t>COSORI</t>
  </si>
  <si>
    <t>COSORI Air Fryer Pro LE 5-Quart, 9 Functions in 1 with Shake Reminder, UP to 450℉ for Oil-Free Crispy Results, Tempered Glass</t>
  </si>
  <si>
    <t>COSORI 空气炸锅 Pro LE 5 夸脱，9 种功能合一，带摇动提醒，高达 450 华氏度以获得无油酥脆效果，钢化玻璃</t>
  </si>
  <si>
    <t>BS A+</t>
  </si>
  <si>
    <t>2</t>
  </si>
  <si>
    <t>2021-08-22</t>
  </si>
  <si>
    <t>Amazon</t>
  </si>
  <si>
    <t>12 pounds</t>
  </si>
  <si>
    <t>10.8 x 14.4 x 12 inches</t>
  </si>
  <si>
    <t>https://www.amazon.com/dp/B07VM28XTR?psc=1</t>
  </si>
  <si>
    <t>https://images-na.ssl-images-amazon.com/images/I/517ZDIeX2AL._AC_US600_.jpg</t>
  </si>
  <si>
    <t>Instant Pot</t>
  </si>
  <si>
    <t>Instant Vortex Plus 10-Quart Air Fryer, From the Makers of Instant Pot, 7-in-10 Functions, with EvenCrisp Technology, App wit</t>
  </si>
  <si>
    <t>Instant Vortex Plus 10 夸脱空气炸锅，来自 Instant Pot 制造商，7 合 10 功能，采用 EvenCrisp 技术，App wit</t>
  </si>
  <si>
    <t>4</t>
  </si>
  <si>
    <t>D</t>
  </si>
  <si>
    <t>2019-08-20</t>
  </si>
  <si>
    <t>19 pounds</t>
  </si>
  <si>
    <t>13.2 x 13.2 x 14.4 inches</t>
  </si>
  <si>
    <t>https://www.amazon.com/dp/B096N3FTZP?psc=1</t>
  </si>
  <si>
    <t>https://images-na.ssl-images-amazon.com/images/I/411xmojvHOL._AC_US600_.jpg</t>
  </si>
  <si>
    <t>Instant Vortex Plus 6-Quart Air Fryer Oven, From the Makers of Instant Pot with ClearCook Cooking Window, Digital Touchscreen</t>
  </si>
  <si>
    <t>Instant Vortex Plus 6 夸脱空气炸锅烤箱，来自带 ClearCook 烹饪窗口、数字触摸屏的 Instant Pot 制造商</t>
  </si>
  <si>
    <t>Air Fryers
Baking Parchment</t>
  </si>
  <si>
    <t>3
5</t>
  </si>
  <si>
    <t>2021-06-04</t>
  </si>
  <si>
    <t>14.63 pounds</t>
  </si>
  <si>
    <t>12.8 x 11.8 x 14.9 inches</t>
  </si>
  <si>
    <t>https://www.amazon.com/dp/B085W3GN5J?psc=1</t>
  </si>
  <si>
    <t>https://images-na.ssl-images-amazon.com/images/I/41sxpx4irVL._AC_US600_.jpg</t>
  </si>
  <si>
    <t>COSORI Pro II Air Fryer Oven Combo, 5.8QT Max Xl Large Cooker with 12 One-Touch Savable Custom Functions, Cookbook and Online</t>
  </si>
  <si>
    <t>COSORI Pro II 空气炸锅烤箱组合，5.8QT Max Xl 大型炊具，带 12 种一键式可保存自定义功能、食谱和在线</t>
  </si>
  <si>
    <t>AC BS A+</t>
  </si>
  <si>
    <t>Home &amp; Kitchen:Kitchen &amp; Dining:Small Appliances:Fryers:Deep Fryers</t>
  </si>
  <si>
    <t>Deep Fryers
Air Fryers</t>
  </si>
  <si>
    <t>1
5</t>
  </si>
  <si>
    <t>2020-05-26</t>
  </si>
  <si>
    <t>12.3 pounds</t>
  </si>
  <si>
    <t>11.8 x 13.9 x 12 inches</t>
  </si>
  <si>
    <t>https://www.amazon.com/dp/B08R6KMBQT?psc=1</t>
  </si>
  <si>
    <t>https://images-na.ssl-images-amazon.com/images/I/41WAoH5H6NL._AC_US600_.jpg</t>
  </si>
  <si>
    <t>Instant Vortex Plus 6-in-1, 4QT Air Fryer Oven, From the Makers of Instant Pot with Customizable Smart Cooking Programs, Nons</t>
  </si>
  <si>
    <t>Instant Vortex Plus 6 合 1、4QT 空气炸锅烤箱，来自具有可定制智能烹饪程序的 Instant Pot 制造商，非</t>
  </si>
  <si>
    <t>Commercial Deep Fryers
Air Fryers
Kitchen Cookware</t>
  </si>
  <si>
    <t>1
6
19</t>
  </si>
  <si>
    <t>2020-07-12</t>
  </si>
  <si>
    <t>9 pounds</t>
  </si>
  <si>
    <t>10.2 x 13 x 11 inches</t>
  </si>
  <si>
    <t>https://www.amazon.com/dp/B096X9LGJ1?psc=1</t>
  </si>
  <si>
    <t>https://images-na.ssl-images-amazon.com/images/I/31VZzB+Y2+L._AC_US600_.jpg</t>
  </si>
  <si>
    <t>Ninja DZ401 Foodi 10 Quart 6-in-1 DualZone XL 2-Basket Air Fryer with 2 Independent Frying Baskets, Match Cook &amp; Smart Finish</t>
  </si>
  <si>
    <t>Ninja DZ401 Foodi 10 夸脱 6 合 1 DualZone XL 2 篮空气炸锅带 2 个独立炸篮、Match Cook 和 Smart Finish</t>
  </si>
  <si>
    <t>7</t>
  </si>
  <si>
    <t>2021-07-30</t>
  </si>
  <si>
    <t>19.8 pounds</t>
  </si>
  <si>
    <t>17.1 x 13.9 x 12.8 inches</t>
  </si>
  <si>
    <t>B0BLYJZZ87</t>
  </si>
  <si>
    <t>https://www.amazon.com/dp/B0BLYJZZ87?psc=1</t>
  </si>
  <si>
    <t>https://m.media-amazon.com/images/I/51gVe2W29nL._AC_US600_.jpg</t>
  </si>
  <si>
    <t>LOTTELI KITCHEN</t>
  </si>
  <si>
    <t>LOTTELI KITCHEN Air Fryer &amp; Pressure Cooker Magnetic Cheat Sheet Set, Air Fryer Accessories Cook Times, Instapot Accessory Ma</t>
  </si>
  <si>
    <t>LOTTELI KITCHEN 空气炸锅和压力锅磁性备忘单套装，空气炸锅配件 Cook Times，Instapot 配件 Ma</t>
  </si>
  <si>
    <t>AC BS</t>
  </si>
  <si>
    <t>Home &amp; Kitchen:Kitchen &amp; Dining:Small Appliance Parts &amp; Accessories:Deep Fryer Parts &amp; Accessories</t>
  </si>
  <si>
    <t>Deep Fryer Parts &amp; Accessories</t>
  </si>
  <si>
    <t>2021-03-18</t>
  </si>
  <si>
    <t>8.1 ounces</t>
  </si>
  <si>
    <t>10.5 x 6.5 x 0.2 inches</t>
  </si>
  <si>
    <t>https://www.amazon.com/dp/B0815KJCM1?psc=1</t>
  </si>
  <si>
    <t>https://images-na.ssl-images-amazon.com/images/I/41ZQmtXww2L._AC_US600_.jpg</t>
  </si>
  <si>
    <t>DASH</t>
  </si>
  <si>
    <t>DASH Tasti-Crisp™ Electric Air Fryer Oven Cooker with Temperature Control, Non-Stick Fry Basket, Recipe Guide + Auto Shut Off</t>
  </si>
  <si>
    <t>DASH Tasti-Crisp™ 电动空气炸锅烤箱炊具带温度控制、不粘炸篮、食谱指南 + 自动关闭</t>
  </si>
  <si>
    <t>AC A+</t>
  </si>
  <si>
    <t>9</t>
  </si>
  <si>
    <t>2019-11-07</t>
  </si>
  <si>
    <t>1 pounds</t>
  </si>
  <si>
    <t>10.7 x 8.7 x 11.3 inches</t>
  </si>
  <si>
    <t>B074VJVKH5</t>
  </si>
  <si>
    <t>https://www.amazon.com/dp/B074VJVKH5?psc=1</t>
  </si>
  <si>
    <t>https://images-na.ssl-images-amazon.com/images/I/51AXChaatIL._AC_US600_.jpg</t>
  </si>
  <si>
    <t>GOTHAM STEEL</t>
  </si>
  <si>
    <t>Gotham Steel Air Fryer Tray, Air Fry Basket for Oven, 2 Piece Nonstick Copper Crisper Tray, Air Fry for Convection Oven, Also</t>
  </si>
  <si>
    <t>Gotham Steel 空气炸锅托盘，烤箱空气炸锅篮，2 件不粘铜保鲜盘，对流烤箱空气炸锅，还有</t>
  </si>
  <si>
    <t>Bakeware Sets
Air Fryers</t>
  </si>
  <si>
    <t>2
9</t>
  </si>
  <si>
    <t>B</t>
  </si>
  <si>
    <t>2017-03-10</t>
  </si>
  <si>
    <t>2 pounds</t>
  </si>
  <si>
    <t>12.5 x 16.5 x 4 inches</t>
  </si>
  <si>
    <t>B09MR49K1D</t>
  </si>
  <si>
    <t>https://www.amazon.com/dp/B09MR49K1D?psc=1</t>
  </si>
  <si>
    <t>https://images-na.ssl-images-amazon.com/images/I/4176C1ZTLJL._AC_US600_.jpg</t>
  </si>
  <si>
    <t>Gourmia</t>
  </si>
  <si>
    <t>Gourmia Air Fryer Oven Digital Display 6 Quart Large AirFryer Cooker 12 1-Touch Cooking Presets, XL Air Fryer Basket 1500w Po</t>
  </si>
  <si>
    <t>Gourmia 空气炸锅烤箱数字显示 6 夸脱大型空气炸锅炊具 12 一键式烹饪预设，XL 空气炸锅篮 1500w Po</t>
  </si>
  <si>
    <t>10</t>
  </si>
  <si>
    <t>2021-11-29</t>
  </si>
  <si>
    <t>8.81 pounds</t>
  </si>
  <si>
    <t>13.6 x 11.5 x 13.2 inches</t>
  </si>
  <si>
    <t>https://www.amazon.com/dp/B089TQWJKK?psc=1</t>
  </si>
  <si>
    <t>https://images-na.ssl-images-amazon.com/images/I/31rlJFuHaWL._AC_US600_.jpg</t>
  </si>
  <si>
    <t>Ninja DZ201 Foodi 8 Quart 6-in-1 DualZone 2-Basket Air Fryer with 2 Independent Frying Baskets, Match Cook &amp; Smart Finish to</t>
  </si>
  <si>
    <t>Ninja DZ201 Foodi 8 夸脱 6 合 1 DualZone 2 篮式空气炸锅，带 2 个独立炸篮，Match Cook &amp;amp; Smart Finish</t>
  </si>
  <si>
    <t>11</t>
  </si>
  <si>
    <t>2020-09-01</t>
  </si>
  <si>
    <t>17.86 pounds</t>
  </si>
  <si>
    <t>13.9 x 15.6 x 12.4 inches</t>
  </si>
  <si>
    <t>https://www.amazon.com/dp/B075X3287P?psc=1</t>
  </si>
  <si>
    <t>https://images-na.ssl-images-amazon.com/images/I/41kv0O2RO5L._AC_US600_.jpg</t>
  </si>
  <si>
    <t>Nuwave</t>
  </si>
  <si>
    <t>Nuwave Brio 7-in-1 Air Fryer Oven, 7.25-Qt with One-Touch Digital Controls, 50°- 400°F Temperature Controls in 5° Increments,</t>
  </si>
  <si>
    <t>Nuwave Brio 7 合 1 空气炸锅烤箱，7.25 夸脱，带一键式数字控制，50°- 400°F 温度控制，增量为 5°，</t>
  </si>
  <si>
    <t>A+</t>
  </si>
  <si>
    <t>13</t>
  </si>
  <si>
    <t>2017-09-25</t>
  </si>
  <si>
    <t>14.6 pounds</t>
  </si>
  <si>
    <t>9 x 9 x 12.5 inches</t>
  </si>
  <si>
    <t>https://www.amazon.com/dp/B07SCGY2H6?psc=1</t>
  </si>
  <si>
    <t>https://images-na.ssl-images-amazon.com/images/I/51lqoRxpKAL._AC_US600_.jpg</t>
  </si>
  <si>
    <t>Ninja SP101 Digital Air Fry Countertop Oven with 8-in-1 Functionality, Flip Up &amp; Away Capability for Storage Space, with Air</t>
  </si>
  <si>
    <t>Ninja SP101 数字气炸台面烤箱，具有 8 合 1 功能，可翻转存储空间，带空气</t>
  </si>
  <si>
    <t>2019-07-25</t>
  </si>
  <si>
    <t>18.56 pounds</t>
  </si>
  <si>
    <t>19.7 x 7.6 x 15 inches</t>
  </si>
  <si>
    <t>B0B6ZXKNJN</t>
  </si>
  <si>
    <t>B0BKZZZ7J2</t>
  </si>
  <si>
    <t>Color: Sage Green</t>
  </si>
  <si>
    <t>https://www.amazon.com/dp/B0B6ZXKNJN?psc=1</t>
  </si>
  <si>
    <t>https://images-na.ssl-images-amazon.com/images/I/41FSF9nXbwL._AC_US600_.jpg</t>
  </si>
  <si>
    <t>FABULETTA</t>
  </si>
  <si>
    <t>Air Fryer, Fabuletta 9 Customizable Smart Cooking Programs Compact 4QT Air Fryers, Shake Reminder, 450°F Digital Airfryer,Tempered Glass Display, Dishwasher-Safe &amp; Nonstick, Fit for 2-4 People</t>
  </si>
  <si>
    <t>空气炸锅，Fabuletta 9 种可定制的智能烹饪程序紧凑型 4 夸脱空气炸锅，摇动提醒，450°F 数字空气炸锅，钢化玻璃显示屏，可用洗碗机清洗且不粘锅，适合 2-4 人</t>
  </si>
  <si>
    <t>17</t>
  </si>
  <si>
    <t>2022-06-09</t>
  </si>
  <si>
    <t>charmantroom</t>
  </si>
  <si>
    <t>FBA</t>
  </si>
  <si>
    <t>12.7 x 12.7 x 13.8 inches</t>
  </si>
  <si>
    <t>https://www.amazon.com/dp/B07S6529ZZ?psc=1</t>
  </si>
  <si>
    <t>https://images-na.ssl-images-amazon.com/images/I/31LS4+++HlL._AC_US600_.jpg</t>
  </si>
  <si>
    <t>Ninja AF161 Max XL Air Fryer that Cooks, Crisps, Roasts, Bakes, Reheats and Dehydrates, with 5.5 Quart Capacity, and a High G</t>
  </si>
  <si>
    <t>Ninja AF161 Max XL 空气炸锅，可烹饪、薯片、烘烤、烘烤、再加热和脱水，具有 5.5 夸脱容量和高 G</t>
  </si>
  <si>
    <t>AC</t>
  </si>
  <si>
    <t>2019-07-05</t>
  </si>
  <si>
    <t>11 pounds</t>
  </si>
  <si>
    <t>14 x 11 x 14.8 inches</t>
  </si>
  <si>
    <t>B0B59D1J98</t>
  </si>
  <si>
    <t>https://www.amazon.com/dp/B0B59D1J98?psc=1</t>
  </si>
  <si>
    <t>https://images-na.ssl-images-amazon.com/images/I/41R9UEekBML._AC_US600_.jpg</t>
  </si>
  <si>
    <t>COSORI Air Fryer Toaster Oven Combo, 10 Qt Family Size 14-in-1 Functions (1000+ APP Recipes), Dishwasher-Safe Accessories wit</t>
  </si>
  <si>
    <t>COSORI 空气炸锅烤箱组合，10 夸脱家庭装 14 合 1 功能（1000 多种应用程序食谱），可放入洗碗机清洗的配件</t>
  </si>
  <si>
    <t>AC BS NR A+</t>
  </si>
  <si>
    <t>16</t>
  </si>
  <si>
    <t>2022-07-19</t>
  </si>
  <si>
    <t>21.2 pounds</t>
  </si>
  <si>
    <t>13.5 x 12.7 x 14.9 inches</t>
  </si>
  <si>
    <t>https://www.amazon.com/dp/B096N28SZP?psc=1</t>
  </si>
  <si>
    <t>https://images-na.ssl-images-amazon.com/images/I/41Tiw9rl9aL._AC_US600_.jpg</t>
  </si>
  <si>
    <t>Instant Vortex Plus 6-Quart Air Fryer Oven, From the Makers of Instant Pot with Odor Erase Technology, ClearCook Cooking Wind</t>
  </si>
  <si>
    <t>Instant Vortex Plus 6 夸脱空气炸锅烤箱，来自具有除臭技术的 Instant Pot 制造商，ClearCook Cooking Wind</t>
  </si>
  <si>
    <t>15</t>
  </si>
  <si>
    <t>16.24 pounds</t>
  </si>
  <si>
    <t>13.8 x 11.8 x 13.4 inches</t>
  </si>
  <si>
    <t>https://www.amazon.com/dp/B09B7SB46R?psc=1</t>
  </si>
  <si>
    <t>https://images-na.ssl-images-amazon.com/images/I/511xSzv8yRL._AC_US600_.jpg</t>
  </si>
  <si>
    <t>Emeril Everyday</t>
  </si>
  <si>
    <t>Emeril Lagasse 26 QT Extra Large Air Fryer, Convection Toaster Oven with French Doors, Stainless Steel</t>
  </si>
  <si>
    <t>Emeril Lagasse 26 QT 超大空气炸锅，带法式门的对流烤箱，不锈钢</t>
  </si>
  <si>
    <t>Air Fryers
Unique Kitchen</t>
  </si>
  <si>
    <t>20
20</t>
  </si>
  <si>
    <t>2021-07-26</t>
  </si>
  <si>
    <t>Innovation IQ</t>
  </si>
  <si>
    <t xml:space="preserve">公司名称：Spectrum Brands, Inc
办公地址：
2620 Westview Drive
</t>
  </si>
  <si>
    <t>29.7 pounds</t>
  </si>
  <si>
    <t>15 x 20 x 20 inches</t>
  </si>
  <si>
    <t>B0BDG5T19F</t>
  </si>
  <si>
    <t>https://www.amazon.com/dp/B0BDG5T19F?psc=1</t>
  </si>
  <si>
    <t>https://images-na.ssl-images-amazon.com/images/I/5114QyaSorL._AC_US600_.jpg</t>
  </si>
  <si>
    <t>Palksky</t>
  </si>
  <si>
    <t>Silicone Air Fryer Basket Liners Square - 2Pcs Reusable Air Fryer Silicone Pots for Food Safe Air fryers Oven Accessories(8.1</t>
  </si>
  <si>
    <t>硅胶空气炸锅篮衬垫方形 - 2 件可重复使用空气炸锅硅胶锅食品安全空气炸锅烤箱配件（8.1</t>
  </si>
  <si>
    <t>NR</t>
  </si>
  <si>
    <t>21</t>
  </si>
  <si>
    <t>2022-09-07</t>
  </si>
  <si>
    <t>1.01 pounds</t>
  </si>
  <si>
    <t>8.66 x 7.56 x 2.09 inches</t>
  </si>
  <si>
    <t>https://www.amazon.com/dp/B0BGM4JY9G?psc=1</t>
  </si>
  <si>
    <t>https://images-na.ssl-images-amazon.com/images/I/51m3RCjOtoL._AC_US600_.jpg</t>
  </si>
  <si>
    <t>COSORI Air Fryer Toaster Oven Combo, 12-in-1 Convection Ovens Countertop, Stainless Steel, Smart, 6-Slice Toast, 12-inch Pizz</t>
  </si>
  <si>
    <t>COSORI 空气炸锅烤箱组合，12 合 1 对流烤箱台面，不锈钢，智能，6 片吐司，12 英寸披萨</t>
  </si>
  <si>
    <t>Rotisseries &amp; Roasters
Air Fryers</t>
  </si>
  <si>
    <t>1
19</t>
  </si>
  <si>
    <t>2021-03-02</t>
  </si>
  <si>
    <t>21.6 pounds</t>
  </si>
  <si>
    <t>16.3 x 16.9 x 15.5 inches</t>
  </si>
  <si>
    <t>B08DKYBTPH</t>
  </si>
  <si>
    <t>https://www.amazon.com/dp/B08DKYBTPH?psc=1</t>
  </si>
  <si>
    <t>https://images-na.ssl-images-amazon.com/images/I/41qabW46GoL._AC_US600_.jpg</t>
  </si>
  <si>
    <t>Chefman</t>
  </si>
  <si>
    <t>CHEFMAN Large Air Fryer Max XL 8 Qt, Healthy Cooking, User Friendly, Nonstick Stainless Steel, Digital Touch Screen with 4 Co</t>
  </si>
  <si>
    <t>CHEFMAN 大型空气炸锅 Max XL 8 Qt，健康烹饪，用户友好，不粘不锈钢，带 4 Co 的数字触摸屏</t>
  </si>
  <si>
    <t>22</t>
  </si>
  <si>
    <t>2020-08-20</t>
  </si>
  <si>
    <t>12.8 pounds</t>
  </si>
  <si>
    <t>12.8 x 13.5 x 10 inches</t>
  </si>
  <si>
    <t>B082JWBBXB</t>
  </si>
  <si>
    <t>https://www.amazon.com/dp/B082JWBBXB?psc=1</t>
  </si>
  <si>
    <t>https://images-na.ssl-images-amazon.com/images/I/415CVTfKbfL._AC_US600_.jpg</t>
  </si>
  <si>
    <t>Elite Gourmet</t>
  </si>
  <si>
    <t>Elite Gourmet EAF-0201 Personal 2.1 Qt. Compact Space Saving Electric Hot Air Fryer Oil-Less Healthy Cooker, Timer &amp; Temperat</t>
  </si>
  <si>
    <t>精英美食 EAF-0201 个人 2.1 夸脱。 紧凑型节省空间的电热空气炸锅无油健康炊具、定时器和温度</t>
  </si>
  <si>
    <t>23</t>
  </si>
  <si>
    <t>2019-12-09</t>
  </si>
  <si>
    <t>6.64 pounds</t>
  </si>
  <si>
    <t>11 x 8.5 x 10.7 inches</t>
  </si>
  <si>
    <t>https://www.amazon.com/dp/B08DL8WH9V?psc=1</t>
  </si>
  <si>
    <t>https://images-na.ssl-images-amazon.com/images/I/51LYB9lQdLL._AC_US600_.jpg</t>
  </si>
  <si>
    <t>CHEFMAN Multifunctional Digital Air Fryer+ Rotisserie, Dehydrator, Convection Oven, 17 Touch Screen Presets Fry, Roast, Dehyd</t>
  </si>
  <si>
    <t>CHEFMAN 多功能数字空气炸锅 + 烤肉店、脱水机、对流烤箱、17 种触摸屏预设油炸、烤、脱水</t>
  </si>
  <si>
    <t>14.2 pounds</t>
  </si>
  <si>
    <t>11.8 x 12.2 x 14.6 inches</t>
  </si>
  <si>
    <t>B07S85TPLG</t>
  </si>
  <si>
    <t>https://www.amazon.com/dp/B07S85TPLG?psc=1</t>
  </si>
  <si>
    <t>https://images-na.ssl-images-amazon.com/images/I/41hLUQwvoaL._AC_US600_.jpg</t>
  </si>
  <si>
    <t>Ninja FD401 Foodi 12-in-1 Deluxe XL 8 qt. Pressure Cooker &amp; Air Fryer that Steams, Slow Cooks, Sears, Sautés, Dehydrates &amp; Mo</t>
  </si>
  <si>
    <t xml:space="preserve"> Ninja FD401 Foodi 12 合 1 Deluxe XL 8 夸脱。 高压锅和空气炸锅，可蒸、慢煮、西尔斯、炒、脱水和 Mo</t>
  </si>
  <si>
    <t>25</t>
  </si>
  <si>
    <t>2019-07-26</t>
  </si>
  <si>
    <t>26.04 pounds</t>
  </si>
  <si>
    <t>16.1 x 14.6 x 14.2 inches</t>
  </si>
  <si>
    <t>B09HKM5SVD</t>
  </si>
  <si>
    <t>https://www.amazon.com/dp/B09HKM5SVD?psc=1</t>
  </si>
  <si>
    <t>https://images-na.ssl-images-amazon.com/images/I/41nAgEWFdGL._AC_US600_.jpg</t>
  </si>
  <si>
    <t>Toshiba</t>
  </si>
  <si>
    <t>TOSHIBA 6-in-1 Inverter Microwave Oven Air Fryer Combo, Countertop Microwave, Healthy Air Fryer, Broil, Convection, Speedy Co</t>
  </si>
  <si>
    <t>东芝 6 合 1 变频微波炉空气炸锅组合、台面微波炉、健康空气炸锅、烤、对流、Speedy Co</t>
  </si>
  <si>
    <t>24</t>
  </si>
  <si>
    <t>A</t>
  </si>
  <si>
    <t>2021-10-08</t>
  </si>
  <si>
    <t>28.7 pounds</t>
  </si>
  <si>
    <t>19.5 x 17.6 x 11.5 inches</t>
  </si>
  <si>
    <t>https://www.amazon.com/dp/B07NLHMYH4?psc=1</t>
  </si>
  <si>
    <t>https://images-na.ssl-images-amazon.com/images/I/51DUgyoMOhL._AC_US600_.jpg</t>
  </si>
  <si>
    <t>Emeril Lagasse</t>
  </si>
  <si>
    <t>Emeril Lagasse Power Air Fryer 360 Better Than Convection Ovens Hot Air Fryer Oven, Toaster Oven, Bake, Broil, Slow Cook and</t>
  </si>
  <si>
    <t>Emeril Lagasse Power Air Fryer 360 比对流烤箱更好</t>
  </si>
  <si>
    <t>27</t>
  </si>
  <si>
    <t>2019-02-11</t>
  </si>
  <si>
    <t>TienditaGarza</t>
  </si>
  <si>
    <t>US</t>
  </si>
  <si>
    <t xml:space="preserve">公司名称：TIENDITAGARZA
办公地址：
25 Deming Street
South Windsor
CT
06074
US
</t>
  </si>
  <si>
    <t>15 pounds</t>
  </si>
  <si>
    <t>20 x 15 x 10 inches</t>
  </si>
  <si>
    <t>https://www.amazon.com/dp/B07NBQX8HS?psc=1</t>
  </si>
  <si>
    <t>https://images-na.ssl-images-amazon.com/images/I/415DRxbG3pL._AC_US600_.jpg</t>
  </si>
  <si>
    <t>CHEFMAN Small, Compact Air Fryer Healthy Cooking, 2 Qt, Nonstick, User Friendly and Adjustable Temperature Control w/ 60 Minu</t>
  </si>
  <si>
    <t>CHEFMAN 小型紧凑型空气炸锅健康烹饪，2 夸脱，不粘锅，用户友好且可调节温度控制，带 60 分钟</t>
  </si>
  <si>
    <t>2019-02-01</t>
  </si>
  <si>
    <t>5.69 pounds</t>
  </si>
  <si>
    <t>9.8 x 9.8 x 12.5 inches</t>
  </si>
  <si>
    <t>B0BDFRZX3F</t>
  </si>
  <si>
    <t>https://www.amazon.com/dp/B0BDFRZX3F?psc=1</t>
  </si>
  <si>
    <t>https://m.media-amazon.com/images/W/IMAGERENDERING_521856-T1/images/I/3196QeAvkXL._AC_US600_.jpg</t>
  </si>
  <si>
    <t>COSORI Small Air Fryer Oven 2.1 Qt, 4-in-1 Mini Airfryer, Bake, Roast, Reheat, Space-saving &amp; Low-noise, Nonstick and Dishwas</t>
  </si>
  <si>
    <t>COSORI 小型空气炸锅烤箱 2.1 夸脱、4 合 1 迷你空气炸锅、烘烤、烘烤、再加热、节省空间和低噪音、不粘锅和洗碗机</t>
  </si>
  <si>
    <t>2023-03-17</t>
  </si>
  <si>
    <t>4.87 Pounds</t>
  </si>
  <si>
    <t>10.1"D x 8.3"W x 10.5"H</t>
  </si>
  <si>
    <t>B08SJ6L9MT</t>
  </si>
  <si>
    <t>https://www.amazon.com/dp/B08SJ6L9MT?psc=1</t>
  </si>
  <si>
    <t>https://images-na.ssl-images-amazon.com/images/I/31HerJYQxzL._AC_US600_.jpg</t>
  </si>
  <si>
    <t>PHILIPS</t>
  </si>
  <si>
    <t>Philips 3000 Series Air Fryer Essential Compact with Rapid Air Technology, 13-in-1 Cooking Functions to Fry, Bake, Grill, Roa</t>
  </si>
  <si>
    <t>飞利浦 3000 系列空气炸锅 Essential Compact 采用 Rapid Air 技术，13 合 1 烹饪功能，可煎、烤、烤、烤</t>
  </si>
  <si>
    <t>32</t>
  </si>
  <si>
    <t>2021-04-01</t>
  </si>
  <si>
    <t>10 pounds</t>
  </si>
  <si>
    <t>13.1 x 13.1 x 13.8 inches</t>
  </si>
  <si>
    <t>https://www.amazon.com/dp/B0872DQV7Z?psc=1</t>
  </si>
  <si>
    <t>https://images-na.ssl-images-amazon.com/images/I/51RjObEKN4L._AC_US600_.jpg</t>
  </si>
  <si>
    <t>Kalorik</t>
  </si>
  <si>
    <t>Kalorik® MAXX® Digital Air Fryer Oven, 26 Quart, 10-in-1 Countertop Toaster Oven &amp; Air Fryer Combo-21 Presets up to 500 degre</t>
  </si>
  <si>
    <t>Kalorik® MAXX® 数字空气炸锅烤箱，26 夸脱，10 合 1 工作台面烤面包机烤箱和空气炸锅组合 21 预设高达 500 度</t>
  </si>
  <si>
    <t>29</t>
  </si>
  <si>
    <t>2020-04-07</t>
  </si>
  <si>
    <t>Kalorik LLC</t>
  </si>
  <si>
    <t xml:space="preserve">公司名称：Kalorik LLC
办公地址：
16175 NW 49th Avenue
Miami Gardens
FL
33014
US
</t>
  </si>
  <si>
    <t>17.2 pounds</t>
  </si>
  <si>
    <t>15.7 x 12.5 x 14 inches</t>
  </si>
  <si>
    <t>https://www.amazon.com/dp/B07FF117K7?psc=1</t>
  </si>
  <si>
    <t>https://images-na.ssl-images-amazon.com/images/I/41OVlRD-CtL._AC_US600_.jpg</t>
  </si>
  <si>
    <t>Ultrean</t>
  </si>
  <si>
    <t>Ultrean Air Fryer, 4.2 Quart (4 Liter) Electric Hot Airfryer Oven Oilless Cooker with LCD Digital Screen and Nonstick Frying</t>
  </si>
  <si>
    <t>Ultrean 空气炸锅，4.2​​ 夸脱（4 升）电热空气炸锅烤箱无油炊具​​带 LCD 数字屏幕和不粘锅油炸</t>
  </si>
  <si>
    <t>26</t>
  </si>
  <si>
    <t>2018-01-29</t>
  </si>
  <si>
    <t>Ultrean Inc</t>
  </si>
  <si>
    <t xml:space="preserve">公司名称：Ultrean, Inc.
办公地址：
848 N RAINBOW BLVD STE 9027
</t>
  </si>
  <si>
    <t>9.97 pounds</t>
  </si>
  <si>
    <t>14.3 x 13.3 x 13 inches</t>
  </si>
  <si>
    <t>B0B4NXNWT5</t>
  </si>
  <si>
    <t>https://www.amazon.com/dp/B0B4NXNWT5?psc=1</t>
  </si>
  <si>
    <t>https://images-na.ssl-images-amazon.com/images/I/41fB3jg85OL._AC_US600_.jpg</t>
  </si>
  <si>
    <t>100Pcs Air fryer Baking Paper Rectangular - Air Fryer Baking Liners for Ninja Foodi DualZone 2-Basket Air Fryer DZ201, DZ401,</t>
  </si>
  <si>
    <t>100 件长方形空气炸锅烘焙纸 - 适用于 Ninja Foodi DualZone 2 篮式空气炸锅 DZ201、DZ401、</t>
  </si>
  <si>
    <t>31
55</t>
  </si>
  <si>
    <t>2022-06-21</t>
  </si>
  <si>
    <t>PalkSky</t>
  </si>
  <si>
    <t xml:space="preserve">公司名称：Wang Shixiong
办公地址：
坂田街道南坑社区南坑第二工业区
</t>
  </si>
  <si>
    <t>11.02 x 8.23 x 2.76 inches</t>
  </si>
  <si>
    <t>https://www.amazon.com/dp/B0777RJG6D?psc=1</t>
  </si>
  <si>
    <t>https://images-na.ssl-images-amazon.com/images/I/413QzyJkOQL._AC_US600_.jpg</t>
  </si>
  <si>
    <t>GoWISE USA</t>
  </si>
  <si>
    <t>GoWISE USA 1700-Watt 5.8-QT 8-in-1 Digital Air Fryer with Recipe Book, Black</t>
  </si>
  <si>
    <t>GoWISE USA 1700 瓦 5.8 夸脱 8 合 1 数字空气炸锅带食谱，黑色</t>
  </si>
  <si>
    <t>2017-11-07</t>
  </si>
  <si>
    <t>0.25 pounds</t>
  </si>
  <si>
    <t>13.5 x 12.5 x 11.5 inches</t>
  </si>
  <si>
    <t>https://www.amazon.com/dp/B08QQRH2Z9?psc=1</t>
  </si>
  <si>
    <t>https://images-na.ssl-images-amazon.com/images/I/31EAxEEMbVL._AC_US600_.jpg</t>
  </si>
  <si>
    <t>DASH Tasti-Crisp™ Digital Air Fryer with AirCrisp Technology, Custom Presets, Temperature Control, and Auto Shut Off Feature,</t>
  </si>
  <si>
    <t>DASH Tasti-Crisp™ 数字空气炸锅采用 AirCrisp 技术、自定义预设、温度控制和自动关闭功能，</t>
  </si>
  <si>
    <t>33</t>
  </si>
  <si>
    <t>2020-12-15</t>
  </si>
  <si>
    <t>6.98 pounds</t>
  </si>
  <si>
    <t>8.7 x 10.7 x 11.3 inches</t>
  </si>
  <si>
    <t>https://www.amazon.com/dp/B08CW95ZFR?psc=1</t>
  </si>
  <si>
    <t>https://images-na.ssl-images-amazon.com/images/I/41xKS3OoclL._AC_US600_.jpg</t>
  </si>
  <si>
    <t>Hamilton Beach</t>
  </si>
  <si>
    <t>Hamilton Beach Sure-Crisp Air Fryer Countertop Toaster Oven, Fits 9” Pizza, 4 Slice Capacity, Powerful Circulation, Auto Shut</t>
  </si>
  <si>
    <t>Hamilton Beach Sure-Crisp 空气炸锅台面烤箱，适合 9 英寸披萨，4 片容量，强大的循环，自动关闭</t>
  </si>
  <si>
    <t>2020-07-13</t>
  </si>
  <si>
    <t>7.33 pounds</t>
  </si>
  <si>
    <t>11 x 13 x 17 inches</t>
  </si>
  <si>
    <t>B0BQJL33K3</t>
  </si>
  <si>
    <t>https://www.amazon.com/dp/B0BQJL33K3?psc=1</t>
  </si>
  <si>
    <t>https://m.media-amazon.com/images/I/51-mk87x0yL._AC_US600_.jpg</t>
  </si>
  <si>
    <t>Ctznxiy</t>
  </si>
  <si>
    <t>2Pcs Silicone Air Fryer Liners 8.5 inch for 4 to 7 QT Reusable Air Fryer Pot, Heat Resistant Easy Cleaning Air Fryer Silicone</t>
  </si>
  <si>
    <t>2 件硅胶空气炸锅内衬 8.5 英寸，适用于 4 至 7 QT 可重复使用空气炸锅，耐热易清洁空气炸锅硅胶</t>
  </si>
  <si>
    <t>Deep Fryer Parts &amp; Accessories
Air Fryers</t>
  </si>
  <si>
    <t>14
37</t>
  </si>
  <si>
    <t>2022-12-19</t>
  </si>
  <si>
    <t>9.2 ounces</t>
  </si>
  <si>
    <t>8.62 x 4.76 x 2.24 inches</t>
  </si>
  <si>
    <t>B091YHDCVR</t>
  </si>
  <si>
    <t>https://www.amazon.com/dp/B091YHDCVR?psc=1</t>
  </si>
  <si>
    <t>https://images-na.ssl-images-amazon.com/images/I/315isMXS8rL._AC_US600_.jpg</t>
  </si>
  <si>
    <t>AIEVE</t>
  </si>
  <si>
    <t>AIEVE Air Fryer Oven Liners, 3 Pack Non-stick Air Fryer Oven Mat Baking Mat Compatible with Ninja Foodi SP101 SP201 SP301 Nin</t>
  </si>
  <si>
    <t>AIEVE 空气炸锅烤箱内衬，3 件装不粘空气炸锅烤箱垫烘焙垫与 Ninja Foodi SP101 SP201 SP301 Nin 兼容</t>
  </si>
  <si>
    <t>45</t>
  </si>
  <si>
    <t>2021-04-07</t>
  </si>
  <si>
    <t>Aieve</t>
  </si>
  <si>
    <t xml:space="preserve">公司名称：Qing Zhi Li
办公地址：
8504 Fang 14 Hao Shi Si Xiang
</t>
  </si>
  <si>
    <t>5.9 ounces</t>
  </si>
  <si>
    <t>12 x 12 x 0.1 inches</t>
  </si>
  <si>
    <t>B0BX71WBK5</t>
  </si>
  <si>
    <t>https://www.amazon.com/dp/B0BX71WBK5?psc=1</t>
  </si>
  <si>
    <t>https://images-na.ssl-images-amazon.com/images/I/41ELapobmZL._AC_US600_.jpg</t>
  </si>
  <si>
    <t>NutriChef</t>
  </si>
  <si>
    <t>Hot Air Fryer Oven - Oilless Convection Power Multi Cooker with Digital Display and 3.7 Qt Capacity - Perfect for Baking, Gri</t>
  </si>
  <si>
    <t>热风炸锅 - 无油对流动力多功能炊具，带数字显示屏和 3.7 夸脱容量 - 非常适合烘焙、Gri</t>
  </si>
  <si>
    <t>2023-03-01</t>
  </si>
  <si>
    <t>14.3 x 12.8 x 12.8 inches</t>
  </si>
  <si>
    <t>B09GL56L4T</t>
  </si>
  <si>
    <t>https://www.amazon.com/dp/B09GL56L4T?psc=1</t>
  </si>
  <si>
    <t>https://images-na.ssl-images-amazon.com/images/I/41fJQ2R4N-L._AC_US600_.jpg</t>
  </si>
  <si>
    <t>Cuisinart</t>
  </si>
  <si>
    <t>Cuisinart TOA-26 Compact Airfryer Toaster Oven, 1800-Watt Motor with 6-in-1 Functions and Wide Temperature Range, Large Capac</t>
  </si>
  <si>
    <t>Cuisinart TOA-26 紧凑型空气炸锅烤箱，1800 瓦电机，具有 6 合 1 功能和宽温度范围，大容量</t>
  </si>
  <si>
    <t>39</t>
  </si>
  <si>
    <t>2018-12-11</t>
  </si>
  <si>
    <t>13 x 18 x 15 inches</t>
  </si>
  <si>
    <t>B08KFNK3QH</t>
  </si>
  <si>
    <t>https://www.amazon.com/dp/B08KFNK3QH?psc=1</t>
  </si>
  <si>
    <t>https://images-na.ssl-images-amazon.com/images/I/41NWjD1CuNL._AC_US600_.jpg</t>
  </si>
  <si>
    <t>Oster</t>
  </si>
  <si>
    <t>Oster Compact Countertop Oven With Air Fryer, Stainless Steel</t>
  </si>
  <si>
    <t>Oster 紧凑型台面烤箱，带空气炸锅，不锈钢</t>
  </si>
  <si>
    <t>43</t>
  </si>
  <si>
    <t>2020-11-30</t>
  </si>
  <si>
    <t>9.8 x 16.7 x 9.8 inches</t>
  </si>
  <si>
    <t>B0BG5635Z7</t>
  </si>
  <si>
    <t>https://www.amazon.com/dp/B0BG5635Z7?psc=1</t>
  </si>
  <si>
    <t>https://m.media-amazon.com/images/I/51yODvXRBGL._AC_US600_.jpg</t>
  </si>
  <si>
    <t>Geek Chef</t>
  </si>
  <si>
    <t>Geek Chef Air Fryer Toaster Oven, 10QT Toaster Ovens Countertop, 4 Slice Toaster, 6 Inch Pizza, Warm, Broil, Toast, Bake, Air</t>
  </si>
  <si>
    <t>Geek Chef 空气炸锅烤箱，10 夸脱烤箱台面，4 片烤面包机，6 英寸披萨，热、烤、吐司、烘烤、空气</t>
  </si>
  <si>
    <t>36</t>
  </si>
  <si>
    <t>2022-09-22</t>
  </si>
  <si>
    <t>11.62 pounds</t>
  </si>
  <si>
    <t>12"D x 11.2"W x 12.4"H</t>
  </si>
  <si>
    <t>B07G3V9K17</t>
  </si>
  <si>
    <t>https://www.amazon.com/dp/B07G3V9K17?psc=1</t>
  </si>
  <si>
    <t>https://images-na.ssl-images-amazon.com/images/I/31VXHjBfcfL._AC_US600_.jpg</t>
  </si>
  <si>
    <t>Philips Premium Airfryer XXL with Fat Removal Technology, 3lb/7qt, Black, HD9650/96</t>
  </si>
  <si>
    <t>飞利浦 Premium Airfryer XXL 采用除脂技术，3 磅/7 夸脱，黑色，HD9650/96</t>
  </si>
  <si>
    <t>2018-07-30</t>
  </si>
  <si>
    <t>17.1 x 12.6 x 12.4 inches</t>
  </si>
  <si>
    <t>B08YP4NHQM</t>
  </si>
  <si>
    <t>https://www.amazon.com/dp/B08YP4NHQM?psc=1</t>
  </si>
  <si>
    <t>https://images-na.ssl-images-amazon.com/images/I/41RnifaGGML._AC_US600_.jpg</t>
  </si>
  <si>
    <t>Ninja FD302 Foodi 11-in-1 Pro 6.5 qt. Pressure Cooker &amp; Air Fryer that Steams, Slow Cooks, Sears, Sautés, Dehydrates &amp; More,</t>
  </si>
  <si>
    <t xml:space="preserve"> Ninja FD302 Foodi 11 合 1 Pro 6.5 夸脱。 高压锅和空气炸锅，可蒸、慢煮、西尔斯、炒、脱水等，</t>
  </si>
  <si>
    <t>44</t>
  </si>
  <si>
    <t>F</t>
  </si>
  <si>
    <t>2020-10-12</t>
  </si>
  <si>
    <t>22.05 pounds</t>
  </si>
  <si>
    <t>16.2 x 14 x 13.2 inches</t>
  </si>
  <si>
    <t>https://www.amazon.com/dp/B085GN68LC?psc=1</t>
  </si>
  <si>
    <t>https://images-na.ssl-images-amazon.com/images/I/41EfD0xmTgL._AC_US600_.jpg</t>
  </si>
  <si>
    <t>Chefman Small Compact Air Fryer Healthy Cooking, 2 Qt Nonstick, User Friendly and Adjustable Temperature Control w/ 60 Minute</t>
  </si>
  <si>
    <t>Chefman 小型紧凑型空气炸锅健康烹饪，2 夸脱不粘锅，用户友好且可调节温度控制，带 60 分钟</t>
  </si>
  <si>
    <t>38</t>
  </si>
  <si>
    <t>2019-03-29</t>
  </si>
  <si>
    <t>3.31 pounds</t>
  </si>
  <si>
    <t>10.2 x 10.2 x 14 inches</t>
  </si>
  <si>
    <t>B09TZZS2GJ</t>
  </si>
  <si>
    <t>https://www.amazon.com/dp/B09TZZS2GJ?psc=1</t>
  </si>
  <si>
    <t>https://images-na.ssl-images-amazon.com/images/I/41YlA3PVYBL._AC_US600_.jpg</t>
  </si>
  <si>
    <t>LATURE</t>
  </si>
  <si>
    <t>LATURE 4.2 QT Air Fryer Oven Cooker with Temperature and Time Control Dishwasher Non-stick Basket 6 Cook Presets CE Certified</t>
  </si>
  <si>
    <t>LATURE 4.2 QT 空气炸锅烤箱炊具带温度和时间控制洗碗机不粘篮 6 种烹饪预设 CE 认证</t>
  </si>
  <si>
    <t>56</t>
  </si>
  <si>
    <t>2022-03-07</t>
  </si>
  <si>
    <t>FLD-FRYER</t>
  </si>
  <si>
    <t>CN</t>
  </si>
  <si>
    <t xml:space="preserve">公司名称：zhejiangjinhuafulangdegongmaoyouxiangongsi
办公地址：
岭下朱工业功能区
浙江宁远工贸有限公司内3号厂房
金华
金东
浙江
321015
CN
</t>
  </si>
  <si>
    <t>8.14 pounds</t>
  </si>
  <si>
    <t>11.8 x 11.8 x 13.2 inches</t>
  </si>
  <si>
    <t>https://www.amazon.com/dp/B08K8T3W2V?psc=1</t>
  </si>
  <si>
    <t>https://images-na.ssl-images-amazon.com/images/I/5135MRrXWrL._AC_US600_.jpg</t>
  </si>
  <si>
    <t>COSORI Air Fryer Toaster Oven 26.4QT, 12-in-1 Convection Ovens Countertop Combo, 6-Slice Toast, 12-inch Pizza, Basket, Tray,</t>
  </si>
  <si>
    <t>COSORI 空气炸锅烤箱 26.4 夸脱、12 合 1 对流烤箱台面组合、6 片吐司、12 英寸披萨、篮子、托盘、</t>
  </si>
  <si>
    <t>40</t>
  </si>
  <si>
    <t>2020-11-21</t>
  </si>
  <si>
    <t>22 pounds</t>
  </si>
  <si>
    <t>B092PY8F5J</t>
  </si>
  <si>
    <t>https://www.amazon.com/dp/B092PY8F5J?psc=1</t>
  </si>
  <si>
    <t>https://m.media-amazon.com/images/W/IMAGERENDERING_521856-T2/images/I/41RjVllXMiL._AC_US600_.jpg</t>
  </si>
  <si>
    <t>CROWNFUL</t>
  </si>
  <si>
    <t>CROWNFUL 7 Quart Air Fryer, Oilless Electric Cooker with 12 Cooking Functions, LCD Touch Digital Screen with Precise Temperat</t>
  </si>
  <si>
    <t>CROWNFUL 7 夸脱空气炸锅，带 12 种烹饪功能的无油电饭锅，带精确温度的 LCD 触摸数字屏幕</t>
  </si>
  <si>
    <t>41</t>
  </si>
  <si>
    <t>2021-04-16</t>
  </si>
  <si>
    <t>Nekteck Direct</t>
  </si>
  <si>
    <t xml:space="preserve">公司名称：Nekteck, Inc.
办公地址：
556 Vanguard Way D
</t>
  </si>
  <si>
    <t>10 Pounds</t>
  </si>
  <si>
    <t>12.99"D x 14.56"W x 11.02"H</t>
  </si>
  <si>
    <t>B09KQY2TH2</t>
  </si>
  <si>
    <t>https://www.amazon.com/dp/B09KQY2TH2?psc=1</t>
  </si>
  <si>
    <t>https://images-na.ssl-images-amazon.com/images/I/31EwvDJ4DEL._AC_US600_.jpg</t>
  </si>
  <si>
    <t>brikinte</t>
  </si>
  <si>
    <t>4 Pack Air Fryer Liners for Ninja Air Fryer, Non-stick Reusable Air Fryer Oven Liners Air Fryer Accessories Compatible with N</t>
  </si>
  <si>
    <t>4 件装 Ninja 空气炸锅空气炸锅内衬，不粘可重复使用空气炸锅烤箱内衬空气炸锅配件兼容 N</t>
  </si>
  <si>
    <t>49</t>
  </si>
  <si>
    <t>2021-10-31</t>
  </si>
  <si>
    <t>0.11 pounds</t>
  </si>
  <si>
    <t>B09XWJ19YS</t>
  </si>
  <si>
    <t>https://www.amazon.com/dp/B09XWJ19YS?psc=1</t>
  </si>
  <si>
    <t>https://m.media-amazon.com/images/I/51hOezlAX+L._AC_US600_.jpg</t>
  </si>
  <si>
    <t>Amazon Renewed</t>
  </si>
  <si>
    <t>Cuisinart Air Fryer (Renewed)</t>
  </si>
  <si>
    <t>Cuisinart 空气炸锅（更新）</t>
  </si>
  <si>
    <t>Home &amp; Kitchen:Kitchen &amp; Dining:Small Appliances:Ovens &amp; Toasters:Toaster Ovens</t>
  </si>
  <si>
    <t>Toaster Ovens
Air Fryers</t>
  </si>
  <si>
    <t>17
50</t>
  </si>
  <si>
    <t>2022-04-13</t>
  </si>
  <si>
    <t>Woot</t>
  </si>
  <si>
    <t xml:space="preserve">公司名称：Woot Inc
办公地址：
4121 International Parkway
</t>
  </si>
  <si>
    <t>20.3 Pounds</t>
  </si>
  <si>
    <t>17"D x 16"W x 14"H</t>
  </si>
  <si>
    <t>B07W67NQMN</t>
  </si>
  <si>
    <t>https://www.amazon.com/dp/B07W67NQMN?psc=1</t>
  </si>
  <si>
    <t>https://images-na.ssl-images-amazon.com/images/I/51wK1gMNZLL._AC_US600_.jpg</t>
  </si>
  <si>
    <t>COSORI Air Fryer Toaster Oven, 12-in-1 Convection Oven Countertop with Rotisserie, Stainless Steel 32QT/32L, 6-Slice Toast, 1</t>
  </si>
  <si>
    <t>COSORI 空气炸锅烤箱，带烤肉架的 12 合 1 对流烤箱台面，不锈钢 32QT/32L，6 片吐司，1</t>
  </si>
  <si>
    <t>Air Fryers
Ovens &amp; Toasters</t>
  </si>
  <si>
    <t>47
70</t>
  </si>
  <si>
    <t>2019-09-01</t>
  </si>
  <si>
    <t>19.6 pounds</t>
  </si>
  <si>
    <t>20.1 x 16.5 x 12.5 inches</t>
  </si>
  <si>
    <t>B07ZWG619F</t>
  </si>
  <si>
    <t>https://www.amazon.com/dp/B07ZWG619F?psc=1</t>
  </si>
  <si>
    <t>https://images-na.ssl-images-amazon.com/images/I/41M1ysVClKL._AC_US600_.jpg</t>
  </si>
  <si>
    <t>GoWISE USA GW22956 7-Quart Electric Air Fryer with Dehydrator &amp; 3 Stackable Racks, Led Digital Touchscreen with 8 Functions +</t>
  </si>
  <si>
    <t>GoWISE USA GW22956 7 夸脱电空气炸锅带脱水器和 3 个可堆叠架，带 8 种功能的 LED 数字触摸屏 +</t>
  </si>
  <si>
    <t>51</t>
  </si>
  <si>
    <t>2019-11-01</t>
  </si>
  <si>
    <t>17.11 pounds</t>
  </si>
  <si>
    <t>11.7 x 11.7 x 14 inches</t>
  </si>
  <si>
    <t>B089NKT312</t>
  </si>
  <si>
    <t>https://www.amazon.com/dp/B089NKT312?psc=1</t>
  </si>
  <si>
    <t>https://images-na.ssl-images-amazon.com/images/I/41xJrOGz4aL._AC_US600_.jpg</t>
  </si>
  <si>
    <t>Nuwave Brio 8-Qt Air Fryer, Powerful 1800W, Easy-to-Read Cool White Display, 50°-400°F Temp Controls, 100 Pre-Programmed Pres</t>
  </si>
  <si>
    <t>Nuwave Brio 8 夸脱空气炸锅，强大的 1800 瓦，易于阅读的冷白色显示屏，50°-400°F 温度控制，100 个预编程压力</t>
  </si>
  <si>
    <t>58</t>
  </si>
  <si>
    <t>2020-06-03</t>
  </si>
  <si>
    <t>16.28 pounds</t>
  </si>
  <si>
    <t>15.1 x 16.5 x 13.1 inches</t>
  </si>
  <si>
    <t>https://www.amazon.com/dp/B0978M8136?psc=1</t>
  </si>
  <si>
    <t>https://images-na.ssl-images-amazon.com/images/I/41xI07RSgBL._AC_US600_.jpg</t>
  </si>
  <si>
    <t>Dreo</t>
  </si>
  <si>
    <t>Dreo Air Fryer Pro Max, 11-in-1 Digital Air Fryer Oven Cooker with 100 Recipes, Visible Window, Supports Customerizable Cooki</t>
  </si>
  <si>
    <t>Dreo Air Fryer Pro Max，带 100 个食谱的 11 合 1 数字空气炸锅烤箱炊具，可见窗口，支持可定制的 Cooki</t>
  </si>
  <si>
    <t>50</t>
  </si>
  <si>
    <t>2021-09-28</t>
  </si>
  <si>
    <t>12 x 14 x 13 inches</t>
  </si>
  <si>
    <t>B08R12QZS1</t>
  </si>
  <si>
    <t>https://www.amazon.com/dp/B08R12QZS1?psc=1</t>
  </si>
  <si>
    <t>https://images-na.ssl-images-amazon.com/images/I/41019YXde4L._AC_US600_.jpg</t>
  </si>
  <si>
    <t>Ninja SP351 Foodi Smart 13-in-1 Dual Heat Air Fry Countertop Oven, Dehydrate, Reheat, Smart Thermometer, 1800-watts, Silver</t>
  </si>
  <si>
    <t>Ninja SP351 Foodi Smart 13 合 1 双热气炸台面烤箱，脱水，再加热，智能温度计，1800 瓦，银色</t>
  </si>
  <si>
    <t>2021-08-06</t>
  </si>
  <si>
    <t>21.52 pounds</t>
  </si>
  <si>
    <t>15.3 x 20.2 x 8.1 inches</t>
  </si>
  <si>
    <t>B0BF4V6584</t>
  </si>
  <si>
    <t>https://www.amazon.com/dp/B0BF4V6584?psc=1</t>
  </si>
  <si>
    <t>https://images-na.ssl-images-amazon.com/images/I/51lFApwTvlL._AC_US600_.jpg</t>
  </si>
  <si>
    <t>MaMix</t>
  </si>
  <si>
    <t>MaMix Silicone Air Fryer Liners 2 pack，8 inch Reusable Air Fryer Pot for 4 to 7 QT Air Fryer Inserts for Oven Microwave Acces</t>
  </si>
  <si>
    <t>MaMix 硅胶空气炸锅内衬 2 件装，8 英寸可重复使用的空气炸锅锅，用于 4 至 7 QT 空气炸锅插入物，用于烤箱微波炉访问</t>
  </si>
  <si>
    <t>AC NR A+</t>
  </si>
  <si>
    <t>22
50</t>
  </si>
  <si>
    <t>2022-09-13</t>
  </si>
  <si>
    <t xml:space="preserve">公司名称：Shen zhen duo bao duo mao yi you xian gong si
办公地址：
luo hu qu gui yuan jie dao shen nan dong lu 5002
</t>
  </si>
  <si>
    <t>11.7 ounces</t>
  </si>
  <si>
    <t>9.33 x 8.82 x 2.52 inches</t>
  </si>
  <si>
    <t>B095Y6ZF5Q</t>
  </si>
  <si>
    <t>B0BJDDN65L</t>
  </si>
  <si>
    <t>Color: Blue</t>
  </si>
  <si>
    <t>https://www.amazon.com/dp/B095Y6ZF5Q?psc=1</t>
  </si>
  <si>
    <t>https://images-na.ssl-images-amazon.com/images/I/31mEyFByQOL._AC_US600_.jpg</t>
  </si>
  <si>
    <t>VILIWIN</t>
  </si>
  <si>
    <t>VILIWIN Air Fryer 4.5 QT Digital Upgraded Air Fryers Cooker 8 Preset Menus AirFryer Hot Air Fryer with Auto Shut Off 30 Minute Timer Adjustable Temperature Control Nonstick Tray 1400W Air Fryer Blue</t>
  </si>
  <si>
    <t>VILIWIN 空气炸锅 4.5 QT 数字升级空气炸锅炊具 8 预设菜单空气炸锅热空气炸锅自动关闭 30 分钟定时器可调温度控制不粘托盘 1400W 空气炸锅蓝色</t>
  </si>
  <si>
    <t>55</t>
  </si>
  <si>
    <t>2021-07-05</t>
  </si>
  <si>
    <t>VILIWIN Store</t>
  </si>
  <si>
    <t>CN(HK)</t>
  </si>
  <si>
    <t xml:space="preserve">公司名称：STAND LUCK CORPORATION LIMITED
办公地址：
NO.165-171 WAN CHAI ROAD
LUCKY CENTER FLAT/RM 1506 15/F
WAN CHAI
HK
999077
HK
</t>
  </si>
  <si>
    <t>8.82 pounds</t>
  </si>
  <si>
    <t>11.5 x 11.5 x 12.2 inches</t>
  </si>
  <si>
    <t>B08FMT6N24</t>
  </si>
  <si>
    <t>https://www.amazon.com/dp/B08FMT6N24?psc=1</t>
  </si>
  <si>
    <t>https://images-na.ssl-images-amazon.com/images/I/319fwckxydL._AC_US600_.jpg</t>
  </si>
  <si>
    <t>PowerXL</t>
  </si>
  <si>
    <t>PowerXL Air Fryer 7 QT Maxx Classic, Extra Hot Air Fry, Cook, Crisp, Broil, Roast, Bake, High Gloss Finish, Black (7 Quart)</t>
  </si>
  <si>
    <t>PowerXL 空气炸锅 7 QT Maxx 经典，超热风炸，烹调，酥脆，烤，烤，烘烤，高光饰面，黑色（7 夸脱）</t>
  </si>
  <si>
    <t>59</t>
  </si>
  <si>
    <t>2020-08-11</t>
  </si>
  <si>
    <t>3 pounds</t>
  </si>
  <si>
    <t>14"D x 13"W x 14.5"H</t>
  </si>
  <si>
    <t>B07VM9SDMH</t>
  </si>
  <si>
    <t>https://www.amazon.com/dp/B07VM9SDMH?psc=1</t>
  </si>
  <si>
    <t>https://images-na.ssl-images-amazon.com/images/I/51chJ-m0ftL._AC_US600_.jpg</t>
  </si>
  <si>
    <t>Uten</t>
  </si>
  <si>
    <t>Air Fryer 5.8QT/5.5L, Uten 1700W AirFryer High-Power Electric Hot Temperature Control &amp; Timer Knob, Non Stick Fry Basket, Dis</t>
  </si>
  <si>
    <t>空气炸锅 5.8QT/5.5L，Uten 1700W AirFryer 大功率电热温度控制和定时器旋钮，不粘炸篮，Dis</t>
  </si>
  <si>
    <t>57</t>
  </si>
  <si>
    <t>2019-07-22</t>
  </si>
  <si>
    <t>RBU2017UTEN US</t>
  </si>
  <si>
    <t xml:space="preserve">公司名称：RBU INTERNATIONAL LTD
办公地址：
1521 E Francis St. Unit A
</t>
  </si>
  <si>
    <t>14.92 pounds</t>
  </si>
  <si>
    <t>14.4 x 14.2 x 11.8 inches</t>
  </si>
  <si>
    <t>B0BGBMW9G5</t>
  </si>
  <si>
    <t>https://www.amazon.com/dp/B0BGBMW9G5?psc=1</t>
  </si>
  <si>
    <t>https://images-na.ssl-images-amazon.com/images/I/51qTgjsG+jL._AC_US600_.jpg</t>
  </si>
  <si>
    <t>Gluck</t>
  </si>
  <si>
    <t>GLUCK Air Fryer Oven,10-in-1 20 QT Airfryer Toaster Oven with Visible Cooking Window,Large Air Fryer Toaster Oven Combo with</t>
  </si>
  <si>
    <t>GLUCK 空气炸锅烤箱，10 合 1 20 QT 空气炸锅烤箱带可见烹饪窗口，大型空气炸锅烤箱组合</t>
  </si>
  <si>
    <t>61</t>
  </si>
  <si>
    <t>2022-09-24</t>
  </si>
  <si>
    <t>23 pounds</t>
  </si>
  <si>
    <t>15.4 x 14.6 x 13.4 inches</t>
  </si>
  <si>
    <t>B075BDY5WR</t>
  </si>
  <si>
    <t>https://www.amazon.com/dp/B075BDY5WR?psc=1</t>
  </si>
  <si>
    <t>https://m.media-amazon.com/images/I/31FWlEg5fqL._AC_US600_.jpg</t>
  </si>
  <si>
    <t>DASH Compact Air Fryer Oven Cooker with Temperature Control, Non-stick Fry Basket, Recipe Guide + Auto Shut off Feature, 2 Qu</t>
  </si>
  <si>
    <t>DASH 紧凑型空气炸锅烤箱炊具带温度控制，不粘炸篮，食谱指南 + 自动关闭功能，2 曲</t>
  </si>
  <si>
    <t>2017-09-02</t>
  </si>
  <si>
    <t>THE REAL DEAL</t>
  </si>
  <si>
    <t xml:space="preserve">公司名称：BG GROUP LLC
电话号码：567-303-3345
办公地址：
402 N 37th Dr
Suite 101
Phoenix
AZ
85009
US
</t>
  </si>
  <si>
    <t>5.7 Pounds</t>
  </si>
  <si>
    <t>8.1"D x 10.2"W x 11.4"H</t>
  </si>
  <si>
    <t>https://www.amazon.com/dp/B07X1VXQMS?psc=1</t>
  </si>
  <si>
    <t>https://images-na.ssl-images-amazon.com/images/I/41+QhGCYlnL._AC_US600_.jpg</t>
  </si>
  <si>
    <t>ULTREAN 5.8 Quart Air Fryer, Electric Hot Air Fryers Oilless Cooker with 10 Presets, Digital LCD Touch Screen, Nonstick Baske</t>
  </si>
  <si>
    <t>ULTREAN 5.8 夸脱空气炸锅、电热空气炸锅无油炊具带 10 个预设、数字 LCD 触摸屏、不粘烤盘</t>
  </si>
  <si>
    <t>2019-08-27</t>
  </si>
  <si>
    <t>BAISELLER</t>
  </si>
  <si>
    <t xml:space="preserve">公司名称：GUANGZHOUSHI SAIYUNYIQI YOUXIANGONGSI
办公地址：
BAIYUNQU TONGHELU NO329
ROOM217
GUANGZHOU
GUANGDONG
510000
CN
</t>
  </si>
  <si>
    <t>13.11 pounds</t>
  </si>
  <si>
    <t>11.8 x 11.8 x 14.5 inches</t>
  </si>
  <si>
    <t>B09XJV2739</t>
  </si>
  <si>
    <t>https://www.amazon.com/dp/B09XJV2739?psc=1</t>
  </si>
  <si>
    <t>https://images-na.ssl-images-amazon.com/images/I/412Pw6DoHsL._AC_US600_.jpg</t>
  </si>
  <si>
    <t>BYKITCHEN</t>
  </si>
  <si>
    <t>BYKITCHEN Heat Resistant Mat for Air Fryer, 3pcs Air Fryer Mat with Appliance Sliders Function, Kitchen Countertop Protector</t>
  </si>
  <si>
    <t>BYKITCHEN 空气炸锅耐热垫，3 件空气炸锅垫，带电器滑块功能，厨房台面保护膜</t>
  </si>
  <si>
    <t>62</t>
  </si>
  <si>
    <t>2022-04-09</t>
  </si>
  <si>
    <t>BY Kitchen</t>
  </si>
  <si>
    <t xml:space="preserve">公司名称：Guang zhou shi bo yan pi ju you xian gong si
办公地址：
hua du qu shi ling zhen si he liu xiang
24 hao wu lou
guang zhou
guang dong
510800
CN
</t>
  </si>
  <si>
    <t>9.1 ounces</t>
  </si>
  <si>
    <t>17.01 x 13.35 x 0.67 inches</t>
  </si>
  <si>
    <t>https://www.amazon.com/dp/B087T8LKNC?psc=1</t>
  </si>
  <si>
    <t>https://images-na.ssl-images-amazon.com/images/I/41i41ZJLGcL._AC_US600_.jpg</t>
  </si>
  <si>
    <t>Elite Gourmet EAF-3218R Personal 1.1Qt Compact Space Saving Electric Hot Air Fryer Oil-Less Healthy Cooker, Timer &amp; Temperatu</t>
  </si>
  <si>
    <t>Elite Gourmet EAF-3218R 个人 1.1 夸脱紧凑型节省空间电热空气炸锅无油健康炊具、定时器和温度</t>
  </si>
  <si>
    <t>68</t>
  </si>
  <si>
    <t>2020-04-28</t>
  </si>
  <si>
    <t>5.24 pounds</t>
  </si>
  <si>
    <t>7.8 x 7.8 x 8 inches</t>
  </si>
  <si>
    <t>B0BBFTPTKH</t>
  </si>
  <si>
    <t>https://www.amazon.com/dp/B0BBFTPTKH?psc=1</t>
  </si>
  <si>
    <t>https://images-na.ssl-images-amazon.com/images/I/41x1QmekmBL._AC_US600_.jpg</t>
  </si>
  <si>
    <t>DEIME</t>
  </si>
  <si>
    <t>Air Fryer 6.2 QT Oilless AirFryer 1500W Electric Healthy Oven Cooker Large Capacity with Visible Cooking Window, 10 Presets i</t>
  </si>
  <si>
    <t>Air Fryer 6.2 QT 无油 AirFryer 1500W 电健康烤箱炊具大容量带可见烹饪窗口，10 个预设 i</t>
  </si>
  <si>
    <t>80</t>
  </si>
  <si>
    <t>2022-08-22</t>
  </si>
  <si>
    <t>13.87 pounds</t>
  </si>
  <si>
    <t>10.6 x 10.8 x 13 inches</t>
  </si>
  <si>
    <t>B09YS1RQ8J</t>
  </si>
  <si>
    <t>https://www.amazon.com/dp/B09YS1RQ8J?psc=1</t>
  </si>
  <si>
    <t>https://images-na.ssl-images-amazon.com/images/I/5135qxoHciL._AC_US600_.jpg</t>
  </si>
  <si>
    <t>Air Fryer 12 QT 1700W Large Capacity Oilless Hot Air Fryers Oven Healthy Cooker with 10 Presets, Visible Cooking Window, LCD</t>
  </si>
  <si>
    <t>空气炸锅 12 QT 1700W 大容量无油热空气炸锅烤箱健康炊具带 10 个预设，可见烹饪窗口，LCD</t>
  </si>
  <si>
    <t>77</t>
  </si>
  <si>
    <t>2022-04-25</t>
  </si>
  <si>
    <t>DEIME Inc.</t>
  </si>
  <si>
    <t xml:space="preserve">公司名称：Ningbo Runchenningjia Dianqi Youxian Gongsi
办公地址：
庵东镇工业园区纬三路128号
宁波
杭州湾新区
浙江省
315336
CN
</t>
  </si>
  <si>
    <t>18.76 pounds</t>
  </si>
  <si>
    <t>17.7 x 11.8 x 15.7 inches</t>
  </si>
  <si>
    <t>B08X24LS5V</t>
  </si>
  <si>
    <t>https://www.amazon.com/dp/B08X24LS5V?psc=1</t>
  </si>
  <si>
    <t>https://images-na.ssl-images-amazon.com/images/I/41jZv9IQKtL._AC_US600_.jpg</t>
  </si>
  <si>
    <t>PowerXL Air Fryer Steamer 7 QT 10-in-1 XL Vegetable Steamer and Air Fryer Combo, Toast, Bake, Roast, Broil, Dough Proofing, W</t>
  </si>
  <si>
    <t>PowerXL 空气炸锅蒸锅 7 QT 10 合 1 XL 蔬菜蒸锅和空气炸锅组合，吐司、烘烤、烘烤、烤、面团打样，W</t>
  </si>
  <si>
    <t>55
56</t>
  </si>
  <si>
    <t>2021-02-19</t>
  </si>
  <si>
    <t>20.1 pounds</t>
  </si>
  <si>
    <t>18.25 x 17.25 x 17 inches</t>
  </si>
  <si>
    <t>B08T9FBB68</t>
  </si>
  <si>
    <t>B0BKNJYC1T</t>
  </si>
  <si>
    <t>Style: 6 Slice Air Fry</t>
  </si>
  <si>
    <t>https://www.amazon.com/dp/B08T9FBB68?psc=1</t>
  </si>
  <si>
    <t>https://m.media-amazon.com/images/W/IMAGERENDERING_521856-T2/images/I/414P2GL4cAL._AC_US600_.jpg</t>
  </si>
  <si>
    <t>COMFEE'</t>
  </si>
  <si>
    <t>COMFEE' Retro Air Fry Toaster Oven, 7-in-1, 1500W, 19QT Capacity, 6 Slice, Air Fry, Rotisseries, Warm, Broil, Toast, Bake, Convection Bake, Black, Perfect for Countertop</t>
  </si>
  <si>
    <t>COMFEE&amp;#39; Retro Air Fry 烤箱，7 合 1，1500 瓦，19 夸脱容量，6 片，空气炸，烤肉系列，暖，烤，吐司，烘烤，对流烘烤，黑色，非常适合工作台面</t>
  </si>
  <si>
    <t>23
62</t>
  </si>
  <si>
    <t>Amazon.com</t>
  </si>
  <si>
    <t>AMZ</t>
  </si>
  <si>
    <t>22.6 pounds</t>
  </si>
  <si>
    <t>18 x 17.18 x 16.6 inches</t>
  </si>
  <si>
    <t>B07Z6RHKFV</t>
  </si>
  <si>
    <t>https://www.amazon.com/dp/B07Z6RHKFV?psc=1</t>
  </si>
  <si>
    <t>https://m.media-amazon.com/images/W/IMAGERENDERING_521856-T1/images/I/41Jkp816TuL._AC_US600_.jpg</t>
  </si>
  <si>
    <t>Nuwave Brio 6-Quart Healthy Digital Smart Air Fryer with Probe One-Touch Digital Controls, Advanced Cooking Functions, Removable Divider Insert &amp; Grill Pan (NEW ACCESSORY)</t>
  </si>
  <si>
    <t>Nuwave Brio 6 夸脱健康数字智能空气炸锅，带探针一键式数字控制、高级烹饪功能、可拆卸隔板插入件和烤盘（新配件）</t>
  </si>
  <si>
    <t>76</t>
  </si>
  <si>
    <t>2019-09-19</t>
  </si>
  <si>
    <t>13.76 Pounds</t>
  </si>
  <si>
    <t>10.5"D x 10.5"W x 13"H</t>
  </si>
  <si>
    <t>B0BK1W9HZY</t>
  </si>
  <si>
    <t>https://www.amazon.com/dp/B0BK1W9HZY?psc=1</t>
  </si>
  <si>
    <t>https://m.media-amazon.com/images/I/41rnc2ha9bL._AC_US600_.jpg</t>
  </si>
  <si>
    <t>SIUDANGKA</t>
  </si>
  <si>
    <t>Silicone Air Fryer Liner for Ninja Air Fryer, 2-Pack Reusable Air Fryer Silicone Basket Silicone Pot Round Air fryer Oven Acc</t>
  </si>
  <si>
    <t>Ninja 空气炸锅硅胶空气炸锅内衬，2 件装可重复使用空气炸锅硅胶篮硅胶锅圆形空气炸锅烤箱配件</t>
  </si>
  <si>
    <t>Home &amp; Kitchen:Kitchen &amp; Dining:Bakeware:Baking Tools &amp; Accessories:Parchment</t>
  </si>
  <si>
    <t>75
135</t>
  </si>
  <si>
    <t>2022-10-21</t>
  </si>
  <si>
    <t xml:space="preserve">公司名称：mengzhituohuizhoushidianzishangwuyouxiangongsi
办公地址：
龙溪街道龙岗村
第六小组岗上铺（土名）金昌凤凰苑2号楼5栋202
惠州市
博罗县
广东省
516121
CN
</t>
  </si>
  <si>
    <t>11.3 ounces</t>
  </si>
  <si>
    <t>9.76 x 9.25 x 1.54 inches</t>
  </si>
  <si>
    <t>https://www.amazon.com/dp/B07LBZGD97?psc=1</t>
  </si>
  <si>
    <t>https://images-na.ssl-images-amazon.com/images/I/51sGLLlmj8L._AC_US600_.jpg</t>
  </si>
  <si>
    <t>GoWISE USA GW44800-O Deluxe 12.7-Quarts 15-in-1 Electric Air Fryer Oven with Rotisserie and Dehydrator + 50 Recipes QT, Black</t>
  </si>
  <si>
    <t>GoWISE USA GW44800-O Deluxe 12.7 夸脱 15 合 1 电动空气炸锅烤箱带烤肉店和脱水机 + 50 份食谱 QT，黑色</t>
  </si>
  <si>
    <t>63</t>
  </si>
  <si>
    <t>2018-10-10</t>
  </si>
  <si>
    <t>23.4 pounds</t>
  </si>
  <si>
    <t>11.5 x 12 x 14 inches</t>
  </si>
  <si>
    <t>B08R6GZ2KP</t>
  </si>
  <si>
    <t>https://www.amazon.com/dp/B08R6GZ2KP?psc=1</t>
  </si>
  <si>
    <t>https://images-na.ssl-images-amazon.com/images/I/41ctRPisslL._AC_US600_.jpg</t>
  </si>
  <si>
    <t>Gourmia Air Fryer Oven Digital Display 7 Quart Large AirFryer Cooker 12 Touch Cooking Presets, XL Air Fryer Basket 1700w Powe</t>
  </si>
  <si>
    <t>Gourmia 空气炸锅烤箱数字显示 7 夸脱大型空气炸锅炊具 12 触摸烹饪预设，XL 空气炸锅篮 1700 瓦功率</t>
  </si>
  <si>
    <t>70</t>
  </si>
  <si>
    <t>2020-12-22</t>
  </si>
  <si>
    <t>15.72 pounds</t>
  </si>
  <si>
    <t>13.4 x 15.5 x 15.5 inches</t>
  </si>
  <si>
    <t>B08N3F9PRJ</t>
  </si>
  <si>
    <t>https://www.amazon.com/dp/B08N3F9PRJ?psc=1</t>
  </si>
  <si>
    <t>https://images-na.ssl-images-amazon.com/images/I/41CU7z7y-ML._AC_US600_.jpg</t>
  </si>
  <si>
    <t>Gourmia Air Fryer Oven Digital Display 8 Quart Large AirFryer Cooker 12 Touch Cooking Presets, XL Air Fryer Basket 1700w Powe</t>
  </si>
  <si>
    <t>Gourmia 空气炸锅烤箱数字显示 8 夸脱大型空气炸锅炊具 12 触摸烹饪预设，XL 空气炸锅篮 1700 瓦功率</t>
  </si>
  <si>
    <t>88</t>
  </si>
  <si>
    <t>2020-11-09</t>
  </si>
  <si>
    <t>12 x 11 x 13.5 inches</t>
  </si>
  <si>
    <t>B0853CR7LG</t>
  </si>
  <si>
    <t>https://www.amazon.com/dp/B0853CR7LG?psc=1</t>
  </si>
  <si>
    <t>https://images-na.ssl-images-amazon.com/images/I/41-nj5fRENL._AC_US600_.jpg</t>
  </si>
  <si>
    <t>NUWAVE Brio Air Fryer Smart Oven, 15.5-Qt X-Large Family Size, Countertop Convection Rotisserie Grill Combo, Non-Stick Drip T</t>
  </si>
  <si>
    <t>NUWAVE Brio 空气炸锅智能烤箱，15.5 夸脱特大号家庭装，台面对流烤肉店烧烤组合，不粘滴漏式 T</t>
  </si>
  <si>
    <t>2020-05-15</t>
  </si>
  <si>
    <t>27.9 pounds</t>
  </si>
  <si>
    <t>13 x 15.4 x 16.9 inches</t>
  </si>
  <si>
    <t>B09BZVQNTC</t>
  </si>
  <si>
    <t>https://www.amazon.com/dp/B09BZVQNTC?psc=1</t>
  </si>
  <si>
    <t>https://images-na.ssl-images-amazon.com/images/I/416HZaiHMcL._AC_US600_.jpg</t>
  </si>
  <si>
    <t>Chefman TurboFry Touch Dual Air Fryer, Maximize The Healthiest Meals With Double Basket Capacity, One-Touch Digital Controls</t>
  </si>
  <si>
    <t>Chefman TurboFry Touch 双空气炸锅，双篮容量，一键式数字控制，最大限度地提供最健康的膳食</t>
  </si>
  <si>
    <t>73</t>
  </si>
  <si>
    <t>2021-08-05</t>
  </si>
  <si>
    <t>16.31 pounds</t>
  </si>
  <si>
    <t>10 x 20 x 13 inches</t>
  </si>
  <si>
    <t>B0B7C28KPT</t>
  </si>
  <si>
    <t>https://www.amazon.com/dp/B0B7C28KPT?psc=1</t>
  </si>
  <si>
    <t>https://images-na.ssl-images-amazon.com/images/I/41xpc1obGyL._AC_US600_.jpg</t>
  </si>
  <si>
    <t>CHEFMAN 5-Quart Digital Air Fryer with Temperature Probe, 8 Customizable Cooking Presets, Large Easy-View Window, Give Your F</t>
  </si>
  <si>
    <t>CHEFMAN 5 夸脱数字空气炸锅，带温度探头，8 种可定制的烹饪预设，易于查看的大窗口，让您的 F</t>
  </si>
  <si>
    <t>2022-07-22</t>
  </si>
  <si>
    <t>10.2 pounds</t>
  </si>
  <si>
    <t>14 x 11 x 13 inches</t>
  </si>
  <si>
    <t>B0BKPT8QCL</t>
  </si>
  <si>
    <t>https://www.amazon.com/dp/B0BKPT8QCL?psc=1</t>
  </si>
  <si>
    <t>https://m.media-amazon.com/images/I/616n2LE4ghL._AC_US600_.jpg</t>
  </si>
  <si>
    <t>HQT</t>
  </si>
  <si>
    <t>3.7QT Round Air Fryer Grill Crisper Tray Plate for PowerXL Gowise Crux Air Fryers, 8.07IN Upgraded Double-layer Coating Air F</t>
  </si>
  <si>
    <t>3.7QT 圆形空气炸锅格栅保鲜盘，适用于 PowerXL Gowise Crux 空气炸锅，8.07 英寸升级版双层涂层 Air F</t>
  </si>
  <si>
    <t>46
77</t>
  </si>
  <si>
    <t>2022-10-27</t>
  </si>
  <si>
    <t>QingTutech</t>
  </si>
  <si>
    <t xml:space="preserve">公司名称：shenzhenshiqingtuxinxijishuyouxiangongsi
办公地址：
航城街道钟屋社区
湖畔酒家旁德普国际
深圳市
宝安区
广东省
518101
CN
</t>
  </si>
  <si>
    <t>4.7 ounces</t>
  </si>
  <si>
    <t>11.61 x 8.58 x 0.51 inches</t>
  </si>
  <si>
    <t>B07XF4HW8G</t>
  </si>
  <si>
    <t>https://www.amazon.com/dp/B07XF4HW8G?psc=1</t>
  </si>
  <si>
    <t>https://images-na.ssl-images-amazon.com/images/I/51e2Fp15xnL._AC_US600_.jpg</t>
  </si>
  <si>
    <t>Ninja Foodi SP101/FT102CO Digital Fry, Convection Oven, Toaster, Air Fryer, Flip-Away for Storage, with XL Capacity, and a St</t>
  </si>
  <si>
    <t>Ninja Foodi SP101/FT102CO 数字油炸机、对流烤箱、烤面包机、空气炸锅、可翻盖式存储、超大容量和 St</t>
  </si>
  <si>
    <t>82</t>
  </si>
  <si>
    <t>2019-09-04</t>
  </si>
  <si>
    <t>CYBER OUTLET</t>
  </si>
  <si>
    <t xml:space="preserve">公司名称：selectronics inc.
办公地址：
4801 Staunton Avenue
</t>
  </si>
  <si>
    <t>15.7 pounds</t>
  </si>
  <si>
    <t>7.6 x 19.7 x 15 inches</t>
  </si>
  <si>
    <t>https://www.amazon.com/dp/B01L7TOZJO?psc=1</t>
  </si>
  <si>
    <t>https://images-na.ssl-images-amazon.com/images/I/51B7UIiB95L._AC_US600_.jpg</t>
  </si>
  <si>
    <t>NutriChef Air Fryer, Halogen Infrared Convection Oven - Large 13 Quart Glass Air Fryer, Oil-Free Quick Healthy Meals Multicoo</t>
  </si>
  <si>
    <t>NutriChef 空气炸锅，卤素红外线对流烤箱 - 大型 13 夸脱玻璃空气炸锅，无油快速健康膳食 Multicoo</t>
  </si>
  <si>
    <t>2016-08-29</t>
  </si>
  <si>
    <t>12.5 pounds</t>
  </si>
  <si>
    <t>8.9 x 14 x 13.5 inches</t>
  </si>
  <si>
    <t>https://www.amazon.com/dp/B08NCHMH1L?psc=1</t>
  </si>
  <si>
    <t>https://m.media-amazon.com/images/I/31nldc5I5qL._AC_US600_.jpg</t>
  </si>
  <si>
    <t>Elite Gourmet EAF1121 Personal 1.1 Qt. Compact Space Saving Electric Hot Air Fryer Oil-Less Healthy Cooker, Timer &amp; Temperatu</t>
  </si>
  <si>
    <t>精英美食 EAF1121 个人 1.1 夸脱。 紧凑型节省空间电热空气炸锅无油健康炊具、定时器和温度</t>
  </si>
  <si>
    <t>105</t>
  </si>
  <si>
    <t>2020-11-12</t>
  </si>
  <si>
    <t>4.44 Pounds</t>
  </si>
  <si>
    <t>8.5"D x 6.5"W x 9.8"H</t>
  </si>
  <si>
    <t>B0BF4TCX6J</t>
  </si>
  <si>
    <t>https://www.amazon.com/dp/B0BF4TCX6J?psc=1</t>
  </si>
  <si>
    <t>https://images-na.ssl-images-amazon.com/images/I/41nnl0IYwmL._AC_US600_.jpg</t>
  </si>
  <si>
    <t>whall</t>
  </si>
  <si>
    <t>Air Fryer Oven,whall 12QT 12-in-1 Air Fryer Convection Oven,Rotisserie,Roast,Bake,Dehydrate,12 Cooking Presets,Digital Touchs</t>
  </si>
  <si>
    <t>Air Fryer Oven,whall 12QT 12-in-1 Air Fryer Convection Oven,Rotisserie,Roast,Bake,Dehydrate,12 烹饪预设,Digital Touchs</t>
  </si>
  <si>
    <t>NR A+</t>
  </si>
  <si>
    <t>161</t>
  </si>
  <si>
    <t>15.42 pounds</t>
  </si>
  <si>
    <t>15.3 x 14.8 x 14.8 inches</t>
  </si>
  <si>
    <t>https://www.amazon.com/dp/B08PNHBCTL?psc=1</t>
  </si>
  <si>
    <t>https://images-na.ssl-images-amazon.com/images/I/41EXcFBZ2uL._AC_US600_.jpg</t>
  </si>
  <si>
    <t>Paula Deen</t>
  </si>
  <si>
    <t>Paula Deen Stainless Steel 10 QT Digital Air Fryer (1700 Watts), LED Display, 10 Preset Cooking Functions, Ceramic Non-Stick</t>
  </si>
  <si>
    <t>Paula Deen 不锈钢 10 QT 数字空气炸锅（1700 瓦）、LED 显示屏、10 种预设烹饪功能、陶瓷不粘锅</t>
  </si>
  <si>
    <t>2020-12-03</t>
  </si>
  <si>
    <t>14 pounds</t>
  </si>
  <si>
    <t>13 x 11 x 13.7 inches</t>
  </si>
  <si>
    <t>B083TGW7DN</t>
  </si>
  <si>
    <t>https://www.amazon.com/dp/B083TGW7DN?psc=1</t>
  </si>
  <si>
    <t>https://images-na.ssl-images-amazon.com/images/I/41gnPXQ60DL._AC_US600_.jpg</t>
  </si>
  <si>
    <t>PowerXL Air Fryer Vortex - Multi Cooker with Roast, Bake, Food Dehydrator, Reheat Non Stick Coated Basket, Cookbook (7 QT, Bl</t>
  </si>
  <si>
    <t>PowerXL 空气炸锅 Vortex - 多功能炊具，带烘烤、烘烤、食品脱水机、再热不粘涂层篮子、食谱（7 夸脱，Bl</t>
  </si>
  <si>
    <t>108
113</t>
  </si>
  <si>
    <t>2019-11-08</t>
  </si>
  <si>
    <t>Wotoh Wholesale</t>
  </si>
  <si>
    <t xml:space="preserve">公司名称：Lead Emporium LLC
办公地址：
1280 Horseshoe Trl
Phoenixville
PA
19460
US
</t>
  </si>
  <si>
    <t>14.02 pounds</t>
  </si>
  <si>
    <t>10 x 8 x 8 inches</t>
  </si>
  <si>
    <t>B0BG2MGDXN</t>
  </si>
  <si>
    <t>https://www.amazon.com/dp/B0BG2MGDXN?psc=1</t>
  </si>
  <si>
    <t>https://images-na.ssl-images-amazon.com/images/I/51DFrKWE3+L._AC_US600_.jpg</t>
  </si>
  <si>
    <t>CUSIMAX</t>
  </si>
  <si>
    <t>CUSIMAX Air Fryer Oven, 10-in-1 Convection Oven, 24QT Air Fryer Combo, Countertop Air Fryer Toaster Oven with Rotisserie &amp; De</t>
  </si>
  <si>
    <t>CUSIMAX 空气炸锅烤箱、10 合 1 对流烤箱、24 夸脱空气炸锅组合、带 Rotisserie &amp;amp; De 的台面式空气炸锅烤箱</t>
  </si>
  <si>
    <t>124</t>
  </si>
  <si>
    <t>2022-09-21</t>
  </si>
  <si>
    <t>Tyche-Home Kitchen Small Appliance</t>
  </si>
  <si>
    <t xml:space="preserve">公司名称：ZHONGSHAN TAIKEXUN ELECTRICAL APPLIANCES CO.,LTD
办公地址：
xiaolanzhenshengpingdonglu1haohaigangcheng(shangyezhulou)
</t>
  </si>
  <si>
    <t>25.2 pounds</t>
  </si>
  <si>
    <t>18.5 x 17.5 x 17.5 inches</t>
  </si>
  <si>
    <t>B07GNSHPBQ</t>
  </si>
  <si>
    <t>https://www.amazon.com/dp/B07GNSHPBQ?psc=1</t>
  </si>
  <si>
    <t>https://images-na.ssl-images-amazon.com/images/I/41Ie-5jgNBL._AC_US600_.jpg</t>
  </si>
  <si>
    <t>DASH Deluxe Electric Air Fryer + Oven Cooker with Temperature Control, Non-stick Fry Basket, Recipe Guide + Auto Shut Off Fea</t>
  </si>
  <si>
    <t>DASH Deluxe Electric Air Fryer + Oven Cooker with Temperature Control, 不粘炸篮, Recipe Guide + Auto Shut Off Fea</t>
  </si>
  <si>
    <t>67</t>
  </si>
  <si>
    <t>2018-08-20</t>
  </si>
  <si>
    <t>12.1 pounds</t>
  </si>
  <si>
    <t>12.5 x 14.8 x 14.8 inches</t>
  </si>
  <si>
    <t>https://www.amazon.com/dp/B0BD4BYR11?psc=1</t>
  </si>
  <si>
    <t>https://images-na.ssl-images-amazon.com/images/I/41WjXoD4znL._AC_US600_.jpg</t>
  </si>
  <si>
    <t>COSORI Pro Gen 2 Air Fryer 5.8QT, Upgraded Version with Stable Performance &amp; Sleek New Look, 13 One Touch Functions, 100 Pape</t>
  </si>
  <si>
    <t>COSORI Pro Gen 2 空气炸锅 5.8QT 升级版性能稳定 外观时尚 13 项一键式功能 100 帕</t>
  </si>
  <si>
    <t>78</t>
  </si>
  <si>
    <t>2022-09-05</t>
  </si>
  <si>
    <t>11.9 pounds</t>
  </si>
  <si>
    <t>11.7 x 14.2 x 12.6 inches</t>
  </si>
  <si>
    <t>B08NSVZY1K</t>
  </si>
  <si>
    <t>https://www.amazon.com/dp/B08NSVZY1K?psc=1</t>
  </si>
  <si>
    <t>https://images-na.ssl-images-amazon.com/images/I/41wkF4drYML._AC_US600_.jpg</t>
  </si>
  <si>
    <t>COSORI Fryer Basket for Healthier Cook and Air Fry, Fits for CS130&amp;CO130 Series, Toaster Oven, Carbon-Steel, C130-FB</t>
  </si>
  <si>
    <t>COSORI 炸锅篮，用于更健康的烹饪和空气炸，适用于 CS130 和 CO130 系列，电烤箱，碳钢，C130-FB</t>
  </si>
  <si>
    <t>115</t>
  </si>
  <si>
    <t>2020-11-18</t>
  </si>
  <si>
    <t>14.1 x 11.8 x 1 inches</t>
  </si>
  <si>
    <t>B097PCDBRR</t>
  </si>
  <si>
    <t>https://www.amazon.com/dp/B097PCDBRR?psc=1</t>
  </si>
  <si>
    <t>https://images-na.ssl-images-amazon.com/images/I/51p7DpMN9bL._AC_US600_.jpg</t>
  </si>
  <si>
    <t>TOBEFORT</t>
  </si>
  <si>
    <t>Air Fryer Basket, Compatible for Cuisinart TOA-60 Serie/TOA-65 Air Fryer, 304 Food-Grade Stainless Steel Wire Rack, Cooking a</t>
  </si>
  <si>
    <t>空气炸锅篮，兼容 Cuisinart TOA-60 Serie/TOA-65 空气炸锅，304 食品级不锈钢线架，烹饪</t>
  </si>
  <si>
    <t>50
81</t>
  </si>
  <si>
    <t>2021-06-22</t>
  </si>
  <si>
    <t>10 x 11.5 x 2 inches</t>
  </si>
  <si>
    <t>B081PGHZGR</t>
  </si>
  <si>
    <t>https://www.amazon.com/dp/B081PGHZGR?psc=1</t>
  </si>
  <si>
    <t>https://m.media-amazon.com/images/W/IMAGERENDERING_521856-T1/images/I/41VVyif1syL._AC_US600_.jpg</t>
  </si>
  <si>
    <t>Ultrean Air Fryer oven, 12.5 Quart Airfryer Toaster Oven with Rotisserie,Bake,Dehydrator,Auto Shutoff and 8 Touch Screen Pres</t>
  </si>
  <si>
    <t>Ultrean Air Fryer 烤箱、12.5 夸脱 Airfryer 烤箱带烤肉架、烘焙、脱水器、自动关闭和 8 个触摸屏压力</t>
  </si>
  <si>
    <t>89</t>
  </si>
  <si>
    <t>2019-11-18</t>
  </si>
  <si>
    <t>17.73 Pounds</t>
  </si>
  <si>
    <t>15.9"D x 15.9"W x 17.7"H</t>
  </si>
  <si>
    <t>B0BR4ZYSRF</t>
  </si>
  <si>
    <t>https://www.amazon.com/dp/B0BR4ZYSRF?psc=1</t>
  </si>
  <si>
    <t>https://images-na.ssl-images-amazon.com/images/I/51DaREWGV9L._AC_US600_.jpg</t>
  </si>
  <si>
    <t>Aeitto</t>
  </si>
  <si>
    <t>Aeitto 30L Large Air Fryer Toaster Oven Combo,with Rotisserie and Dehydrator, 19-In-1 Digital Convection Oven Countertop Airf</t>
  </si>
  <si>
    <t>Aeitto 30 升大型空气炸锅烤面包机烤箱组合，带烤肉架和脱水机，19 合 1 数字对流烤箱台面 Airf</t>
  </si>
  <si>
    <t>132</t>
  </si>
  <si>
    <t>2023-01-01</t>
  </si>
  <si>
    <t>GOKUL ProLife Store</t>
  </si>
  <si>
    <t xml:space="preserve">公司名称：Gokul Toyal Information Technology Company Limited
办公地址：
UNIT 1701,17/F CAROLINE CTR 28 YUN PING RD CAUSEWAY BAY
HONG KONG
HONG KONG
999077
HK
</t>
  </si>
  <si>
    <t>24.2 pounds</t>
  </si>
  <si>
    <t>16.9 x 18 x 14.4 inches</t>
  </si>
  <si>
    <t>B07PMM3MMH</t>
  </si>
  <si>
    <t>https://www.amazon.com/dp/B07PMM3MMH?psc=1</t>
  </si>
  <si>
    <t>https://images-na.ssl-images-amazon.com/images/I/610-Wi7DvML._AC_US600_.jpg</t>
  </si>
  <si>
    <t>GREENRAIN</t>
  </si>
  <si>
    <t>2 Pack Magnetic Cheat Sheets Cookbook Cooker Compatible with Air Fryer Cooking Times Quick Reference Guide Air Fryer Accessor</t>
  </si>
  <si>
    <t>2 件装磁性备忘单食谱炊具兼容空气炸锅烹饪时间快速参考指南空气炸锅配件</t>
  </si>
  <si>
    <t>96</t>
  </si>
  <si>
    <t>2018-12-27</t>
  </si>
  <si>
    <t>GREENRAIN Official</t>
  </si>
  <si>
    <t xml:space="preserve">公司名称：penglaijiushuodianzishangwuyouxiangongsi
办公地址：
nanwangjiedaosujiabucundong
penglaishi
shandongsheng
265600
CN
</t>
  </si>
  <si>
    <t>0.37 pounds</t>
  </si>
  <si>
    <t>10.59 x 6.22 x 0.75 inches</t>
  </si>
  <si>
    <t>B08L3SW8DZ</t>
  </si>
  <si>
    <t>https://www.amazon.com/dp/B08L3SW8DZ?psc=1</t>
  </si>
  <si>
    <t>https://images-na.ssl-images-amazon.com/images/I/419w5-1jmOL._AC_US600_.jpg</t>
  </si>
  <si>
    <t>PowerXL Grill Air Fryer Combo 6 QT 12-in-1 Indoor Grill, Air Fryer, Slow Cooker, Roast, Bake, 1550-Watts, Stainless Steel Fin</t>
  </si>
  <si>
    <t>PowerXL 烧烤空气炸锅组合 6 QT 12 合 1 室内烧烤、空气炸锅、慢炖锅、烤、烘烤、1550 瓦、不锈钢翅片</t>
  </si>
  <si>
    <t>96
112</t>
  </si>
  <si>
    <t>22.5 pounds</t>
  </si>
  <si>
    <t>19.6 x 16.2 x 13.4 inches</t>
  </si>
  <si>
    <t>B08G5CH2HR</t>
  </si>
  <si>
    <t>https://www.amazon.com/dp/B08G5CH2HR?psc=1</t>
  </si>
  <si>
    <t>https://images-na.ssl-images-amazon.com/images/I/516+29sy+uL._AC_US600_.jpg</t>
  </si>
  <si>
    <t>Chefman Air Fryer Toaster Oven Combo, 7-In-1 Convection Oven Countertop 20 Qt Oven Air fryer, Cook a 10 Inch Pizza, Air Fry 2</t>
  </si>
  <si>
    <t>Chefman 空气炸锅烤面包机烤箱组合，7 合 1 对流烤箱台面 20 夸脱烤箱空气炸锅，烹饪 10 英寸披萨，空气炸锅 2</t>
  </si>
  <si>
    <t>81</t>
  </si>
  <si>
    <t>2020-08-18</t>
  </si>
  <si>
    <t>15.2 pounds</t>
  </si>
  <si>
    <t>15.5 x 16.7 x 14 inches</t>
  </si>
  <si>
    <t>https://www.amazon.com/dp/B09DYPNPV4?psc=1</t>
  </si>
  <si>
    <t>https://images-na.ssl-images-amazon.com/images/I/41RUxUeb1SL._AC_US600_.jpg</t>
  </si>
  <si>
    <t>ICONITESUE</t>
  </si>
  <si>
    <t>6-in-1 Air Fryer, 7-Quart/6.5L Smart Electric Hot Airfryer Combo Oven Oilless Cooker, 1800W Large Capacity Multifunction Heal</t>
  </si>
  <si>
    <t>6 合 1 空气炸锅，7 夸脱/6.5 升智能电热空气炸锅组合烤箱无油锅，1800 瓦大容量多功能 Heal</t>
  </si>
  <si>
    <t>93</t>
  </si>
  <si>
    <t>2021-08-30</t>
  </si>
  <si>
    <t>ICONITESUE Official</t>
  </si>
  <si>
    <t xml:space="preserve">公司名称：yunchengshiyanhuquleqiuqiudianzishangwultd
办公地址：
人民南路制版小区8号楼802
运城市
盐湖区
山西省
044000
CN
</t>
  </si>
  <si>
    <t>15 x 12 x 14 inches</t>
  </si>
  <si>
    <t>B0B42HSLFQ</t>
  </si>
  <si>
    <t>https://www.amazon.com/dp/B0B42HSLFQ?psc=1</t>
  </si>
  <si>
    <t>https://m.media-amazon.com/images/W/IMAGERENDERING_521856-T2/images/I/41LNy6LgobL._AC_US600_.jpg</t>
  </si>
  <si>
    <t>Ferenu</t>
  </si>
  <si>
    <t>Ferenu Air Fryer Silicone Pot for Ninja Foodi Dual DZ201 Reusable Silicone Air Fryer Liner Rectangle Air Fryer Basket for Nin</t>
  </si>
  <si>
    <t>Ferenu 空气炸锅硅胶锅适用于 Ninja Foodi Dual DZ201 可重复使用硅胶空气炸锅内衬矩形空气炸锅篮适用于 Nin</t>
  </si>
  <si>
    <t>AC NR</t>
  </si>
  <si>
    <t>62
94</t>
  </si>
  <si>
    <t>2022-06-27</t>
  </si>
  <si>
    <t>WEIXI Technical</t>
  </si>
  <si>
    <t xml:space="preserve">公司名称：Shenzhen Weixi Technology Co., Ltd.
办公地址：
福海街道桥头社区
</t>
  </si>
  <si>
    <t>12.8 ounces</t>
  </si>
  <si>
    <t>10.04 x 8.46 x 2.52 inches</t>
  </si>
  <si>
    <t>B0B3G8V6MV</t>
  </si>
  <si>
    <t>https://www.amazon.com/dp/B0B3G8V6MV?psc=1</t>
  </si>
  <si>
    <t>https://images-na.ssl-images-amazon.com/images/I/41kb9+9AjPL._AC_US600_.jpg</t>
  </si>
  <si>
    <t>Air Fryer Toaster Oven Combo - Fabuletta 10-in-1 Countertop Convection Oven 1800W, Flip Up &amp; Away Capability for Storage Spac</t>
  </si>
  <si>
    <t>空气炸锅烤面包机烤箱组合 - Fabuletta 10 合 1 台面对流烤箱 1800 瓦，可翻转存储空间</t>
  </si>
  <si>
    <t>83</t>
  </si>
  <si>
    <t>2022-06-08</t>
  </si>
  <si>
    <t>Lillomcom</t>
  </si>
  <si>
    <t xml:space="preserve">公司名称：suzhoudaketexinxikejiyouxiangongsi
办公地址：
muduzhen mududongmenting shangyeguangchang 10zhuang 320shi
wuzhongqu
suzhoushi
jiangsusheng
215000
CN
</t>
  </si>
  <si>
    <t>13.45 pounds</t>
  </si>
  <si>
    <t>13 x 18.8 x 7.4 inches</t>
  </si>
  <si>
    <t>B0B1CZ57FF</t>
  </si>
  <si>
    <t>https://www.amazon.com/dp/B0B1CZ57FF?psc=1</t>
  </si>
  <si>
    <t>https://m.media-amazon.com/images/I/51WhsyhjoiL._AC_US600_.jpg</t>
  </si>
  <si>
    <t>CODOGOY</t>
  </si>
  <si>
    <t>Air Fryer Rack for Ninja Foodi Dual XL Air Fryer, CODOGOY Multi-Layer Air Fryer Accessories Dehydrator Rack Compatible with N</t>
  </si>
  <si>
    <t>适用于 Ninja Foodi Dual XL 空气炸锅的空气炸锅架，CODOGOY 多层空气炸锅配件脱水机架与 N 兼容</t>
  </si>
  <si>
    <t>2022-05-16</t>
  </si>
  <si>
    <t xml:space="preserve">公司名称：Dongguan DEMEIYIN Electric Co., Ltd.
</t>
  </si>
  <si>
    <t>1.32 pounds</t>
  </si>
  <si>
    <t>10.75 x 6.69 x 2.52 inches</t>
  </si>
  <si>
    <t>https://www.amazon.com/dp/B076FPT78K?psc=1</t>
  </si>
  <si>
    <t>https://images-na.ssl-images-amazon.com/images/I/41Q4s94S0uL._AC_US600_.jpg</t>
  </si>
  <si>
    <t>Secura</t>
  </si>
  <si>
    <t>Secura Air Fryer XL 5.3 Quart 1700-Watt Electric Hot Air Fryers Oven Oil Free Nonstick Cooker w/Recipes for Frying, Roasting,</t>
  </si>
  <si>
    <t>Secura 空气炸锅 XL 5.3 夸脱 1700 瓦电热空气炸锅烤箱无油不粘锅带食谱，用于煎炸、烘烤、</t>
  </si>
  <si>
    <t>2017-03-31</t>
  </si>
  <si>
    <t>10.7 pounds</t>
  </si>
  <si>
    <t>11.65"D x 11.42"W x 12.8"H</t>
  </si>
  <si>
    <t>B08KXTDBQC</t>
  </si>
  <si>
    <t>https://www.amazon.com/dp/B08KXTDBQC?psc=1</t>
  </si>
  <si>
    <t>https://images-na.ssl-images-amazon.com/images/I/41UTCIgF3RL._AC_US600_.jpg</t>
  </si>
  <si>
    <t>PowerXL Vortex Air Fryer, Vortex Rapid Air Technology, SmartSync, Broil, Bake, Roast, Reheat, Dehydrate (10 QT Single Basket)</t>
  </si>
  <si>
    <t>PowerXL Vortex 空气炸锅、Vortex Rapid Air 技术、SmartSync、烤、烘、烤、再热、脱水（10 QT 单篮）</t>
  </si>
  <si>
    <t>87
98</t>
  </si>
  <si>
    <t>2020-10-08</t>
  </si>
  <si>
    <t>17.43 pounds</t>
  </si>
  <si>
    <t>15 x 15 x 15 inches</t>
  </si>
  <si>
    <t>B01LX9T6HF</t>
  </si>
  <si>
    <t>https://www.amazon.com/dp/B01LX9T6HF?psc=1</t>
  </si>
  <si>
    <t>https://images-na.ssl-images-amazon.com/images/I/418+jnE43GL._AC_US600_.jpg</t>
  </si>
  <si>
    <t>GoWISE USA 3.7-Quart Programmable Air Fryer with 8 Cook Presets, GW22638 - Black</t>
  </si>
  <si>
    <t>GoWISE USA 3.7 夸脱可编程空气炸锅，带 8 个烹饪预设，GW22638 - 黑色</t>
  </si>
  <si>
    <t>2016-08-11</t>
  </si>
  <si>
    <t>13 pounds</t>
  </si>
  <si>
    <t>12 x 8 x 8 inches</t>
  </si>
  <si>
    <t>https://www.amazon.com/dp/B086K1T4JJ?psc=1</t>
  </si>
  <si>
    <t>https://images-na.ssl-images-amazon.com/images/I/41Kx73WvRML._AC_US600_.jpg</t>
  </si>
  <si>
    <t>PowerXL Air Fryer Grill 8 in 1 Roast, Bake, Rotisserie, Electric Indoor Grill (Black Deluxe)</t>
  </si>
  <si>
    <t>PowerXL 空气炸锅烤架 8 合 1 烤、烤、烤肉店、电动室内烤架（黑色豪华版）</t>
  </si>
  <si>
    <t>108
117</t>
  </si>
  <si>
    <t>2020-03-30</t>
  </si>
  <si>
    <t>25.3 pounds</t>
  </si>
  <si>
    <t>24 x 17.2 x 12.9 inches</t>
  </si>
  <si>
    <t>B084B7PF4K</t>
  </si>
  <si>
    <t>https://www.amazon.com/dp/B084B7PF4K?psc=1</t>
  </si>
  <si>
    <t>https://images-na.ssl-images-amazon.com/images/I/31hes0z4e1L._AC_US600_.jpg</t>
  </si>
  <si>
    <t>Ninja Foodi</t>
  </si>
  <si>
    <t>Ninja Foodi Ninja Foodi 4-in-1 Indoor Grill (Renewed)</t>
  </si>
  <si>
    <t>Ninja Foodi Ninja Foodi 4 合 1 室内烧烤炉（已更新）</t>
  </si>
  <si>
    <t>116</t>
  </si>
  <si>
    <t>2020-01-29</t>
  </si>
  <si>
    <t>25.4 pounds</t>
  </si>
  <si>
    <t>18.8 x 15.6 x 14.2 inches</t>
  </si>
  <si>
    <t>B0B3SHYNBG</t>
  </si>
  <si>
    <t>https://www.amazon.com/dp/B0B3SHYNBG?psc=1</t>
  </si>
  <si>
    <t>https://m.media-amazon.com/images/I/61PY7xJYKRL._AC_US600_.jpg</t>
  </si>
  <si>
    <t>Breville</t>
  </si>
  <si>
    <t>Breville Smart Oven Air Fryer Toaster Oven, Black Truffle, BOV860</t>
  </si>
  <si>
    <t>Breville 智能烤箱空气炸锅烤箱，黑松露，BOV860</t>
  </si>
  <si>
    <t>Home &amp; Kitchen:Kitchen &amp; Dining:Small Appliances:Ovens &amp; Toasters:Convection Ovens</t>
  </si>
  <si>
    <t>Convection Ovens</t>
  </si>
  <si>
    <t>2022-06-10</t>
  </si>
  <si>
    <t>Kitchen Kapers</t>
  </si>
  <si>
    <t xml:space="preserve">公司名称：Kitchen Kapers, Inc
电话号码：800-455-5567
办公地址：
1250 Marlkress Road
</t>
  </si>
  <si>
    <t>28.66 Pounds</t>
  </si>
  <si>
    <t>10.94"D x 18.9"W x 15.87"H</t>
  </si>
  <si>
    <t>B08TWB9L5P</t>
  </si>
  <si>
    <t>https://www.amazon.com/dp/B08TWB9L5P?psc=1</t>
  </si>
  <si>
    <t>https://images-na.ssl-images-amazon.com/images/I/51BtVuritGL._AC_US600_.jpg</t>
  </si>
  <si>
    <t>Gevi</t>
  </si>
  <si>
    <t>Gevi Air Fryer Toaster Oven Combo, Large Digital LED Screen Convection Oven with Rotisserie and Dehydrator, Extra Large Capac</t>
  </si>
  <si>
    <t>Gevi 空气炸锅烤箱组合，大型数字 LED 屏幕对流烤箱，带烤肉架和脱水机，超大容量</t>
  </si>
  <si>
    <t>Commercial Ovens
Air Fryers</t>
  </si>
  <si>
    <t>1
152</t>
  </si>
  <si>
    <t>2016-03-26</t>
  </si>
  <si>
    <t>HEROIC SUPPORT LIMITED</t>
  </si>
  <si>
    <t xml:space="preserve">公司名称：HEROIC SUPPORT LIMITED
办公地址：
RM D 10/F TOWER A BILLION CTR 1 WANG KWONG RD
KOWLOON BAY BL
HONG KONG
999077
HK
</t>
  </si>
  <si>
    <t>20.94 pounds</t>
  </si>
  <si>
    <t>1 x 1 x 1 inches</t>
  </si>
  <si>
    <t>https://www.amazon.com/dp/B086GWG6BG?psc=1</t>
  </si>
  <si>
    <t>https://images-na.ssl-images-amazon.com/images/I/41Bh+8iMurL._AC_US600_.jpg</t>
  </si>
  <si>
    <t>QINQIWD</t>
  </si>
  <si>
    <t>QINQIWD-Air Fryers 2.5L Air Fryer with Rapid Air Circulation System, for Home Smart No Frying Low Fat Healthy Oven 1200W, (Co</t>
  </si>
  <si>
    <t>QINQIWD-空气炸锅 2.5L空气炸锅带快速空气循环系统，适用于家庭智能免油炸低脂健康烤箱1200W，（Co</t>
  </si>
  <si>
    <t>66</t>
  </si>
  <si>
    <t>ZZLJSMY</t>
  </si>
  <si>
    <t>10.8 x 10.8 x 12.6 inches</t>
  </si>
  <si>
    <t>B07DBNSCFW</t>
  </si>
  <si>
    <t>https://www.amazon.com/dp/B07DBNSCFW?psc=1</t>
  </si>
  <si>
    <t>https://images-na.ssl-images-amazon.com/images/I/51TJcRe+XLL._AC_US600_.jpg</t>
  </si>
  <si>
    <t>GoWISE USA Standard 6-Piece Air Fryer Accessory Kit for 2.75-4 Quarts, Small, Universal</t>
  </si>
  <si>
    <t>GoWISE 美国标准 6 件空气炸锅配件套件，适用于 2.75-4 夸脱，小型，通用</t>
  </si>
  <si>
    <t>56
86</t>
  </si>
  <si>
    <t>2017-08-21</t>
  </si>
  <si>
    <t>1.54 pounds</t>
  </si>
  <si>
    <t>7 x 7 x 6 inches</t>
  </si>
  <si>
    <t>B09Y12NVC2</t>
  </si>
  <si>
    <t>https://www.amazon.com/dp/B09Y12NVC2?psc=1</t>
  </si>
  <si>
    <t>https://m.media-amazon.com/images/I/41MMVnAeq+L._AC_US600_.jpg</t>
  </si>
  <si>
    <t>Simple Deluxe</t>
  </si>
  <si>
    <t>Simple Deluxe Air Fryer Oven, Toaster Oven Air Fryer Combo, Family Size Air Fryer Oven, 6 Accessories Included , 25L Large Ca</t>
  </si>
  <si>
    <t>简单豪华空气炸锅烤箱，烤箱空气炸锅组合，家庭尺寸空气炸锅烤箱，包括 6 个配件，25 升大容量</t>
  </si>
  <si>
    <t>Dehydrators
Toaster Ovens
Air Fryers</t>
  </si>
  <si>
    <t>23
35
102</t>
  </si>
  <si>
    <t>2022-04-15</t>
  </si>
  <si>
    <t>15.7"D x 16.5"W x 15.7"H</t>
  </si>
  <si>
    <t>1950099385</t>
  </si>
  <si>
    <t>https://www.amazon.com/dp/1950099385?psc=1</t>
  </si>
  <si>
    <t>https://m.media-amazon.com/images/I/51wkIrk1KRL._AC_US200_.jpg</t>
  </si>
  <si>
    <t>Delish</t>
  </si>
  <si>
    <t>Party in an Air Fryer: 75+ Air Fryer Recipes from the Editors at Delish</t>
  </si>
  <si>
    <t>空气炸锅派对：来自 Delish 编辑的 75 多种空气炸锅食谱</t>
  </si>
  <si>
    <t>Hearst Product Studio</t>
  </si>
  <si>
    <t>B08739L374</t>
  </si>
  <si>
    <t>https://www.amazon.com/dp/B08739L374?psc=1</t>
  </si>
  <si>
    <t>https://images-na.ssl-images-amazon.com/images/I/51cjHLNNdfL._AC_US600_.jpg</t>
  </si>
  <si>
    <t>CROWNFUL Air Fryer, 10.6 Quart Large Convection Toaster Oven with Digital LCD Touch Screen, 10 in 1 Oilless Cooker with Rotis</t>
  </si>
  <si>
    <t>CROWNFUL 空气炸锅，10.6 夸脱大型对流烤箱，带数字 LCD 触摸屏，10 合 1 无油炊具，带 Rotis</t>
  </si>
  <si>
    <t>101</t>
  </si>
  <si>
    <t>2020-04-14</t>
  </si>
  <si>
    <t>18.41 pounds</t>
  </si>
  <si>
    <t>13.2 x 13.3 x 14.6 inches</t>
  </si>
  <si>
    <t>B087WW1W78</t>
  </si>
  <si>
    <t>https://www.amazon.com/dp/B087WW1W78?psc=1</t>
  </si>
  <si>
    <t>https://images-na.ssl-images-amazon.com/images/I/41XooFogX3S._AC_US600_.jpg</t>
  </si>
  <si>
    <t>CROWNFUL 19 Quart Air Fryer Toaster Oven, Convection Roaster with Rotisserie &amp; Dehydrator, 10-in-1 Countertop Oven, Original</t>
  </si>
  <si>
    <t>CROWNFUL 19 夸脱空气炸锅烤面包机烤箱，带烤肉架和脱水机的对流烤炉，10 合 1 台面烤箱，原装</t>
  </si>
  <si>
    <t>2020-04-30</t>
  </si>
  <si>
    <t>25 pounds</t>
  </si>
  <si>
    <t>14.2 x 15.7 x 13.4 inches</t>
  </si>
  <si>
    <t>B09B9K9552</t>
  </si>
  <si>
    <t>https://www.amazon.com/dp/B09B9K9552?psc=1</t>
  </si>
  <si>
    <t>https://images-na.ssl-images-amazon.com/images/I/41itlVcI-8L._AC_US600_.jpg</t>
  </si>
  <si>
    <t>KOOC</t>
  </si>
  <si>
    <t>[NEW] KOOC Large Air Fryer, 4.5-Quart Electric Hot Oven Cooker, Free Cheat Sheet for Quick Reference Guide, LED Touch Digital</t>
  </si>
  <si>
    <t>[新] KOOC 大型空气炸锅、4.5 夸脱电热烤箱炊具、免费快速参考指南备忘单、LED Touch Digital</t>
  </si>
  <si>
    <t>100</t>
  </si>
  <si>
    <t>2021-06-27</t>
  </si>
  <si>
    <t>KOOC Official</t>
  </si>
  <si>
    <t xml:space="preserve">公司名称：Suzhou Ruijin Info Technology Co., Ltd
办公地址：
Room 1007, Building 2, Runjie Plaza
</t>
  </si>
  <si>
    <t>11.82 pounds</t>
  </si>
  <si>
    <t>13.7 x 15 x 13.5 inches</t>
  </si>
  <si>
    <t>B08P27RFLB</t>
  </si>
  <si>
    <t>https://www.amazon.com/dp/B08P27RFLB?psc=1</t>
  </si>
  <si>
    <t>https://images-na.ssl-images-amazon.com/images/I/31oBMRVPbJS._AC_US600_.jpg</t>
  </si>
  <si>
    <t>BELLA</t>
  </si>
  <si>
    <t>BELLA 2.9QT Touchscreen Air Fryer, No Pre-Heat Needed, No-Oil Frying, Fast Healthy Evenly Cooked Meal Every Time, Dishwasher</t>
  </si>
  <si>
    <t>BELLA 2.9QT 触摸屏空气炸锅，无需预热，无油煎炸，每次都能快速健康均匀地烹饪食物，洗碗机</t>
  </si>
  <si>
    <t>107</t>
  </si>
  <si>
    <t>2021-05-30</t>
  </si>
  <si>
    <t>9.43 pounds</t>
  </si>
  <si>
    <t>15.1 x 15.1 x 14.7 inches</t>
  </si>
  <si>
    <t>B0B94K541Q</t>
  </si>
  <si>
    <t>https://www.amazon.com/dp/B0B94K541Q?psc=1</t>
  </si>
  <si>
    <t>https://images-na.ssl-images-amazon.com/images/I/514XT9luXRL._AC_US600_.jpg</t>
  </si>
  <si>
    <t>PHKOK</t>
  </si>
  <si>
    <t>PHKOK 7 Quarts Air Fryer, 1700W 360°Large Electric Hot Oilless Oven Cooker with 2-24 HRS Appointment Function,14-in-1 Airfrye</t>
  </si>
  <si>
    <t>PHKOK 7 夸脱空气炸锅，1700 瓦 360° 大型电热无油烤箱炊具，具有 2-24 小时预约功能，14 合 1 Airfrye</t>
  </si>
  <si>
    <t>135</t>
  </si>
  <si>
    <t>2022-08-09</t>
  </si>
  <si>
    <t>ningboyanxi</t>
  </si>
  <si>
    <t xml:space="preserve">公司名称：ningboyanxiriyongpinyouxiangongsi
办公地址：
朗海村朗海南路2号
余姚市
小曹娥镇
浙江省
315400
CN
</t>
  </si>
  <si>
    <t>18.21 pounds</t>
  </si>
  <si>
    <t>16.2 x 14.2 x 17.3 inches</t>
  </si>
  <si>
    <t>B08HPQ384Y</t>
  </si>
  <si>
    <t>https://www.amazon.com/dp/B08HPQ384Y?psc=1</t>
  </si>
  <si>
    <t>https://images-na.ssl-images-amazon.com/images/I/51Pp7HEnMDL._AC_US600_.jpg</t>
  </si>
  <si>
    <t>CHEFMAN Air Fryer Toaster Oven XL 20L, Healthy Cooking &amp; User Friendly, Countertop Convection Bake &amp; Broil, 9 Cooking Functio</t>
  </si>
  <si>
    <t>CHEFMAN 空气炸锅烤箱 XL 20L，健康烹饪和用户友好型，台面对流烘烤和烧烤，9 种烹饪功能</t>
  </si>
  <si>
    <t>130</t>
  </si>
  <si>
    <t>2020-09-08</t>
  </si>
  <si>
    <t>15 x 15.7 x 14 inches</t>
  </si>
  <si>
    <t>B0B52885M9</t>
  </si>
  <si>
    <t>https://www.amazon.com/dp/B0B52885M9?psc=1</t>
  </si>
  <si>
    <t>https://m.media-amazon.com/images/W/IMAGERENDERING_521856-T1/images/I/41uMb4vYYiL._AC_US600_.jpg</t>
  </si>
  <si>
    <t>Chefman TurboFry 2-Quart Air Fryer, Dishwasher Safe Basket &amp; Tray, Use Little to No Oil For Healthy Food, 60 Minute Timer, Fr</t>
  </si>
  <si>
    <t>Chefman TurboFry 2 夸脱空气炸锅，可放入洗碗机清洗的篮子和托盘，少用油或不用油制作健康食品，60 分钟定时器，法国</t>
  </si>
  <si>
    <t>79</t>
  </si>
  <si>
    <t>2022-06-24</t>
  </si>
  <si>
    <t>5 Pounds</t>
  </si>
  <si>
    <t>9.45"D x 7.87"W x 11.02"H</t>
  </si>
  <si>
    <t>B06XYKVPLS</t>
  </si>
  <si>
    <t>https://www.amazon.com/dp/B06XYKVPLS?psc=1</t>
  </si>
  <si>
    <t>https://images-na.ssl-images-amazon.com/images/I/41zlAqz5EQS._AC_US600_.jpg</t>
  </si>
  <si>
    <t>Secura Air Fryer 3.4Qt / 3.2L 1500-Watt Electric Hot XL Air Fryers Oven Oil Free Nonstick Cooker with/Recipes for Frying, Roa</t>
  </si>
  <si>
    <t>Secura 空气炸锅 3.4 夸脱 / 3.2 升 1500 瓦电热 XL 空气炸锅烤箱无油不粘锅带/煎炸食谱，Roa</t>
  </si>
  <si>
    <t>176</t>
  </si>
  <si>
    <t>11.58 pounds</t>
  </si>
  <si>
    <t>11 x 13 x 12 inches</t>
  </si>
  <si>
    <t>B0BKH3GB4Q</t>
  </si>
  <si>
    <t>https://www.amazon.com/dp/B0BKH3GB4Q?psc=1</t>
  </si>
  <si>
    <t>https://images-na.ssl-images-amazon.com/images/I/51Dc8o0n62L._AC_US600_.jpg</t>
  </si>
  <si>
    <t>Giant Lifters</t>
  </si>
  <si>
    <t>2 Pack Reusable Air Fryer Silicone Liners for 5 QT or Bigger, Silicone Air Fryer Liners, Silicone Pot Round, Air fryer Access</t>
  </si>
  <si>
    <t>2 件装可重复使用的空气炸锅硅胶内衬，适用于 5 夸脱或更大，硅胶空气炸锅内衬，圆形硅胶锅，空气炸锅入口</t>
  </si>
  <si>
    <t>134</t>
  </si>
  <si>
    <t>2022-10-25</t>
  </si>
  <si>
    <t xml:space="preserve">公司名称：Giant Lifters LLC
办公地址：
30 N Gould St Ste R
SHERIDAN
wyoming
82801
US
</t>
  </si>
  <si>
    <t>5.6 ounces</t>
  </si>
  <si>
    <t>9.72 x 5.16 x 3.66 inches</t>
  </si>
  <si>
    <t>https://www.amazon.com/dp/B09871GCN1?psc=1</t>
  </si>
  <si>
    <t>https://images-na.ssl-images-amazon.com/images/I/41Eimf3muML._AC_US600_.jpg</t>
  </si>
  <si>
    <t>Beelicious</t>
  </si>
  <si>
    <t>Beelicious 32QT Extra Large Air Fryer, 19-In-1 Air Fryer Toaster Oven Combo with Rotisserie and Dehydrator, Digital Convectio</t>
  </si>
  <si>
    <t>Beelicious 32QT 超大空气炸锅，19 合 1 空气炸锅烤箱组合，带烤肉店和脱水机，数字对流</t>
  </si>
  <si>
    <t>140</t>
  </si>
  <si>
    <t>Easi Life Store</t>
  </si>
  <si>
    <t xml:space="preserve">公司名称：Yize Information Technology Company Limited
办公地址：
UNIT 2,1/F WAH HUNG CTR 41 HUNG TO RD KWUN TONG KLN
HONG KONG
HONG KONG
999077
HK
</t>
  </si>
  <si>
    <t>18.2 x 19.8 x 16.4 inches</t>
  </si>
  <si>
    <t>B09696JZVR</t>
  </si>
  <si>
    <t>https://www.amazon.com/dp/B09696JZVR?psc=1</t>
  </si>
  <si>
    <t>https://m.media-amazon.com/images/I/41K7k9nX6sL._AC_US600_.jpg</t>
  </si>
  <si>
    <t>ALLcool</t>
  </si>
  <si>
    <t>Air Fryer, Airfryer Oven Large Air Fryer 1700W 8-in-1 with Touch Screen Air Fryers Detachable Dishwasher Safe Nonstick Basket</t>
  </si>
  <si>
    <t>空气炸锅、空气炸锅烤箱大型空气炸锅 1700 瓦 8 合 1 带触摸屏空气炸锅可拆卸洗碗机安全不粘篮</t>
  </si>
  <si>
    <t>142</t>
  </si>
  <si>
    <t>2021-06-01</t>
  </si>
  <si>
    <t>15.65 Pounds</t>
  </si>
  <si>
    <t>14.57"D x 11.81"W x 14.57"H</t>
  </si>
  <si>
    <t>B09NS522NG</t>
  </si>
  <si>
    <t>https://www.amazon.com/dp/B09NS522NG?psc=1</t>
  </si>
  <si>
    <t>https://images-na.ssl-images-amazon.com/images/I/51Z9ph1oLoL._AC_US600_.jpg</t>
  </si>
  <si>
    <t>Ninja FT102CO Foodi 9-in-1 Digital Air Fry Oven Air Fry, Air Roast, Air Broil, Bake, Bagel, Toast, Dehydrate, Keep Warm, and</t>
  </si>
  <si>
    <t>Ninja FT102CO Foodi 9 合 1 数字空气炸炉空气炸、空气烤、空气烤、烘烤、百吉饼、吐司、脱水、保温和</t>
  </si>
  <si>
    <t>108</t>
  </si>
  <si>
    <t>2021-12-17</t>
  </si>
  <si>
    <t>22.8 pounds</t>
  </si>
  <si>
    <t>B0BPLG5GFW</t>
  </si>
  <si>
    <t>https://www.amazon.com/dp/B0BPLG5GFW?psc=1</t>
  </si>
  <si>
    <t>https://images-na.ssl-images-amazon.com/images/I/41UKs3XQkmL._AC_US600_.jpg</t>
  </si>
  <si>
    <t>deime</t>
  </si>
  <si>
    <t>Air Fryer 4.2 QT Oilless Hot AirFryer 1200W Healthy Cooker Small Oven with 7 Presets, Digital LCD Touch Screen, Visual Cookin</t>
  </si>
  <si>
    <t>空气炸锅 4.2 QT 无油热空气炸锅 1200 瓦健康炊具小型烤箱，带 7 种预设，数字液晶触摸屏，视觉烹饪</t>
  </si>
  <si>
    <t>99</t>
  </si>
  <si>
    <t>2022-12-09</t>
  </si>
  <si>
    <t>8.98 pounds</t>
  </si>
  <si>
    <t>9 x 9 x 11.8 inches</t>
  </si>
  <si>
    <t>B0B18MBRHD</t>
  </si>
  <si>
    <t>https://www.amazon.com/dp/B0B18MBRHD?psc=1</t>
  </si>
  <si>
    <t>https://images-na.ssl-images-amazon.com/images/I/41i6RaTZPWL._AC_US600_.jpg</t>
  </si>
  <si>
    <t>Ganiza</t>
  </si>
  <si>
    <t>Air Fryers Oven, GANIZA 6 Quart Oilless Air Fryer with Visible Cooking Window, One-Touch Screen with 13 Functions, Nonstick a</t>
  </si>
  <si>
    <t>空气炸锅烤箱，GANIZA 6 夸脱无油空气炸锅，带可见烹饪窗口，具有 13 种功能的一键式屏幕，不粘锅</t>
  </si>
  <si>
    <t>151</t>
  </si>
  <si>
    <t>2022-07-31</t>
  </si>
  <si>
    <t>GanizaDirect-US</t>
  </si>
  <si>
    <t xml:space="preserve">公司名称：LINKZONE TECHNOLOGY CO., LIMITED
办公地址：
28 CONNAUGHT RD WEST
WAYSON COMMERCIAL BUILDING ROOM 510 5/F
SHEUNGWAN
HONGKONG
999077
HK
</t>
  </si>
  <si>
    <t>13.4 x 10.6 x 13 inches</t>
  </si>
  <si>
    <t>B0893RB4BH</t>
  </si>
  <si>
    <t>https://www.amazon.com/dp/B0893RB4BH?psc=1</t>
  </si>
  <si>
    <t>https://images-na.ssl-images-amazon.com/images/I/616e+YnFBoS._AC_US600_.jpg</t>
  </si>
  <si>
    <t>RAMLLY</t>
  </si>
  <si>
    <t>XL Air Fryer Accessories-Air Fryer Three Stackable Racks for Gowise Phillips USA Cozyna Ninjia Airfryer,Air Fryer Rack Stainl</t>
  </si>
  <si>
    <t>XL 空气炸锅配件-空气炸锅三个可堆叠架适用于 Gowise Phillips USA Cozyna Ninjia 空气炸锅，空气炸锅架不锈钢</t>
  </si>
  <si>
    <t>Home &amp; Kitchen:Kitchen &amp; Dining:Small Appliances:Specialty Appliances:Dehydrators</t>
  </si>
  <si>
    <t>Dehydrators
Air Fryers</t>
  </si>
  <si>
    <t>27
111</t>
  </si>
  <si>
    <t>2020-05-24</t>
  </si>
  <si>
    <t>12 ounces</t>
  </si>
  <si>
    <t>8.15 x 8.07 x 4.02 inches</t>
  </si>
  <si>
    <t>https://www.amazon.com/dp/B07Z1R5D26?psc=1</t>
  </si>
  <si>
    <t>https://images-na.ssl-images-amazon.com/images/I/41Vufu1KwhL._AC_US600_.jpg</t>
  </si>
  <si>
    <t>Ultrean Air Fryer 6 Quart , Large Family Size Electric Hot Airfryer XL Oven Oilless Cooker with 7 Presets, LCD Digital Touch</t>
  </si>
  <si>
    <t>Ultrean 空气炸锅 6 夸脱，大型家庭尺寸电热空气炸锅 XL 烤箱无油炊具​​，带 7 个预设，LCD 数字触摸</t>
  </si>
  <si>
    <t>126</t>
  </si>
  <si>
    <t>2020-01-09</t>
  </si>
  <si>
    <t>13.76 pounds</t>
  </si>
  <si>
    <t>14.9 x 12.5 x 14.4 inches</t>
  </si>
  <si>
    <t>B0B1MD5HBN</t>
  </si>
  <si>
    <t>https://www.amazon.com/dp/B0B1MD5HBN?psc=1</t>
  </si>
  <si>
    <t>https://images-na.ssl-images-amazon.com/images/I/41iZ4j7pCQL._AC_US600_.jpg</t>
  </si>
  <si>
    <t>Heat Resistant Mat for Air Fryer with Sliding Function, 2 Pcs 12 * 14 in Heat Resistant Pad Sliding Caddy Countertop Protecto</t>
  </si>
  <si>
    <t>带滑动功能的空气炸锅耐热垫，2 件 12 * 14 英寸耐热垫滑动盒台面保护</t>
  </si>
  <si>
    <t>170</t>
  </si>
  <si>
    <t>2022-05-18</t>
  </si>
  <si>
    <t>6.4 ounces</t>
  </si>
  <si>
    <t>13.94 x 11.85 x 0.51 inches</t>
  </si>
  <si>
    <t>B07V39R29T</t>
  </si>
  <si>
    <t>https://www.amazon.com/dp/B07V39R29T?psc=1</t>
  </si>
  <si>
    <t>https://images-na.ssl-images-amazon.com/images/I/41oyDNvYsGL._AC_US600_.jpg</t>
  </si>
  <si>
    <t>GoWISE USA 8-in-1 Digital Air Fryer with Recipe Book, 7.0-Qt, Black</t>
  </si>
  <si>
    <t>GoWISE USA 8 合 1 数字空气炸锅带食谱，7.0 夸脱，黑色</t>
  </si>
  <si>
    <t>144</t>
  </si>
  <si>
    <t>2019-07-11</t>
  </si>
  <si>
    <t>13.5"D x 12.5"W x 14.5"H</t>
  </si>
  <si>
    <t>https://www.amazon.com/dp/B07Z9HNYQ9?psc=1</t>
  </si>
  <si>
    <t>https://images-na.ssl-images-amazon.com/images/I/41lbBkQw9eL._AC_US600_.jpg</t>
  </si>
  <si>
    <t>Emeril Lagasse Power Air Fryer 360 Max XL Family Sized Better Than Convection Ovens Replaces a Hot Air Fryer Oven, Toaster Ov</t>
  </si>
  <si>
    <t>Emeril Lagasse Power Air Fryer 360 Max XL 系列尺寸优于对流烤箱，可替代热空气炸锅烤箱、烤面包机 Ov</t>
  </si>
  <si>
    <t>91
105</t>
  </si>
  <si>
    <t>2019-10-21</t>
  </si>
  <si>
    <t>27 pounds</t>
  </si>
  <si>
    <t>15.6 x 19.7 x 13 inches</t>
  </si>
  <si>
    <t>https://www.amazon.com/dp/B08CY6ZPCW?psc=1</t>
  </si>
  <si>
    <t>https://images-na.ssl-images-amazon.com/images/I/31ADxxI3XjL._AC_US600_.jpg</t>
  </si>
  <si>
    <t>Oster DiamondForce Nonstick XL 5 Quart Digital Air Fryer, 8 Functions with Digital Touchscreen</t>
  </si>
  <si>
    <t>Oster DiamondForce Nonstick XL 5 夸脱数字空气炸锅，带数字触摸屏的 8 种功能</t>
  </si>
  <si>
    <t>11.91 pounds</t>
  </si>
  <si>
    <t>15.6 x 12.9 x 5 inches</t>
  </si>
  <si>
    <t>B0BVVCQPP9</t>
  </si>
  <si>
    <t>https://www.amazon.com/dp/B0BVVCQPP9?psc=1</t>
  </si>
  <si>
    <t>https://m.media-amazon.com/images/I/51N0x14n+AL._AC_US600_.jpg</t>
  </si>
  <si>
    <t>Teckarry</t>
  </si>
  <si>
    <t>Air Fryer Tray, Air Fry Basket for Oven, 2 Piece Air Fryer Basket for Oven with Air Fry Option, Air Fry for Convection Oven,</t>
  </si>
  <si>
    <t>空气炸锅托盘，烤箱空气炸锅篮，2 件烤箱空气炸锅篮，带空气炸锅选项，对流烤箱空气炸锅，</t>
  </si>
  <si>
    <t>167
210</t>
  </si>
  <si>
    <t>2023-02-15</t>
  </si>
  <si>
    <t xml:space="preserve">公司名称：Zhang Ling Ling
</t>
  </si>
  <si>
    <t>1.57 pounds</t>
  </si>
  <si>
    <t>13.07 x 10 x 3.31 inches</t>
  </si>
  <si>
    <t>B08R68562Y</t>
  </si>
  <si>
    <t>https://www.amazon.com/dp/B08R68562Y?psc=1</t>
  </si>
  <si>
    <t>https://images-na.ssl-images-amazon.com/images/I/51m3Mcq7EEL._AC_US600_.jpg</t>
  </si>
  <si>
    <t>WowChef</t>
  </si>
  <si>
    <t>WowChef Air Fryer Oven Large 20 Quart, 10-in-1 Digital Rotisserie Dehydrator Fryers Combo with Racks, XL Capacity Countertop</t>
  </si>
  <si>
    <t>WowChef 空气炸锅烤箱大号 20 夸脱，10 合 1 数字烤肉店脱水机油炸锅组合，带架子，超大容量台面</t>
  </si>
  <si>
    <t>94</t>
  </si>
  <si>
    <t>WowChef Store</t>
  </si>
  <si>
    <t xml:space="preserve">公司名称：Zhong Shan Shi Yi Cheng Ke Ji You Xian Gong Si
办公地址：
fu min lu 8 hao
chang fang zhi san(zhu suo shen bao)
nan tou zhen，zhong shan shi
guang dong sheng
528427
CN
</t>
  </si>
  <si>
    <t>13.4 x 14.6 x 15.4 inches</t>
  </si>
  <si>
    <t>B07XQKK2MB</t>
  </si>
  <si>
    <t>https://www.amazon.com/dp/B07XQKK2MB?psc=1</t>
  </si>
  <si>
    <t>https://m.media-amazon.com/images/I/413HNtfoR7L._AC_US600_.jpg</t>
  </si>
  <si>
    <t>Dash DMAF360GBRD02 Aircrisp® Pro Digital Air Fryer + Oven Cooker with Digital Display + 8 Presets, Temperature Control, Non S</t>
  </si>
  <si>
    <t>Dash DMAF360GBRD02 Aircrisp® Pro 数字空气炸锅 + 带数字显示的烤箱炊具 + 8 个预设，温度控制，非 S</t>
  </si>
  <si>
    <t>2019-09-10</t>
  </si>
  <si>
    <t>ECommerce Distributors</t>
  </si>
  <si>
    <t xml:space="preserve">公司名称：WOP Distributors Corporation
电话号码：732-303-7907
办公地址：
922 State Rt 33
Building 8 Suite 804
Freehold
New Jersey
07728
US
</t>
  </si>
  <si>
    <t>8.8 Pounds</t>
  </si>
  <si>
    <t>12.6"D x 10.4"W x 13"H</t>
  </si>
  <si>
    <t>B0936MKPT8</t>
  </si>
  <si>
    <t>https://www.amazon.com/dp/B0936MKPT8?psc=1</t>
  </si>
  <si>
    <t>https://m.media-amazon.com/images/I/51ZmqVqG7uS._AC_US600_.jpg</t>
  </si>
  <si>
    <t>DEMEDO</t>
  </si>
  <si>
    <t>Upgrade Reusable Air Fryer Liners with Raised SiliconesPatented Product | BPA Free Non-Stick Silicone Air Fryer Mats | Air</t>
  </si>
  <si>
    <t>用凸起的硅胶升级可重复使用的空气炸锅内衬专利产品 | 不含双酚 A 的不粘硅胶空气炸锅垫 | 空气</t>
  </si>
  <si>
    <t>96
134</t>
  </si>
  <si>
    <t>2021-04-22</t>
  </si>
  <si>
    <t>Heaven Bird</t>
  </si>
  <si>
    <t xml:space="preserve">公司名称：Guangzhou Ruhong Clothing Co., Ltd.
办公地址：
广州市番禺区大石街诜村石南路27号B栋502
广州
广东省
510000
CN
</t>
  </si>
  <si>
    <t>4.2 ounces</t>
  </si>
  <si>
    <t>7.91 x 7.8 x 0.55 inches</t>
  </si>
  <si>
    <t>B08P2PPD6W</t>
  </si>
  <si>
    <t>https://www.amazon.com/dp/B08P2PPD6W?psc=1</t>
  </si>
  <si>
    <t>https://m.media-amazon.com/images/W/IMAGERENDERING_521856-T2/images/I/31yPH5v0BCS._AC_US600_.jpg</t>
  </si>
  <si>
    <t>BELLA 2.9QT Manual Air Fryer, No Pre-Heat Needed, No-Oil Frying, Fast Healthy Evenly Cooked Meal Every Time, Removeable Dishw</t>
  </si>
  <si>
    <t>BELLA 2.9QT 手动空气炸锅，无需预热，无油煎炸，每次都能快速健康均匀地烹制食物，可拆卸盘子</t>
  </si>
  <si>
    <t>98</t>
  </si>
  <si>
    <t>2021-04-15</t>
  </si>
  <si>
    <t>8.13 pounds</t>
  </si>
  <si>
    <t>15.11"D x 15.11"W x 14.68"H</t>
  </si>
  <si>
    <t>https://www.amazon.com/dp/B09X5BK8TF?psc=1</t>
  </si>
  <si>
    <t>https://images-na.ssl-images-amazon.com/images/I/41ryaxSKz8L._AC_US600_.jpg</t>
  </si>
  <si>
    <t>Borlebbi</t>
  </si>
  <si>
    <t>Air Fryer, 8 Quart Dual Zone Air Fryers Oilless Cooker with 2 Independent Nonstick Frying Baskets, 6-in-1 Cooking Functions A</t>
  </si>
  <si>
    <t>空气炸锅，8 夸脱双区空气炸锅无油炊具，带 2 个独立不粘炸篮，6 合 1 烹饪功能 A</t>
  </si>
  <si>
    <t>120</t>
  </si>
  <si>
    <t>2022-04-04</t>
  </si>
  <si>
    <t xml:space="preserve">公司名称：HongKong Borlebbi International Limited
办公地址：
ROOM P, 4/F, LLADRO CENTRE
72 HOI YUEN ROAD KWUN TONG
KOWLOON
999077
HK
</t>
  </si>
  <si>
    <t>23.8 pounds</t>
  </si>
  <si>
    <t>13.8 x 14.6 x 12.2 inches</t>
  </si>
  <si>
    <t>B089GJXTXF</t>
  </si>
  <si>
    <t>https://www.amazon.com/dp/B089GJXTXF?psc=1</t>
  </si>
  <si>
    <t>https://images-na.ssl-images-amazon.com/images/I/41jpDorOqRL._AC_US600_.jpg</t>
  </si>
  <si>
    <t>Dash DFAF600GBSS01 AirCrisp Pro Electric Air Fryer + Oven Cooker with Digital Display + 8 Presets, Temperature Control, Non S</t>
  </si>
  <si>
    <t>Dash DFAF600GBSS01 AirCrisp Pro 电动空气炸锅 + 带数字显示的烤箱炊具 + 8 个预设，温度控制，非 S</t>
  </si>
  <si>
    <t>155</t>
  </si>
  <si>
    <t>2020-06-01</t>
  </si>
  <si>
    <t>Verdi!</t>
  </si>
  <si>
    <t>VE</t>
  </si>
  <si>
    <t xml:space="preserve">公司名称：Lorraine DP Opco, LLC
办公地址：
4469 NW 97TH AVE
</t>
  </si>
  <si>
    <t>18.26 pounds</t>
  </si>
  <si>
    <t>17.63 x 16.61 x 14.92 inches</t>
  </si>
  <si>
    <t>B08QM92YBH</t>
  </si>
  <si>
    <t>https://www.amazon.com/dp/B08QM92YBH?psc=1</t>
  </si>
  <si>
    <t>https://m.media-amazon.com/images/I/4109SBDZg1L._AC_US600_.jpg</t>
  </si>
  <si>
    <t>COSORI 2 Pcs Tray Sets for Easier Bake and Roast, Fits for CS130&amp;CO130 Air Fryer Toaster Oven, Non-Stick Carbon-Steel, C130-T</t>
  </si>
  <si>
    <t>COSORI 2 件套托盘套装，便于烘焙和烘烤，适用于 CS130 和 CO130 空气炸锅烤箱，不粘碳钢，C130-T</t>
  </si>
  <si>
    <t>109</t>
  </si>
  <si>
    <t>2020-12-17</t>
  </si>
  <si>
    <t>1.83 pounds</t>
  </si>
  <si>
    <t>14.1"D x 1.2"W x 11.9"H</t>
  </si>
  <si>
    <t>B092ZHXM37</t>
  </si>
  <si>
    <t>https://www.amazon.com/dp/B092ZHXM37?psc=1</t>
  </si>
  <si>
    <t>https://images-na.ssl-images-amazon.com/images/I/41L96sAtJ9L._AC_US600_.jpg</t>
  </si>
  <si>
    <t>Ultrean Air Fryer, 9 Quart 6-in-1 Electric Hot XL Airfryer Oven Oilless Cooker, Large Family Size LCD Touch Control Panel and</t>
  </si>
  <si>
    <t>Ultrean 空气炸锅、9 夸脱 6 合 1 电热 XL Airfryer 烤箱无油炊具​​、大型家庭尺寸 LCD 触摸控制面板和</t>
  </si>
  <si>
    <t>133</t>
  </si>
  <si>
    <t>13.01 pounds</t>
  </si>
  <si>
    <t>16.5 x 12.3 x 13.9 inches</t>
  </si>
  <si>
    <t>B0BMP7ZK4T</t>
  </si>
  <si>
    <t>https://www.amazon.com/dp/B0BMP7ZK4T?psc=1</t>
  </si>
  <si>
    <t>https://images-na.ssl-images-amazon.com/images/I/41GYCUDUqbL._AC_US600_.jpg</t>
  </si>
  <si>
    <t>YCQQPRO</t>
  </si>
  <si>
    <t>YCQQPRO Square Air Fryer Silicone Liners, 8Inch 3Pack Reusable Air Fryer Silicone Basket, Food Grade Heat Resistant Easy Clea</t>
  </si>
  <si>
    <t>YCQQPRO 方形空气炸锅硅胶内衬，8 英寸 3 件装可重复使用空气炸锅硅胶篮，食品级耐热易清洁</t>
  </si>
  <si>
    <t>183
217</t>
  </si>
  <si>
    <t>2022-11-29</t>
  </si>
  <si>
    <t>YCQQ</t>
  </si>
  <si>
    <t xml:space="preserve">公司名称：Shenzhen Yichang Quanqiu Technology Co., Ltd.
办公地址：
龙华街道富康社区东环二路65号
德美工业中心A2栋3层311
深圳市
龙华区
广东省
518109
CN
</t>
  </si>
  <si>
    <t>1.08 pounds</t>
  </si>
  <si>
    <t>8"L x 8"W</t>
  </si>
  <si>
    <t>B0BQJ6Y3TW</t>
  </si>
  <si>
    <t>https://www.amazon.com/dp/B0BQJ6Y3TW?psc=1</t>
  </si>
  <si>
    <t>https://images-na.ssl-images-amazon.com/images/I/51w12X416yL._AC_US600_.jpg</t>
  </si>
  <si>
    <t>Geek Chef Air Fryer Toaster Oven Combo,16QT Convection Ovens Countertop, 6 Slice Toaster, 10-inch Pizza, whit Warm, Broil, To</t>
  </si>
  <si>
    <t>Geek Chef 空气炸锅烤面包机烤箱组合，16 夸脱对流烤箱台面，6 片烤面包机，10 英寸比萨饼，温热，烤，到</t>
  </si>
  <si>
    <t>110</t>
  </si>
  <si>
    <t>13.47 pounds</t>
  </si>
  <si>
    <t>13.5 x 12.8 x 12.1 inches</t>
  </si>
  <si>
    <t>B07N9H6D9D</t>
  </si>
  <si>
    <t>https://www.amazon.com/dp/B07N9H6D9D?psc=1</t>
  </si>
  <si>
    <t>https://images-na.ssl-images-amazon.com/images/I/419pJKND6fL._AC_US600_.jpg</t>
  </si>
  <si>
    <t>Dash 6-Piece Air Fryer Accessory Kit, 2 Quart, Compact</t>
  </si>
  <si>
    <t>Dash 6 件式空气炸锅配件套件，2 夸脱，紧凑型</t>
  </si>
  <si>
    <t>184</t>
  </si>
  <si>
    <t>2019-01-31</t>
  </si>
  <si>
    <t>1.1 pounds</t>
  </si>
  <si>
    <t>6.77 x 6.65 x 6.57 inches</t>
  </si>
  <si>
    <t>B0BS599CMJ</t>
  </si>
  <si>
    <t>https://www.amazon.com/dp/B0BS599CMJ?psc=1</t>
  </si>
  <si>
    <t>https://images-na.ssl-images-amazon.com/images/I/51ozpk-BgNL._AC_US600_.jpg</t>
  </si>
  <si>
    <t>Geek Chef Air Fryer, 6 Slice 24.5QT Air Fryer Toaster Oven Combo, Air Fryer Oven,Roast, Bake, Broil, Reheat, Fry Oil-Free, Ex</t>
  </si>
  <si>
    <t>Geek Chef 空气炸锅，6 片 24.5 夸脱空气炸锅烤箱组合，空气炸锅烤箱，烤，烘烤，烤，再热，油炸，无油，防爆</t>
  </si>
  <si>
    <t>2023-01-13</t>
  </si>
  <si>
    <t>Geek Chef US</t>
  </si>
  <si>
    <t xml:space="preserve">公司名称：FoShanShi ChengQiWuJinZhiPin YouXianGongSi
电话号码：1-844-801-8880
办公地址：
桂城街道简平路1号
</t>
  </si>
  <si>
    <t>24.9 pounds</t>
  </si>
  <si>
    <t>16.1 x 15.2 x 13.8 inches</t>
  </si>
  <si>
    <t>B09139HJGJ</t>
  </si>
  <si>
    <t>https://www.amazon.com/dp/B09139HJGJ?psc=1</t>
  </si>
  <si>
    <t>https://images-na.ssl-images-amazon.com/images/I/51GEJcm2B1S._AC_US600_.jpg</t>
  </si>
  <si>
    <t>HSimple</t>
  </si>
  <si>
    <t>HSimple Air Fryer Rack XL Air Fryer Accessories Set Of 2, Double Layer Rack with Skewer, Stackable Metal Holder</t>
  </si>
  <si>
    <t>HSimple 空气炸锅架 XL 空气炸锅配件 2 件套，带烤串的双层烤架，可叠放的金属支架</t>
  </si>
  <si>
    <t>131</t>
  </si>
  <si>
    <t>2021-05-06</t>
  </si>
  <si>
    <t>Jean Tech</t>
  </si>
  <si>
    <t xml:space="preserve">公司名称：SHEN ZHEN SHI HUI JIAN KE JI YOU XIAN GONG SI
办公地址：
bujijiedao dongxinling
shenzhen
guangdong
518000
CN
</t>
  </si>
  <si>
    <t>8.07 x 8.07 x 3.03 inches</t>
  </si>
  <si>
    <t>B09TQC3CJR</t>
  </si>
  <si>
    <t>https://www.amazon.com/dp/B09TQC3CJR?psc=1</t>
  </si>
  <si>
    <t>https://images-na.ssl-images-amazon.com/images/I/61C5TzZzUlL._AC_US600_.jpg</t>
  </si>
  <si>
    <t>AKS Magnets</t>
  </si>
  <si>
    <t>Air Fryer Cheat Sheet Magnet - Extra Large Easy to Read Airfryer Accessory - Magnetic Air Fryer Cooking Times Chart, Kitchen</t>
  </si>
  <si>
    <t>空气炸锅备忘单磁铁 - 超大易于阅读的空气炸锅配件 - 磁性空气炸锅烹饪时间图表，厨房</t>
  </si>
  <si>
    <t>105
145</t>
  </si>
  <si>
    <t>2022-03-02</t>
  </si>
  <si>
    <t>CA</t>
  </si>
  <si>
    <t xml:space="preserve">公司名称：AKS INVENTORY INC.
办公地址：
87 Armadale Ave
Toronto
ON
M6S3W9
CA
</t>
  </si>
  <si>
    <t>3.84 ounces</t>
  </si>
  <si>
    <t>11 x 8.5 x 0.2 inches</t>
  </si>
  <si>
    <t>B08WYQJ53B</t>
  </si>
  <si>
    <t>https://www.amazon.com/dp/B08WYQJ53B?psc=1</t>
  </si>
  <si>
    <t>https://images-na.ssl-images-amazon.com/images/I/418TOd4vjVL._AC_US600_.jpg</t>
  </si>
  <si>
    <t>GoWISE USA 7-Quart Air Fryer &amp; Dehydrator - with Ergonomic Touchscreen Display with Stackable Dehydrating Racks with Preheat</t>
  </si>
  <si>
    <t>GoWISE USA 7 夸脱空气炸锅和脱水机 - 带符合人体工程学的触摸屏显示器和带预热功能的可堆叠脱水架</t>
  </si>
  <si>
    <t>136</t>
  </si>
  <si>
    <t>2021-02-18</t>
  </si>
  <si>
    <t>19.01 pounds</t>
  </si>
  <si>
    <t>12.2 x 11.3 x 15 inches</t>
  </si>
  <si>
    <t>B09VKYGBQJ</t>
  </si>
  <si>
    <t>B0BNBC5FKK</t>
  </si>
  <si>
    <t>Color: Silver</t>
  </si>
  <si>
    <t>https://www.amazon.com/dp/B09VKYGBQJ?psc=1</t>
  </si>
  <si>
    <t>https://images-na.ssl-images-amazon.com/images/I/51AzCYj9HyL._AC_US600_.jpg</t>
  </si>
  <si>
    <t>CKOZESE</t>
  </si>
  <si>
    <t>8-In-1 Smart Toaster Oven Air Fryer Combo, 6-Slice Compact Toaster Ovens Countertop-6 Rapid Quartz Heaters, Air Fry, Grill, Roast, Dehydrate, Broil, Bake, 450℉ Max, Touch Screen, 45 Recipes&amp;5Fittings</t>
  </si>
  <si>
    <t>8 合 1 智能烤面包机烤箱空气炸锅组合，6 片紧凑型烤面包机烤箱 Countertop-6 快速石英加热器，空气炸、烧烤、烤、脱水、烤、烘烤，最大 450 华氏度，触摸屏，45 个食谱和 5 个配件</t>
  </si>
  <si>
    <t>112</t>
  </si>
  <si>
    <t>2022-03-15</t>
  </si>
  <si>
    <t>CKOZESE Appliances</t>
  </si>
  <si>
    <t xml:space="preserve">公司名称：zhongshanshiboendianqiyouxiangongsi
办公地址：
zhongshanshidongfengzhenanlecunyufenglu68haochangfangAyilou
zhongshan
Guangdong
528425
CN
</t>
  </si>
  <si>
    <t>14.77 pounds</t>
  </si>
  <si>
    <t>11 x 13 x 13 inches</t>
  </si>
  <si>
    <t>B08FTLBL29</t>
  </si>
  <si>
    <t>https://www.amazon.com/dp/B08FTLBL29?psc=1</t>
  </si>
  <si>
    <t>https://images-na.ssl-images-amazon.com/images/I/41xSMcJLTOL._AC_US600_.jpg</t>
  </si>
  <si>
    <t>Elite Gourmet EAF2612D Personal 2.1Qt Compact Space Saving Programmable Hot Air Fryer Oil-Less Healthy Cooker, Timer &amp; Temper</t>
  </si>
  <si>
    <t>Elite Gourmet EAF2612D 个人 2.1 夸脱紧凑型节省空间可编程热空气炸锅无油健康炊具、定时器和温度</t>
  </si>
  <si>
    <t>125</t>
  </si>
  <si>
    <t>2020-03-15</t>
  </si>
  <si>
    <t>5.64 pounds</t>
  </si>
  <si>
    <t>B0B3JHGSZS</t>
  </si>
  <si>
    <t>https://www.amazon.com/dp/B0B3JHGSZS?psc=1</t>
  </si>
  <si>
    <t>https://m.media-amazon.com/images/I/51covP1YufL._AC_US600_.jpg</t>
  </si>
  <si>
    <t>FULL TREND</t>
  </si>
  <si>
    <t>Air Fryer Basket for Oven,Air fryer Tray Crisping Basket 13”*11”*3.3" Non-Stick Air Fryer accessories Stainless Crisper Tray</t>
  </si>
  <si>
    <t>烤箱用空气炸锅篮，空气炸锅托盘脆化篮 13”*11”*3.3&amp;quot; 不粘空气炸锅配件不锈钢保鲜盘</t>
  </si>
  <si>
    <t>128
168</t>
  </si>
  <si>
    <t>Wellrich</t>
  </si>
  <si>
    <t xml:space="preserve">公司名称：jiangmenshilijiajiajuyongpinmaoyiyouxiangongsi
办公地址：
jianghaiqukangchengguangchang4zhuang1901-1914shi
jiangmenshi
guangdongsheng
529000
CN
</t>
  </si>
  <si>
    <t>1.79 pounds</t>
  </si>
  <si>
    <t>14.45 x 11.89 x 4.61 inches</t>
  </si>
  <si>
    <t>B08BH24R3T</t>
  </si>
  <si>
    <t>https://www.amazon.com/dp/B08BH24R3T?psc=1</t>
  </si>
  <si>
    <t>https://images-na.ssl-images-amazon.com/images/I/41YMGJtaP1L._AC_US600_.jpg</t>
  </si>
  <si>
    <t>Calphalon</t>
  </si>
  <si>
    <t>Calphalon Air Fryer Oven, 11-in-1 Toaster Oven Air Fryer Combo, 26.4 QT/25 L, Fits 12" Pizza, Stainless Steel</t>
  </si>
  <si>
    <t>Calphalon 空气炸锅烤箱，11 合 1 烤箱空气炸锅组合，26.4 夸脱/25 升，适合 12 英寸披萨，不锈钢</t>
  </si>
  <si>
    <t>22.4 pounds</t>
  </si>
  <si>
    <t>11.6 x 18.7 x 15.8 inches</t>
  </si>
  <si>
    <t>https://www.amazon.com/dp/B09MS2RQGL?psc=1</t>
  </si>
  <si>
    <t>https://images-na.ssl-images-amazon.com/images/I/41EAkNh6L1L._AC_US600_.jpg</t>
  </si>
  <si>
    <t>COSORI Air Fryer, 5 Quart Compact Oilless Oven, 30 Recipes, Dark Grey &amp; Accessories, Set of 6 Fit All 3.7Qt, 4.2Qt Air Fryer,</t>
  </si>
  <si>
    <t>COSORI 空气炸锅，5 夸脱紧凑型无油烤箱，30 个食谱，深灰色和配件，6 件套适合所有 3.7 夸脱、4.2 夸脱空气炸锅，</t>
  </si>
  <si>
    <t>72
100</t>
  </si>
  <si>
    <t>2021-11-30</t>
  </si>
  <si>
    <t>13.7 Pounds</t>
  </si>
  <si>
    <t>11.7"D x 12.9"W x 13.8"H</t>
  </si>
  <si>
    <t>B08578WCDF</t>
  </si>
  <si>
    <t>https://www.amazon.com/dp/B08578WCDF?psc=1</t>
  </si>
  <si>
    <t>https://images-na.ssl-images-amazon.com/images/I/31t5GBCFKzL._AC_US600_.jpg</t>
  </si>
  <si>
    <t>Hamilton Beach 5.8 Quart Digital Air Fryer Oven with 8 Presets, Easy to Clean Nonstick Basket, Black (35075)</t>
  </si>
  <si>
    <t>Hamilton Beach 5.8 夸脱数字空气炸锅烤箱带 8 个预设，易于清洁不粘篮，黑色 (35075)</t>
  </si>
  <si>
    <t>223</t>
  </si>
  <si>
    <t>2020-02-27</t>
  </si>
  <si>
    <t>14.4 x 11.4 x 13.4 inches</t>
  </si>
  <si>
    <t>B09PDC8MQ3</t>
  </si>
  <si>
    <t>https://www.amazon.com/dp/B09PDC8MQ3?psc=1</t>
  </si>
  <si>
    <t>https://images-na.ssl-images-amazon.com/images/I/51932OdqxCL._AC_US600_.jpg</t>
  </si>
  <si>
    <t>LOTTELI KITCHEN Air Fryer Rack for Double Basket Air Fryers, 304 Stainless Steel Multi-Layer Rack, Air Fryer Accessories Dehy</t>
  </si>
  <si>
    <t>LOTTELI KITCHEN 双篮式空气炸锅空气炸锅架，304 不锈钢多层架，空气炸锅配件 Dehy</t>
  </si>
  <si>
    <t>47
175</t>
  </si>
  <si>
    <t>2022-03-03</t>
  </si>
  <si>
    <t>2.11 pounds</t>
  </si>
  <si>
    <t>8.62 x 6.26 x 6.02 inches</t>
  </si>
  <si>
    <t>B09PY984CM</t>
  </si>
  <si>
    <t>https://www.amazon.com/dp/B09PY984CM?psc=1</t>
  </si>
  <si>
    <t>https://m.media-amazon.com/images/I/51elYXGsRXL._AC_US600_.jpg</t>
  </si>
  <si>
    <t>AIEVE Air Fryer Rack Compatible with Ninja Foodi DualZone XL Air Fryer, Multi-Layer Air Fryer Accessories Dehydrator Rack Com</t>
  </si>
  <si>
    <t>AIEVE 空气炸锅架兼容 Ninja Foodi DualZone XL 空气炸锅，多层空气炸锅配件脱水机架 Com</t>
  </si>
  <si>
    <t>32
121</t>
  </si>
  <si>
    <t>2022-01-07</t>
  </si>
  <si>
    <t>15.8 ounces</t>
  </si>
  <si>
    <t>9.88 x 6.46 x 1.89 inches</t>
  </si>
  <si>
    <t>B09XMF752B</t>
  </si>
  <si>
    <t>https://www.amazon.com/dp/B09XMF752B?psc=1</t>
  </si>
  <si>
    <t>https://images-na.ssl-images-amazon.com/images/I/31mUrNkEHJL._AC_US600_.jpg</t>
  </si>
  <si>
    <t>nutrifryer</t>
  </si>
  <si>
    <t>nutrifryer Air Fryer, 4Quart Air Fryer with Grill and Recipe Instructions, Small and Compact Design, 50Pcs Custom Parchment P</t>
  </si>
  <si>
    <t>nutrifryer 空气炸锅，4 夸脱空气炸锅，带烧烤和食谱说明，小巧紧凑的设计，50 件定制羊皮纸 P</t>
  </si>
  <si>
    <t>106</t>
  </si>
  <si>
    <t>2022-04-11</t>
  </si>
  <si>
    <t>Nutrifryer</t>
  </si>
  <si>
    <t xml:space="preserve">公司名称：Hangzhou Niucui E-commerce Co., Ltd
办公地址：
北干街道金城路185号
商会大厦A座2212
杭州
萧山
浙江
311200
CN
</t>
  </si>
  <si>
    <t>9.48 pounds</t>
  </si>
  <si>
    <t>13 x 7 x 13 inches</t>
  </si>
  <si>
    <t>B07P11X2TK</t>
  </si>
  <si>
    <t>https://www.amazon.com/dp/B07P11X2TK?psc=1</t>
  </si>
  <si>
    <t>https://m.media-amazon.com/images/W/IMAGERENDERING_521856-T1/images/I/51Lcpdw+CiL._AC_US600_.jpg</t>
  </si>
  <si>
    <t>Square Air Fryer Accessories 11 pcs with Recipe Cookbook Compatible for Philips Air Fryer, Instant Vortex 2qt Mini Air Fryer,</t>
  </si>
  <si>
    <t>方形空气炸锅配件 11 件，带食谱食谱，适用于飞利浦空气炸锅，Instant Vortex 2qt 迷你空气炸锅，</t>
  </si>
  <si>
    <t>108
152</t>
  </si>
  <si>
    <t>2019-02-20</t>
  </si>
  <si>
    <t>2.88 pounds</t>
  </si>
  <si>
    <t>6.5 x 6.5 x 3 inches</t>
  </si>
  <si>
    <t>B01MDMHRXG</t>
  </si>
  <si>
    <t>https://www.amazon.com/dp/B01MDMHRXG?psc=1</t>
  </si>
  <si>
    <t>https://m.media-amazon.com/images/I/5175B17BeLL._AC_US600_.jpg</t>
  </si>
  <si>
    <t>Nuwave 2pc Brio Air Fryer Cooking Accessory Kit, Reversible Rack and Baking Pan, Compatible with 3QT Brio Air Fryers or Large</t>
  </si>
  <si>
    <t>Nuwave 2 件式 Brio 空气炸锅烹饪配件套件、可翻转烤架和烤盘，兼容 3 夸脱 Brio 空气炸锅或大号</t>
  </si>
  <si>
    <t>82
105</t>
  </si>
  <si>
    <t>2016-10-14</t>
  </si>
  <si>
    <t>12.8 Ounces</t>
  </si>
  <si>
    <t>6.75"D x 6.75"W x 2.75"H</t>
  </si>
  <si>
    <t>B0977M6FJP</t>
  </si>
  <si>
    <t>https://www.amazon.com/dp/B0977M6FJP?psc=1</t>
  </si>
  <si>
    <t>https://m.media-amazon.com/images/I/41xRnynIT4L._AC_US600_.jpg</t>
  </si>
  <si>
    <t>Oster Air Fryer Oven, 10-in-1 Countertop Toaster Oven Air Fryer Combo, 10.5" x 13" Fits 2 Large Pizzas, Stainless Steel</t>
  </si>
  <si>
    <t>Oster 空气炸锅烤箱，10 合 1 台面烤面包机烤箱空气炸锅组合，10.5&amp;quot; x 13&amp;quot; 适合 2 个大比萨饼，不锈钢</t>
  </si>
  <si>
    <t>Convection Ovens
Toaster Ovens</t>
  </si>
  <si>
    <t>19
40</t>
  </si>
  <si>
    <t>2021-11-08</t>
  </si>
  <si>
    <t>25.8 pounds</t>
  </si>
  <si>
    <t>19"D x 24"W x 16"H</t>
  </si>
  <si>
    <t>B08QQ6KWYN</t>
  </si>
  <si>
    <t>B08QQFVFW2</t>
  </si>
  <si>
    <t>Color: Red</t>
  </si>
  <si>
    <t>https://www.amazon.com/dp/B08QQ6KWYN?psc=1</t>
  </si>
  <si>
    <t>https://images-na.ssl-images-amazon.com/images/I/41-b7PVAsGL._AC_US600_.jpg</t>
  </si>
  <si>
    <t>Deco Chef</t>
  </si>
  <si>
    <t>Deco Chef XL 14.5 Cup 3.7 QT Digital Air Fryer Cooker With 7 Smart Programs, Healthy Oil Free Cooking, LED Touch Screen, Non-Stick Coated Basket, Timer, and Cookbook (Red)</t>
  </si>
  <si>
    <t>Deco Chef XL 14.5 杯 3.7 QT 数字空气炸锅炊具带 7 个智能程序、健康无油烹饪、LED 触摸屏、不粘涂层篮、​​定时器和食谱（红色）</t>
  </si>
  <si>
    <t>166</t>
  </si>
  <si>
    <t>2020-12-20</t>
  </si>
  <si>
    <t>Beach Camera Same Day Shipping</t>
  </si>
  <si>
    <t>DR</t>
  </si>
  <si>
    <t xml:space="preserve">公司名称：Beach Trading Company Inc
电话号码：800-572-3224
办公地址：
80 CARTER DR
</t>
  </si>
  <si>
    <t>10.8 x 12.4 x 12.8 inches</t>
  </si>
  <si>
    <t>B07VH2CXPJ</t>
  </si>
  <si>
    <t>https://www.amazon.com/dp/B07VH2CXPJ?psc=1</t>
  </si>
  <si>
    <t>https://images-na.ssl-images-amazon.com/images/I/31+gdMrAOgL._AC_US600_.jpg</t>
  </si>
  <si>
    <t>Philips Kitchen Appliances Premium Digital Airfryer with Fat Removal Technology + Recipe Cookbook, 3 qt, Black, HD9741/99, X-</t>
  </si>
  <si>
    <t>Philips Kitchen Appliances Premium Digital Airfryer with fat Removal Technology + Recipe Cookbook，3 夸脱，黑色，HD9741/99，X-</t>
  </si>
  <si>
    <t>172</t>
  </si>
  <si>
    <t>2019-07-19</t>
  </si>
  <si>
    <t>ymc sales</t>
  </si>
  <si>
    <t xml:space="preserve">公司名称：ymc sales llc
办公地址：
136 VAN BUREN AVE
</t>
  </si>
  <si>
    <t>15.08 pounds</t>
  </si>
  <si>
    <t>14.25 x 13.8 x 13.8 inches</t>
  </si>
  <si>
    <t>https://www.amazon.com/dp/B08YNDYG71?psc=1</t>
  </si>
  <si>
    <t>https://images-na.ssl-images-amazon.com/images/I/31H56P5yfrL._AC_US600_.jpg</t>
  </si>
  <si>
    <t>Dreo Air Fryer - 100℉ to 450℉, 4 Quart Hot Oven Cooker with 50 Recipes, 9 Cooking Functions on Easy Touch Screen, Preheat, Sh</t>
  </si>
  <si>
    <t>Dreo 空气炸锅 - 100 华氏度至 450 华氏度，4 夸脱热烤箱炊具，带 50 种食谱，简易触摸屏上的 9 种烹饪功能，预热，高温</t>
  </si>
  <si>
    <t>175</t>
  </si>
  <si>
    <t>7 pounds</t>
  </si>
  <si>
    <t>9.4 x 11.6 x 9.4 inches</t>
  </si>
  <si>
    <t>https://www.amazon.com/dp/B07LBGDTCQ?psc=1</t>
  </si>
  <si>
    <t>https://images-na.ssl-images-amazon.com/images/I/511qqWp4WWL._AC_US600_.jpg</t>
  </si>
  <si>
    <t>Nutrichef PKAIRFR48.5 Air Fryer, Infrared Convection, Halogen Oven Countertop, Cooking, Stainless Steel, 13 Quart 1200W, Prep</t>
  </si>
  <si>
    <t>Nutrichef PKAIRFR48.5 空气炸锅，红外线对流，卤素烤箱台面，烹饪，不锈钢，13 夸脱 1200W，准备</t>
  </si>
  <si>
    <t>Microwave Oven Parts &amp; Accessories
Air Fryers</t>
  </si>
  <si>
    <t>137
160</t>
  </si>
  <si>
    <t>2018-12-12</t>
  </si>
  <si>
    <t>14.7 pounds</t>
  </si>
  <si>
    <t>7 x 13 x 15 inches</t>
  </si>
  <si>
    <t>B09XHL6KL4</t>
  </si>
  <si>
    <t>https://www.amazon.com/dp/B09XHL6KL4?psc=1</t>
  </si>
  <si>
    <t>https://images-na.ssl-images-amazon.com/images/I/51MAjW5-n-L._AC_US600_.jpg</t>
  </si>
  <si>
    <t>BLAZANT</t>
  </si>
  <si>
    <t>Toaster Oven Air Fryer Combo, Toaster Ovens Countertop 20QT/19L Air Fryers Oven, 16-in-1 Touch Keys Convection Ovens Smart, S</t>
  </si>
  <si>
    <t>Toaster Oven Air Fryer Combo，Toaster Ovens Countertop 20QT/19L Air Fryers Oven，16-in-1 Touch Keys Convection Ovens Smart，S</t>
  </si>
  <si>
    <t>173</t>
  </si>
  <si>
    <t>2022-07-03</t>
  </si>
  <si>
    <t>LIFECHEF</t>
  </si>
  <si>
    <t xml:space="preserve">公司名称：shenzhenshianhelieshangmaoyouxiangongsi
办公地址：
龙华街道富康社区东环一路100号良基大厦101-D16
深圳市
龙华区
广东省
518000
CN
</t>
  </si>
  <si>
    <t>10.8 x 14 x 12.8 inches</t>
  </si>
  <si>
    <t>B09SVGTDF1</t>
  </si>
  <si>
    <t>https://www.amazon.com/dp/B09SVGTDF1?psc=1</t>
  </si>
  <si>
    <t>https://images-na.ssl-images-amazon.com/images/I/311sQ3sL2bL._AC_US600_.jpg</t>
  </si>
  <si>
    <t>Aria Air Fryers</t>
  </si>
  <si>
    <t>Aria Air Fryers Teflon-Free 7 Qt. Premium Ceramic Air Fryer with Recipe Book, White (CFW-907)</t>
  </si>
  <si>
    <t xml:space="preserve"> Aria 空气炸锅不含聚四氟乙烯 7 夸脱。 带食谱书的高级陶瓷空气炸锅，白色 (CFW-907)</t>
  </si>
  <si>
    <t>188</t>
  </si>
  <si>
    <t>2020-03-20</t>
  </si>
  <si>
    <t>11.3 x 11.3 x 14.5 inches</t>
  </si>
  <si>
    <t>B07ZF6WLVX</t>
  </si>
  <si>
    <t>https://www.amazon.com/dp/B07ZF6WLVX?psc=1</t>
  </si>
  <si>
    <t>https://images-na.ssl-images-amazon.com/images/I/51xGVNJzo7L._AC_US600_.jpg</t>
  </si>
  <si>
    <t>COSTWAY</t>
  </si>
  <si>
    <t>COSTWAY 8-in-1 Air Fryer Toaster Oven, Multifunctional Programmable 19QT Cooking Oven with 10 Accessories, Rotisserie, 8 Pre-</t>
  </si>
  <si>
    <t>COSTWAY 8 合 1 空气炸锅烤箱，多功能可编程 19QT 烹饪烤箱，带 10 个配件，烤肉架，8 个预热</t>
  </si>
  <si>
    <t>90</t>
  </si>
  <si>
    <t>2019-10-22</t>
  </si>
  <si>
    <t>costway</t>
  </si>
  <si>
    <t xml:space="preserve">公司名称：costway.com INC
办公地址：
3900 E Philadelphia St.
</t>
  </si>
  <si>
    <t>14.5 x 14.5 x 16 inches</t>
  </si>
  <si>
    <t>B07CYTSWXV</t>
  </si>
  <si>
    <t>https://www.amazon.com/dp/B07CYTSWXV?psc=1</t>
  </si>
  <si>
    <t>https://images-na.ssl-images-amazon.com/images/I/41yc5k8WWvL._AC_US600_.jpg</t>
  </si>
  <si>
    <t>Philips Kitchen Appliances XXL Grill Master Accessory Kit for Twin Turbos Tar Model Air fryers, Black</t>
  </si>
  <si>
    <t>飞利浦厨房电器 XXL Grill Master 配件套件适用于双涡轮焦油型空气炸锅，黑色</t>
  </si>
  <si>
    <t>Muffin &amp; Cupcake Pans
Air Fryers
Baking Cups</t>
  </si>
  <si>
    <t>120
171
214</t>
  </si>
  <si>
    <t>2018-05-09</t>
  </si>
  <si>
    <t>0.51 pounds</t>
  </si>
  <si>
    <t>18 x 10 x 8 inches</t>
  </si>
  <si>
    <t>B09Q4Y7BDY</t>
  </si>
  <si>
    <t>https://www.amazon.com/dp/B09Q4Y7BDY?psc=1</t>
  </si>
  <si>
    <t>https://images-na.ssl-images-amazon.com/images/I/516YC9Zbu4L._AC_US600_.jpg</t>
  </si>
  <si>
    <t>INFRAOVENS</t>
  </si>
  <si>
    <t>Air Fryer Accessories for Ninja Foodi Smart XL FG551 Reusable Liners with Air Fryer Recipe Book, Heat Resistant Mat for Ninja</t>
  </si>
  <si>
    <t>Ninja 空气炸锅配件 Foodi Smart XL FG551 可重复使用内衬，带空气炸锅食谱书，Ninja 耐热垫</t>
  </si>
  <si>
    <t>159</t>
  </si>
  <si>
    <t>2022-01-10</t>
  </si>
  <si>
    <t>EveningSky</t>
  </si>
  <si>
    <t xml:space="preserve">公司名称：ARES RIDGE LLC
办公地址：
1317 Edgewater Dr #1376
Orlando
FL
32804
US
</t>
  </si>
  <si>
    <t>4.5 ounces</t>
  </si>
  <si>
    <t>11.02 x 7.64 x 0.43 inches</t>
  </si>
  <si>
    <t>B0BL74HQ4P</t>
  </si>
  <si>
    <t>https://www.amazon.com/dp/B0BL74HQ4P?psc=1</t>
  </si>
  <si>
    <t>https://images-na.ssl-images-amazon.com/images/I/51WVLngZsPL._AC_US600_.jpg</t>
  </si>
  <si>
    <t>Pine and Pepper</t>
  </si>
  <si>
    <t>Pine &amp; Pepper Magnetic Air Fryer Temperature Chart &amp; Cheat Sheet SetsQuick Reference Guide with Cook Time, Temperature Sett</t>
  </si>
  <si>
    <t>Pine &amp;amp; Pepper 磁性空气炸锅温度图表和备忘单套装快速参考指南，包括烹饪时间、温度设置</t>
  </si>
  <si>
    <t xml:space="preserve">公司名称：FABULESSLY FRUGAL LLC
办公地址：
PO Box 191015
Boise
Idaho
83719
US
</t>
  </si>
  <si>
    <t>7.2 Ounces</t>
  </si>
  <si>
    <t>0.1 x 10 x 8 inches</t>
  </si>
  <si>
    <t>B0BB7278C9</t>
  </si>
  <si>
    <t>https://www.amazon.com/dp/B0BB7278C9?psc=1</t>
  </si>
  <si>
    <t>https://images-na.ssl-images-amazon.com/images/I/31BOWas9fwL._AC_US600_.jpg</t>
  </si>
  <si>
    <t>Jawpaw</t>
  </si>
  <si>
    <t>2 Pack Air Fryer Silicone Liner Round 6.5 Inch Reusable Air Fryer Silicone Basket Heat Resistant Easy Cleaning Air fryers Sil</t>
  </si>
  <si>
    <t>2 件装空气炸锅硅胶内衬圆形 6.5 英寸可重复使用空气炸锅硅胶篮耐热易清洁空气炸锅 Sil</t>
  </si>
  <si>
    <t>191</t>
  </si>
  <si>
    <t>2022-08-19</t>
  </si>
  <si>
    <t xml:space="preserve">公司名称：Nanchengxianzhuofanmaoyiyouxiangongsi
办公地址：
新塘镇 久裕村
裕丰路10号C-2
广州
增城
广东
511340
CN
</t>
  </si>
  <si>
    <t>6.5 x 6.5 x 1.7 inches</t>
  </si>
  <si>
    <t>B09VX679PC</t>
  </si>
  <si>
    <t>https://www.amazon.com/dp/B09VX679PC?psc=1</t>
  </si>
  <si>
    <t>https://images-na.ssl-images-amazon.com/images/I/51pWOsKPv+L._AC_US600_.jpg</t>
  </si>
  <si>
    <t>Geek Chef Air Fryer, 6 Slice 24QT Air Fryer Toaster Oven Combo, Air Fryer Oven, , Roast, Bake, Broil, Reheat, Fry Oil-Free, E</t>
  </si>
  <si>
    <t>Geek Chef 空气炸锅，6 片 24 夸脱空气炸锅烤箱组合，空气炸锅烤箱，烤，烘烤，烤，再热，无油炸，E</t>
  </si>
  <si>
    <t>152</t>
  </si>
  <si>
    <t>2020-10-07</t>
  </si>
  <si>
    <t>23.2 pounds</t>
  </si>
  <si>
    <t>B0B157T2J4</t>
  </si>
  <si>
    <t>https://www.amazon.com/dp/B0B157T2J4?psc=1</t>
  </si>
  <si>
    <t>https://m.media-amazon.com/images/I/41TD+zMXubL._AC_US600_.jpg</t>
  </si>
  <si>
    <t>AIEVE Air Fryer Paper Accessories for Dual Basket Air Fryer, 100Pcs Non-Stick Air Fryer Liners Disposable Compatible with Nin</t>
  </si>
  <si>
    <t>AIEVE 空气炸锅纸配件适用于双篮式空气炸锅，100 件不粘空气炸锅内衬一次性兼容 Nin</t>
  </si>
  <si>
    <t>141
227</t>
  </si>
  <si>
    <t>2022-05-12</t>
  </si>
  <si>
    <t>13.7 ounces</t>
  </si>
  <si>
    <t>9.84 x 7.28 x 3.07 inches</t>
  </si>
  <si>
    <t>B0BNHRF9ZV</t>
  </si>
  <si>
    <t>https://www.amazon.com/dp/B0BNHRF9ZV?psc=1</t>
  </si>
  <si>
    <t>https://images-na.ssl-images-amazon.com/images/I/51DDs0EcMKL._AC_US600_.jpg</t>
  </si>
  <si>
    <t>BAKEWAY</t>
  </si>
  <si>
    <t>Heat Resistant Mats For Countertop 2 Pcs - Coffee Mat Heat Resistant Mat Kitchen Counter Protector Pad with Appliance Slider</t>
  </si>
  <si>
    <t>台面用耐热垫 2 件 - 咖啡垫耐热垫厨房台面保护垫带电器滑块</t>
  </si>
  <si>
    <t>167</t>
  </si>
  <si>
    <t>2022-11-28</t>
  </si>
  <si>
    <t>Bakeway</t>
  </si>
  <si>
    <t xml:space="preserve">公司名称：Weiweiya
办公地址：
民治街道新牛社区金地梅陇镇18B栋1单元
11D
深圳市
龙华区
广东省
518000
CN
</t>
  </si>
  <si>
    <t>15.71 x 11.89 x 0.51 inches</t>
  </si>
  <si>
    <t>B0B1GSWB7T</t>
  </si>
  <si>
    <t>https://www.amazon.com/dp/B0B1GSWB7T?psc=1</t>
  </si>
  <si>
    <t>https://images-na.ssl-images-amazon.com/images/I/417A8JoBQbL._AC_US600_.jpg</t>
  </si>
  <si>
    <t>Instant 6-in-1 Indoor Grill and Air Fryer with Bake, Roast Reheat &amp; Dehydrate, From the Makers of Instant Pot, with Odor-Redu</t>
  </si>
  <si>
    <t>即食 6 合 1 室内烧烤和空气炸锅，带烘烤、烘烤再加热和脱水功能，来自 Instant Pot 制造商，具有除臭功能</t>
  </si>
  <si>
    <t>18 x 16.8 x 8.7 inches</t>
  </si>
  <si>
    <t>B08WJL15XL</t>
  </si>
  <si>
    <t>https://www.amazon.com/dp/B08WJL15XL?psc=1</t>
  </si>
  <si>
    <t>https://m.media-amazon.com/images/I/51fyZTN6mxS._AC_US600_.jpg</t>
  </si>
  <si>
    <t>Deco Chef 24 QT Stainless Steel Countertop 1700 Watt Toaster Oven with Built-in Air Fryer and Included Rotisserie Assembly, G</t>
  </si>
  <si>
    <t>Deco Chef 24 QT 不锈钢台面 1700 瓦烤面包机烤箱，内置空气炸锅和随附的烤肉架组件，G</t>
  </si>
  <si>
    <t>201</t>
  </si>
  <si>
    <t>2021-11-07</t>
  </si>
  <si>
    <t>25.5 pounds</t>
  </si>
  <si>
    <t>14.5"D x 16"W x 12"H</t>
  </si>
  <si>
    <t>B09PRDH9WY</t>
  </si>
  <si>
    <t>https://www.amazon.com/dp/B09PRDH9WY?psc=1</t>
  </si>
  <si>
    <t>https://images-na.ssl-images-amazon.com/images/I/41-KZswStJL._AC_US600_.jpg</t>
  </si>
  <si>
    <t>iRUNTEK</t>
  </si>
  <si>
    <t>iRUNTEK Mini Compact Air Fryer, 1.3Qt Small Air Fryer with Recipe Book and 50pcs Parchment Paper Liners, User Friendly, Dual</t>
  </si>
  <si>
    <t>iRUNTEK 迷你紧凑型空气炸锅，1.3 夸脱小型空气炸锅，带食谱书和 50 件羊皮纸内衬，用户友好型，双</t>
  </si>
  <si>
    <t>153</t>
  </si>
  <si>
    <t>2022-01-06</t>
  </si>
  <si>
    <t xml:space="preserve">公司名称：ningboshenhuidianqiyouxiangongsi
办公地址：
（16-13） 796 Hao, Yaoai Lu, Yinzhou Qu
</t>
  </si>
  <si>
    <t>5.5 pounds</t>
  </si>
  <si>
    <t>13.43 x 10.35 x 7.56 inches</t>
  </si>
  <si>
    <t>B0BC3ZJG57</t>
  </si>
  <si>
    <t>https://www.amazon.com/dp/B0BC3ZJG57?psc=1</t>
  </si>
  <si>
    <t>https://images-na.ssl-images-amazon.com/images/I/51SmSddUO7L._AC_US600_.jpg</t>
  </si>
  <si>
    <t>Air Fryer Basket, Air Fryer Basket for Oven,Compatible with Cuisinart TOA-60 Serie/TOA-65 Air Fryer, 304 Food-Grade Air Fryer</t>
  </si>
  <si>
    <t>空气炸锅篮，烤箱空气炸锅篮，兼容 Cuisinart TOA-60 Serie/TOA-65 空气炸锅，304 食品级空气炸锅</t>
  </si>
  <si>
    <t>103
147</t>
  </si>
  <si>
    <t>2022-09-02</t>
  </si>
  <si>
    <t>13.19 x 10.24 x 2.24 inches</t>
  </si>
  <si>
    <t>B084ZZTVCJ</t>
  </si>
  <si>
    <t>https://www.amazon.com/dp/B084ZZTVCJ?psc=1</t>
  </si>
  <si>
    <t>https://m.media-amazon.com/images/I/41-RKq1zvVL._AC_US600_.jpg</t>
  </si>
  <si>
    <t>Galanz</t>
  </si>
  <si>
    <t>Galanz GT12SSDAN18 Digital Fry &amp; Rotisserie Combo 8-in-1 Air Fryer Toaster, Convection Oven with Pizza &amp; Dehydrate, 4 Accesso</t>
  </si>
  <si>
    <t>Galanz GT12SSDAN18 Digital Fry &amp;amp; Rotisserie Combo 8 合 1 空气炸锅烤面包机、带比萨和脱水功能的对流烤箱、4 配件</t>
  </si>
  <si>
    <t>Convection Ovens
Toaster Ovens
Air Fryers</t>
  </si>
  <si>
    <t>30
53
221</t>
  </si>
  <si>
    <t>2020-02-20</t>
  </si>
  <si>
    <t>20.1 Pounds</t>
  </si>
  <si>
    <t>20"D x 12"W x 17"H</t>
  </si>
  <si>
    <t>B09JGSVHZC</t>
  </si>
  <si>
    <t>https://www.amazon.com/dp/B09JGSVHZC?psc=1</t>
  </si>
  <si>
    <t>https://images-na.ssl-images-amazon.com/images/I/41qCoizMeTL._AC_US600_.jpg</t>
  </si>
  <si>
    <t>Chefman TurboTouch Easy View Air Fryer, The Most Convenient And Healthy Way To Cook Oil-Free, Watch Food Cook To Crispy And L</t>
  </si>
  <si>
    <t>Chefman TurboTouch Easy View 空气炸锅，最方便健康的无油烹饪方式，看着食物煮得酥脆可口</t>
  </si>
  <si>
    <t>174</t>
  </si>
  <si>
    <t>2021-10-14</t>
  </si>
  <si>
    <t>13.4 pounds</t>
  </si>
  <si>
    <t>12.6 x 13.5 x 10 inches</t>
  </si>
  <si>
    <t>B07VF7J5VQ</t>
  </si>
  <si>
    <t>https://www.amazon.com/dp/B07VF7J5VQ?psc=1</t>
  </si>
  <si>
    <t>https://images-na.ssl-images-amazon.com/images/I/41oFSBERDUL._AC_US600_.jpg</t>
  </si>
  <si>
    <t>Instant Pot Air Fryer Lid 6 in 1, No Pressure Cooking Functionality, 6 Qt, 1500 W,Black</t>
  </si>
  <si>
    <t>即食锅空气炸锅盖 6 合 1，无压力烹饪功能，6 夸脱，1500 瓦，黑色</t>
  </si>
  <si>
    <t>189</t>
  </si>
  <si>
    <t>2019-11-20</t>
  </si>
  <si>
    <t>5.95 pounds</t>
  </si>
  <si>
    <t>11.6 x 10.7 x 6.1 inches</t>
  </si>
  <si>
    <t>B09KNBHWSJ</t>
  </si>
  <si>
    <t>https://www.amazon.com/dp/B09KNBHWSJ?psc=1</t>
  </si>
  <si>
    <t>https://images-na.ssl-images-amazon.com/images/I/41yQWXNHT+L._AC_US600_.jpg</t>
  </si>
  <si>
    <t>CROWNFUL 8 Quart 8 in 1 Dual Basket Air Fryer with Independent Temperature Control(50+ Recipes), Dual Cook, Sync Finish and S</t>
  </si>
  <si>
    <t>CROWNFUL 8 夸脱 8 合 1 双篮空气炸锅，带独立温度控制（50 多种食谱）、双重烹饪、同步完成和 S</t>
  </si>
  <si>
    <t>165</t>
  </si>
  <si>
    <t>2021-10-29</t>
  </si>
  <si>
    <t>18 pounds</t>
  </si>
  <si>
    <t>15 x 11 x 12.2 inches</t>
  </si>
  <si>
    <t>B07XYR5P8Z</t>
  </si>
  <si>
    <t>https://www.amazon.com/dp/B07XYR5P8Z?psc=1</t>
  </si>
  <si>
    <t>https://m.media-amazon.com/images/W/IMAGERENDERING_521856-T2/images/I/41Wdni8B7HL._AC_US600_.jpg</t>
  </si>
  <si>
    <t>Dash Deluxe Electric Air Fryer + Oven Cooker with Temperature Control, Non-stick Fry Basket, Recipe Guide + Auto Shut off Fea</t>
  </si>
  <si>
    <t>Dash Deluxe 电动空气炸锅 + 带温度控制的烤箱炊具、不粘炸篮、食谱指南 + 自动关闭功能</t>
  </si>
  <si>
    <t>313</t>
  </si>
  <si>
    <t>2019-10-10</t>
  </si>
  <si>
    <t>11"D x 12"W x 14"H</t>
  </si>
  <si>
    <t>B0996943CH</t>
  </si>
  <si>
    <t>https://www.amazon.com/dp/B0996943CH?psc=1</t>
  </si>
  <si>
    <t>https://images-na.ssl-images-amazon.com/images/I/41AZapeoTgL._AC_US600_.jpg</t>
  </si>
  <si>
    <t>Kalorik MAXX® Plus AFO 47271 SS Digital Air Fryer Oven 26 Quart 10-in-1 Countertop Toaster Oven Air Fryer Combo - Roaster, De</t>
  </si>
  <si>
    <t>Kalorik MAXX® Plus AFO 47271 SS 数字空气炸锅烤箱 26 夸脱 10 合 1 台面烤面包机烤箱空气炸锅组合 - 烘焙机，德</t>
  </si>
  <si>
    <t>209</t>
  </si>
  <si>
    <t>2021-08-09</t>
  </si>
  <si>
    <t>15.9 x 12 x 13.6 inches</t>
  </si>
  <si>
    <t>B08ZJ1N7PJ</t>
  </si>
  <si>
    <t>https://www.amazon.com/dp/B08ZJ1N7PJ?psc=1</t>
  </si>
  <si>
    <t>https://m.media-amazon.com/images/I/41uj2M0ByyL._AC_US600_.jpg</t>
  </si>
  <si>
    <t>CROWNFUL 5 Quart Air Fryer, Electric Hot Oven Oilless Cooker，LCD Digital Touch Screen with 7 Cooking Presets and 53 Recipes,</t>
  </si>
  <si>
    <t>CROWNFUL 5 夸脱空气炸锅、电热烤箱无油炊具​​、带 7 种烹饪预设和 53 种食谱的 LCD 数字触摸屏、</t>
  </si>
  <si>
    <t>2021-03-19</t>
  </si>
  <si>
    <t>10.8"D x 14.37"W x 11.58"H</t>
  </si>
  <si>
    <t>B0BWJY2CDK</t>
  </si>
  <si>
    <t>https://www.amazon.com/dp/B0BWJY2CDK?psc=1</t>
  </si>
  <si>
    <t>https://m.media-amazon.com/images/W/IMAGERENDERING_521856-T1/images/I/51l-+MUwR1L._AC_US600_.jpg</t>
  </si>
  <si>
    <t>BYKITCHEN Square Air Fryer Silicone Liners, 2 Pack 8.5 Inch Reusable Silicone Air Fryer Tray Fit for 5 to 7 QT, Air Fryer Acc</t>
  </si>
  <si>
    <t>BYKITCHEN 方形空气炸锅硅胶内衬，2 件装 8.5 英寸可重复使用硅胶空气炸锅托盘，适合 5 至 7 夸脱，空气炸锅配件</t>
  </si>
  <si>
    <t>142
182</t>
  </si>
  <si>
    <t>2023-02-22</t>
  </si>
  <si>
    <t>7.1 ounces</t>
  </si>
  <si>
    <t>7.48 x 7.48 x 0.47 inches</t>
  </si>
  <si>
    <t>https://www.amazon.com/dp/B08JCG9YW4?psc=1</t>
  </si>
  <si>
    <t>https://images-na.ssl-images-amazon.com/images/I/41fB8fJv3+S._AC_US600_.jpg</t>
  </si>
  <si>
    <t>Kitcher</t>
  </si>
  <si>
    <t>Kitcher 6.8Qt Air Fryer, Hot Air Fryer with 8 Cooking Functions Temperature Timer Control Led Touch Screen 50 Recipes, Stainl</t>
  </si>
  <si>
    <t>Kitcher 6.8 夸脱空气炸锅，带 8 种烹饪功能的热空气炸锅温度定时器控制 LED 触摸屏 50 份食谱，不锈钢</t>
  </si>
  <si>
    <t>143</t>
  </si>
  <si>
    <t>2020-09-17</t>
  </si>
  <si>
    <t>16.3 x 14.6 x 12.1 inches</t>
  </si>
  <si>
    <t>B0882NCLC9</t>
  </si>
  <si>
    <t>https://www.amazon.com/dp/B0882NCLC9?psc=1</t>
  </si>
  <si>
    <t>https://m.media-amazon.com/images/W/IMAGERENDERING_521856-T2/images/I/41VQrbjlsQL._AC_US600_.jpg</t>
  </si>
  <si>
    <t>Ruilery</t>
  </si>
  <si>
    <t>Air Fryer Dust Cover with 2 Accessory Pocket,Waterproof,Easy cleaning (FIT FOR 5-6 QUART, Gray)</t>
  </si>
  <si>
    <t>空气炸锅防尘罩带 2 个配件袋，防水，易于清洁（适合 5-6 夸脱，灰色）</t>
  </si>
  <si>
    <t>192</t>
  </si>
  <si>
    <t>2020-05-05</t>
  </si>
  <si>
    <t>Nalan Textile</t>
  </si>
  <si>
    <t xml:space="preserve">公司名称：Dongguan Nalan Textile Co., Ltd.
办公地址：
世纪服装面料商贸城G99号
东莞市
茶山镇上元村
广东省
523385
CN
</t>
  </si>
  <si>
    <t>13.4 ounces</t>
  </si>
  <si>
    <t>10.47 x 9.09 x 2.05 inches</t>
  </si>
  <si>
    <t>B0B2K7CPP8</t>
  </si>
  <si>
    <t>https://www.amazon.com/dp/B0B2K7CPP8?psc=1</t>
  </si>
  <si>
    <t>https://images-na.ssl-images-amazon.com/images/I/51hskugOyCL._AC_US600_.jpg</t>
  </si>
  <si>
    <t>Alaaner</t>
  </si>
  <si>
    <t>Air Fryer Rack for Instant Vortex COSORI NUWAVE Air Fryer Oven- 304 Stainless Steel Three Stackable Dehydrator Rack Toast Rac</t>
  </si>
  <si>
    <t>适用于 Instant Vortex COSORI NUWAVE 空气炸锅烤箱的空气炸锅架 - 304 不锈钢三层可堆叠脱水架 Toast Rac</t>
  </si>
  <si>
    <t>219</t>
  </si>
  <si>
    <t>2022-05-27</t>
  </si>
  <si>
    <t>0.9 pounds</t>
  </si>
  <si>
    <t>7.9 x 7.9 x 3.5 inches</t>
  </si>
  <si>
    <t>B0777THX2R</t>
  </si>
  <si>
    <t>https://www.amazon.com/dp/B0777THX2R?psc=1</t>
  </si>
  <si>
    <t>https://images-na.ssl-images-amazon.com/images/I/41na0cqIyYL._AC_US600_.jpg</t>
  </si>
  <si>
    <t>GoWISE USA XL 8-in-1 Digital Air Fryer with Recipe Book, 5.8-Qt, White</t>
  </si>
  <si>
    <t>GoWISE USA XL 8 合 1 数字空气炸锅带食谱，5.8 夸脱，白色</t>
  </si>
  <si>
    <t>258</t>
  </si>
  <si>
    <t>16.1 pounds</t>
  </si>
  <si>
    <t>B09SB2RMCZ</t>
  </si>
  <si>
    <t>https://www.amazon.com/dp/B09SB2RMCZ?psc=1</t>
  </si>
  <si>
    <t>https://images-na.ssl-images-amazon.com/images/I/418EWiLd+iL._AC_US600_.jpg</t>
  </si>
  <si>
    <t>QHANSHIEE</t>
  </si>
  <si>
    <t>Heat Resistant Mat，Heat Resistant Mat for Air Fryer with Kitchen Appliance Sliders Function, Countertop Heat Protector Mats，A</t>
  </si>
  <si>
    <t>耐热垫，带厨房电器滑块功能的空气炸锅耐热垫，台面热保护垫，A</t>
  </si>
  <si>
    <t>265</t>
  </si>
  <si>
    <t>2022-02-11</t>
  </si>
  <si>
    <t>7.4 ounces</t>
  </si>
  <si>
    <t>7.28 x 7.2 x 1.22 inches</t>
  </si>
  <si>
    <t>B0BT84LMQ8</t>
  </si>
  <si>
    <t>https://www.amazon.com/dp/B0BT84LMQ8?psc=1</t>
  </si>
  <si>
    <t>https://images-na.ssl-images-amazon.com/images/I/519QPBDgceL._AC_US600_.jpg</t>
  </si>
  <si>
    <t>ICONITESER</t>
  </si>
  <si>
    <t>10-in-1 Air Fryer Oven, 20 Quart Airfryer Toaster Oven , 1800W Toaster Oven Air Fryer Combo, Large Air Fryers Accessories, ET</t>
  </si>
  <si>
    <t>10 合 1 空气炸锅烤箱、20 夸脱空气炸锅烤箱、1800 瓦烤箱空气炸锅组合、大型空气炸锅配件、ET</t>
  </si>
  <si>
    <t>196</t>
  </si>
  <si>
    <t>2023-02-08</t>
  </si>
  <si>
    <t>ICONITESER US</t>
  </si>
  <si>
    <t xml:space="preserve">公司名称：yunchengjingjijishukaifaquyiqiangdianzishangwultd
办公地址：
柳河东路左岸凰城东南门左岸凰城辅路33号楼门面房2号商铺
运城市
运城经济技术开发区
山西省
044000
CN
</t>
  </si>
  <si>
    <t>21.7 pounds</t>
  </si>
  <si>
    <t>B08TSQ3ML9</t>
  </si>
  <si>
    <t>https://www.amazon.com/dp/B08TSQ3ML9?psc=1</t>
  </si>
  <si>
    <t>https://images-na.ssl-images-amazon.com/images/I/51TZKjvd89L._AC_US600_.jpg</t>
  </si>
  <si>
    <t>Ninja Foodi 9-in-1 Digital Air Fry Oven Air Fry, Air Roast, Air Broil, Bake, Bagel, Toast, Dehydrate, Keep Warm, and Reheat -</t>
  </si>
  <si>
    <t>Ninja Foodi 9 合 1 数字空气炸炉空气炸、空气烤、空气烤、烘烤、百吉饼、吐司、脱水、保温和再加热 -</t>
  </si>
  <si>
    <t>193</t>
  </si>
  <si>
    <t>2021-01-23</t>
  </si>
  <si>
    <t>PT Ships M-F orders by 5pm ET Check Delivery Times</t>
  </si>
  <si>
    <t xml:space="preserve">公司名称：CELLNET USA.COM
电话号码：800-640-3159
办公地址：
4908 GOLDEN PKWY STE 700
BUFORD
GA
30518-9080
US
</t>
  </si>
  <si>
    <t>17.8 x 22.8 x 11.7 inches</t>
  </si>
  <si>
    <t>B0BW7VC725</t>
  </si>
  <si>
    <t>https://www.amazon.com/dp/B0BW7VC725?psc=1</t>
  </si>
  <si>
    <t>https://images-na.ssl-images-amazon.com/images/I/31mtratIY2L._AC_US600_.jpg</t>
  </si>
  <si>
    <t>Ninja DZ090 Foodi 6 Quart 5-in-1 DualZone 2-Basket Air Fryer with 2 Independent Frying Baskets, Match Cook &amp; Smart Finish to</t>
  </si>
  <si>
    <t>Ninja DZ090 Foodi 6 夸脱 5 合 1 DualZone 2 篮式空气炸锅带 2 个独立炸篮，Match Cook &amp;amp; Smart Finish</t>
  </si>
  <si>
    <t>2023-02-19</t>
  </si>
  <si>
    <t>electronics101deals</t>
  </si>
  <si>
    <t>ST</t>
  </si>
  <si>
    <t xml:space="preserve">公司名称：NAGILA 26 INC
电话号码：213-802-2962
办公地址：
912-B E 12th ST
</t>
  </si>
  <si>
    <t>15.36 pounds</t>
  </si>
  <si>
    <t>15.6 x 13.4 x 11.2 inches</t>
  </si>
  <si>
    <t>B094QYWH38</t>
  </si>
  <si>
    <t>https://www.amazon.com/dp/B094QYWH38?psc=1</t>
  </si>
  <si>
    <t>https://images-na.ssl-images-amazon.com/images/I/41FrTFztleL._AC_US600_.jpg</t>
  </si>
  <si>
    <t>Neretva</t>
  </si>
  <si>
    <t>Neretva Air Fryer Toaster Oven Large 21 QT, 5 In 1 Countertop Oven, Fit 8" Pizza Convection Air Fryers Oven for Family, Inclu</t>
  </si>
  <si>
    <t>Neretva 空气炸锅烤箱大号 21 夸脱，5 合 1 台面烤箱，适合 8 英寸比萨对流空气炸锅烤箱，适用于家庭，包括</t>
  </si>
  <si>
    <t>2021-05-12</t>
  </si>
  <si>
    <t>23.1 pounds</t>
  </si>
  <si>
    <t>18.9 x 15.6 x 18.5 inches</t>
  </si>
  <si>
    <t>B096QZJCFK</t>
  </si>
  <si>
    <t>https://www.amazon.com/dp/B096QZJCFK?psc=1</t>
  </si>
  <si>
    <t>https://images-na.ssl-images-amazon.com/images/I/41eKdT3NoWL._AC_US600_.jpg</t>
  </si>
  <si>
    <t>AKYLAR</t>
  </si>
  <si>
    <t>6 Qt XL Air Fryer - Large Family Size Greaseless Air Frier by AKYLAR with Digital Temp and Time Control, Customizable 8 in 1</t>
  </si>
  <si>
    <t>6 夸脱 XL 空气炸锅 - AKYLAR 大型家庭尺寸无油空气炸锅，带数字温度和时间控制，可定制 8 合 1</t>
  </si>
  <si>
    <t>127</t>
  </si>
  <si>
    <t>2021-06-06</t>
  </si>
  <si>
    <t>Konazzi Essential Store</t>
  </si>
  <si>
    <t xml:space="preserve">公司名称：Maranatha Limited Liability Company
办公地址：
P.O. Box 275
Lino Lakes
MN
55014
US
</t>
  </si>
  <si>
    <t>10.68 pounds</t>
  </si>
  <si>
    <t>11.1 x 11 x 13.4 inches</t>
  </si>
  <si>
    <t>B0923CBH72</t>
  </si>
  <si>
    <t>https://www.amazon.com/dp/B0923CBH72?psc=1</t>
  </si>
  <si>
    <t>https://images-na.ssl-images-amazon.com/images/I/310RrHWidHL._AC_US600_.jpg</t>
  </si>
  <si>
    <t>Magic Bullet</t>
  </si>
  <si>
    <t>Magic Bullet MBA50100 Air Fryer, Black, 2.5 Quarts</t>
  </si>
  <si>
    <t>Magic Bullet MBA50100 空气炸锅，黑色，2.5 夸脱</t>
  </si>
  <si>
    <t>171</t>
  </si>
  <si>
    <t>2021-04-08</t>
  </si>
  <si>
    <t>11.8 x 11.8 x 12.6 inches</t>
  </si>
  <si>
    <t>B093MMDQ8L</t>
  </si>
  <si>
    <t>B09MJVMMF3</t>
  </si>
  <si>
    <t>Color: Dark Grey Stainless</t>
  </si>
  <si>
    <t>https://www.amazon.com/dp/B093MMDQ8L?psc=1</t>
  </si>
  <si>
    <t>https://images-na.ssl-images-amazon.com/images/I/41ocwQbRJuS._AC_US600_.jpg</t>
  </si>
  <si>
    <t>Ninja DZ201 Foodi 6-in-1 2-Basket Air Fryer with DualZone Technology, 8-Quart Capacity, and a Dark Grey Stainless Finish (Dark Grey Stainless) (Renewed)</t>
  </si>
  <si>
    <t>Ninja DZ201 Foodi 6 合 1 2 篮式空气炸锅采用 DualZone 技术、8 夸脱容量和深灰色不锈钢饰面（深灰色不锈钢）（已更新）</t>
  </si>
  <si>
    <t>239</t>
  </si>
  <si>
    <t>2021-04-27</t>
  </si>
  <si>
    <t>DiscountsJungle</t>
  </si>
  <si>
    <t xml:space="preserve">公司名称：Josha26 Inc.
电话号码：888-586-4538
办公地址：
2221 E. Olympic Blvd.
</t>
  </si>
  <si>
    <t>FBM</t>
  </si>
  <si>
    <t>10 x 15 x 10 inches</t>
  </si>
  <si>
    <t>B08BSMJD9C</t>
  </si>
  <si>
    <t>https://www.amazon.com/dp/B08BSMJD9C?psc=1</t>
  </si>
  <si>
    <t>https://images-na.ssl-images-amazon.com/images/I/31M7tNm+HTL._AC_US600_.jpg</t>
  </si>
  <si>
    <t>Aria Premium 2 Qt. Retro Style Ceramic Air Fryer, Black/Stainless Trim</t>
  </si>
  <si>
    <t xml:space="preserve"> Aria Premium 2 夸脱。 复古风格陶瓷空气炸锅，黑色/不锈钢饰边</t>
  </si>
  <si>
    <t>182</t>
  </si>
  <si>
    <t>2020-06-24</t>
  </si>
  <si>
    <t>6 pounds</t>
  </si>
  <si>
    <t>9 x 9 x 11.7 inches</t>
  </si>
  <si>
    <t>B09X9TGX48</t>
  </si>
  <si>
    <t>https://www.amazon.com/dp/B09X9TGX48?psc=1</t>
  </si>
  <si>
    <t>https://m.media-amazon.com/images/I/51QaiEFUo+L._AC_US600_.jpg</t>
  </si>
  <si>
    <t>Runeaoys</t>
  </si>
  <si>
    <t>Air Fryer Heat Resistant Mat, 4 Pcs Kitchen Countertop Heat Protector Mats, Non-slip 12” x 16” Silicone Appliance Slider for</t>
  </si>
  <si>
    <t>空气炸锅耐热垫，4 件厨房台面隔热垫，防滑 12 英寸 x 16 英寸硅胶器具滑块，适用于</t>
  </si>
  <si>
    <t>283</t>
  </si>
  <si>
    <t>2022-04-06</t>
  </si>
  <si>
    <t>CYJLL</t>
  </si>
  <si>
    <t xml:space="preserve">公司名称：guangzhouhaolekejiyouxiangongsi
办公地址：
panyuqudashijiedashancunzhenbeinanjiehuangdixiang6haozhi403
fang
guangzhou
guangdong
511430
CN
</t>
  </si>
  <si>
    <t>15.98 x 11.97 x 0.79 inches</t>
  </si>
  <si>
    <t>B079L2ZQGB</t>
  </si>
  <si>
    <t>https://www.amazon.com/dp/B079L2ZQGB?psc=1</t>
  </si>
  <si>
    <t>https://images-na.ssl-images-amazon.com/images/I/31It+FgPb9L._AC_US600_.jpg</t>
  </si>
  <si>
    <t>Philips Premium Airfryer XXL with Fat Removal Technology, Black, HD9630/98</t>
  </si>
  <si>
    <t>飞利浦 Premium Airfryer XXL 采用除脂技术，黑色，HD9630/98</t>
  </si>
  <si>
    <t>211</t>
  </si>
  <si>
    <t>2018-02-04</t>
  </si>
  <si>
    <t>Firemall LLC</t>
  </si>
  <si>
    <t xml:space="preserve">公司名称：Firemall LLC
办公地址：
1014 Stanley Ave
</t>
  </si>
  <si>
    <t>18.74 pounds</t>
  </si>
  <si>
    <t>17 x 12.6 x 12.4 inches</t>
  </si>
  <si>
    <t>B08L39951F</t>
  </si>
  <si>
    <t>https://www.amazon.com/dp/B08L39951F?psc=1</t>
  </si>
  <si>
    <t>https://images-na.ssl-images-amazon.com/images/I/41RAMv5IRmL._AC_US600_.jpg</t>
  </si>
  <si>
    <t>COSORI Air Fryer Oven Combo 7 Qt, Countertop Convection (100℉ to 450℉) with Roast, Toast, Bake, Dehydrate, Warm, 7 Accessorie</t>
  </si>
  <si>
    <t>COSORI 空气炸锅烤箱组合 7 夸脱，台面对流（100 华氏度至 450 华氏度），带烘烤、吐司、烘烤、脱水、加热，7 个配件</t>
  </si>
  <si>
    <t>TWB Distribution</t>
  </si>
  <si>
    <t xml:space="preserve">公司名称：TWB DISTRIBUTION LLC
办公地址：
16478 Beach Boulevard
</t>
  </si>
  <si>
    <t>12.7 x 13.5 x 14.9 inches</t>
  </si>
  <si>
    <t>B09FNT7LVL</t>
  </si>
  <si>
    <t>https://www.amazon.com/dp/B09FNT7LVL?psc=1</t>
  </si>
  <si>
    <t>https://m.media-amazon.com/images/I/31NEHObRlXL._AC_US600_.jpg</t>
  </si>
  <si>
    <t>Ninja DZ401 Foodi 6-in-1 10-qt. XL 2-Basket Air Fryer with DualZone Technology, Black (Renewed), 10 Quart Air Fryer</t>
  </si>
  <si>
    <t xml:space="preserve"> Ninja DZ401 Foodi 6 合 1 10 夸脱。  XL 2 篮空气炸锅采用 DualZone 技术，黑色（翻新），10 夸脱空气炸锅</t>
  </si>
  <si>
    <t>294</t>
  </si>
  <si>
    <t>2021-09-07</t>
  </si>
  <si>
    <t>19.8 Pounds</t>
  </si>
  <si>
    <t>13.9"D x 17.1"W x 12.8"H</t>
  </si>
  <si>
    <t>B09ST8J28N</t>
  </si>
  <si>
    <t>https://www.amazon.com/dp/B09ST8J28N?psc=1</t>
  </si>
  <si>
    <t>https://m.media-amazon.com/images/I/41pnsxRns1L._AC_US600_.jpg</t>
  </si>
  <si>
    <t>HOMCOM</t>
  </si>
  <si>
    <t>HOMCOM Air Fryer, 1700W 6.9 Quart Air Fryers Oven with 360° Air Circulation, Adjustable Temperature, Timer and Nonstick Baske</t>
  </si>
  <si>
    <t>HOMCOM 空气炸锅，1700 瓦 6.9 夸脱空气炸锅烤箱，带 360° 空气循环、可调温度、定时器和不粘锅</t>
  </si>
  <si>
    <t>381</t>
  </si>
  <si>
    <t>2022-02-17</t>
  </si>
  <si>
    <t>Aosom Direct</t>
  </si>
  <si>
    <t xml:space="preserve">公司名称：Aosom LLC
电话号码：1-877-644-9366
办公地址：
27150 SW Kinsman Road
</t>
  </si>
  <si>
    <t>11.9 Pounds</t>
  </si>
  <si>
    <t>14.25"D x 11.5"W x 13.5"H</t>
  </si>
  <si>
    <t>产品颜色</t>
  </si>
  <si>
    <t>容量大小（夸脱）</t>
  </si>
  <si>
    <t>容量大小（Quarts）</t>
  </si>
  <si>
    <t>容量大小（升）</t>
  </si>
  <si>
    <t>容量大小（L）</t>
  </si>
  <si>
    <t>产品类型</t>
  </si>
  <si>
    <t>结构类型</t>
  </si>
  <si>
    <t>产品功能</t>
  </si>
  <si>
    <t>功率</t>
  </si>
  <si>
    <t>MAX温升</t>
  </si>
  <si>
    <t>是否可视化</t>
  </si>
  <si>
    <t>是否带显示屏</t>
  </si>
  <si>
    <t>是否带app</t>
  </si>
  <si>
    <t>控制方式</t>
  </si>
  <si>
    <t>主要材质</t>
  </si>
  <si>
    <t>价格区间</t>
  </si>
  <si>
    <t>评分区间</t>
  </si>
  <si>
    <t>评论数区间</t>
  </si>
  <si>
    <t>计数</t>
  </si>
  <si>
    <t>黑色</t>
  </si>
  <si>
    <t>4.0QT</t>
  </si>
  <si>
    <t>3.8L</t>
  </si>
  <si>
    <t>单腔</t>
  </si>
  <si>
    <t>4合一</t>
  </si>
  <si>
    <t>1550W</t>
  </si>
  <si>
    <t>205℃</t>
  </si>
  <si>
    <t>否</t>
  </si>
  <si>
    <t>是</t>
  </si>
  <si>
    <t>触控控制</t>
  </si>
  <si>
    <t>不沾陶瓷+塑料</t>
  </si>
  <si>
    <t>80~90usd</t>
  </si>
  <si>
    <t>≥3年以上</t>
  </si>
  <si>
    <t>4.5~4.8</t>
  </si>
  <si>
    <t>≥1000</t>
  </si>
  <si>
    <t>灰色</t>
  </si>
  <si>
    <t>5.0QT</t>
  </si>
  <si>
    <t>4.7L</t>
  </si>
  <si>
    <t>9合一</t>
  </si>
  <si>
    <t>1500W</t>
  </si>
  <si>
    <t>230℃</t>
  </si>
  <si>
    <t>90~100usd</t>
  </si>
  <si>
    <t>1年半~2年</t>
  </si>
  <si>
    <t>银配黑</t>
  </si>
  <si>
    <t>10.0QT</t>
  </si>
  <si>
    <t>9.5L</t>
  </si>
  <si>
    <t>空气炸锅+烤箱</t>
  </si>
  <si>
    <t>单腔双层</t>
  </si>
  <si>
    <t>7合一</t>
  </si>
  <si>
    <t>850W</t>
  </si>
  <si>
    <t>不锈钢+钢化玻璃+塑料</t>
  </si>
  <si>
    <t>100~110usd</t>
  </si>
  <si>
    <t>6.0QT</t>
  </si>
  <si>
    <t>5.7L</t>
  </si>
  <si>
    <t>6合一</t>
  </si>
  <si>
    <t>1700W</t>
  </si>
  <si>
    <t>触控+旋钮控制</t>
  </si>
  <si>
    <t>不沾陶瓷+钢化玻璃+塑料</t>
  </si>
  <si>
    <t>5.8QT</t>
  </si>
  <si>
    <t>5.5L</t>
  </si>
  <si>
    <t>12合一</t>
  </si>
  <si>
    <t>不锈钢+不沾陶瓷+塑料</t>
  </si>
  <si>
    <t>2年半~3年</t>
  </si>
  <si>
    <t>银色</t>
  </si>
  <si>
    <t>1600W</t>
  </si>
  <si>
    <t>触控按键+APP控制</t>
  </si>
  <si>
    <t>双腔</t>
  </si>
  <si>
    <t>1690W</t>
  </si>
  <si>
    <t>≥200usd以上</t>
  </si>
  <si>
    <r>
      <rPr>
        <sz val="11"/>
        <rFont val="等线"/>
        <charset val="134"/>
      </rPr>
      <t>DASH Tasti-Crisp</t>
    </r>
    <r>
      <rPr>
        <sz val="11"/>
        <rFont val="宋体-简"/>
        <charset val="134"/>
      </rPr>
      <t>™</t>
    </r>
    <r>
      <rPr>
        <sz val="11"/>
        <rFont val="等线"/>
        <charset val="134"/>
      </rPr>
      <t xml:space="preserve"> 电动空气炸锅烤箱炊具带温度控制、不粘炸篮、食谱指南 + 自动关闭</t>
    </r>
  </si>
  <si>
    <t>2.6QT</t>
  </si>
  <si>
    <t>2.5L</t>
  </si>
  <si>
    <t>单一</t>
  </si>
  <si>
    <t>1000W</t>
  </si>
  <si>
    <t>旋钮控制</t>
  </si>
  <si>
    <t>30~40usd</t>
  </si>
  <si>
    <t>4.2~4.5</t>
  </si>
  <si>
    <t>50~60usd</t>
  </si>
  <si>
    <t>1年~1年半</t>
  </si>
  <si>
    <t>800-1000</t>
  </si>
  <si>
    <t>8.0QT</t>
  </si>
  <si>
    <t>7.6L</t>
  </si>
  <si>
    <t>190~200usd</t>
  </si>
  <si>
    <t>7.25QT</t>
  </si>
  <si>
    <t>6.9L</t>
  </si>
  <si>
    <t>1800W</t>
  </si>
  <si>
    <t>17.0QT</t>
  </si>
  <si>
    <t>16.1L</t>
  </si>
  <si>
    <t>空气炸锅+烤箱+烤面包机+脱水机</t>
  </si>
  <si>
    <t>8合一</t>
  </si>
  <si>
    <t>1750W</t>
  </si>
  <si>
    <t>180~190usd</t>
  </si>
  <si>
    <t>绿色</t>
  </si>
  <si>
    <t>60~70usd</t>
  </si>
  <si>
    <t>半年-1年</t>
  </si>
  <si>
    <t>300-500</t>
  </si>
  <si>
    <t>5.5QT</t>
  </si>
  <si>
    <t>5.2L</t>
  </si>
  <si>
    <t>140~150usd</t>
  </si>
  <si>
    <t>14合一</t>
  </si>
  <si>
    <t>不锈钢+塑料</t>
  </si>
  <si>
    <t>150~160usd</t>
  </si>
  <si>
    <t>26.0QT</t>
  </si>
  <si>
    <t>24.6L</t>
  </si>
  <si>
    <t>双腔双层</t>
  </si>
  <si>
    <t>10合一</t>
  </si>
  <si>
    <t>260℃</t>
  </si>
  <si>
    <t>不锈钢</t>
  </si>
  <si>
    <t>26.4QT</t>
  </si>
  <si>
    <t>25.0L</t>
  </si>
  <si>
    <t>按键控制+app控制</t>
  </si>
  <si>
    <t>2年~2年半</t>
  </si>
  <si>
    <t>2.1QT</t>
  </si>
  <si>
    <t>2.0L</t>
  </si>
  <si>
    <t>200℃</t>
  </si>
  <si>
    <t>单腔三层</t>
  </si>
  <si>
    <t>17合一</t>
  </si>
  <si>
    <t>110~120usd</t>
  </si>
  <si>
    <t>空气炸锅+压力锅</t>
  </si>
  <si>
    <t>1760W</t>
  </si>
  <si>
    <t>铬+塑料</t>
  </si>
  <si>
    <t>900W</t>
  </si>
  <si>
    <t>500-800</t>
  </si>
  <si>
    <t>按键+旋钮控制</t>
  </si>
  <si>
    <t>160~170usd</t>
  </si>
  <si>
    <t>2.0QT</t>
  </si>
  <si>
    <t>1.9L</t>
  </si>
  <si>
    <t>40~50usd</t>
  </si>
  <si>
    <t>半年</t>
  </si>
  <si>
    <t>4.3QT</t>
  </si>
  <si>
    <t>4.1L</t>
  </si>
  <si>
    <t>13合一</t>
  </si>
  <si>
    <t>1400W</t>
  </si>
  <si>
    <t>触控+app控制</t>
  </si>
  <si>
    <t>双腔三层</t>
  </si>
  <si>
    <t>170~180usd</t>
  </si>
  <si>
    <r>
      <rPr>
        <sz val="11"/>
        <rFont val="等线"/>
        <charset val="134"/>
      </rPr>
      <t>Ultrean 空气炸锅，4.2</t>
    </r>
    <r>
      <rPr>
        <sz val="11"/>
        <rFont val="Times New Roman"/>
        <charset val="134"/>
      </rPr>
      <t>​​</t>
    </r>
    <r>
      <rPr>
        <sz val="11"/>
        <rFont val="等线"/>
        <charset val="134"/>
      </rPr>
      <t xml:space="preserve"> 夸脱（4 升）电热空气炸锅烤箱无油炊具</t>
    </r>
    <r>
      <rPr>
        <sz val="11"/>
        <rFont val="Times New Roman"/>
        <charset val="134"/>
      </rPr>
      <t>​​</t>
    </r>
    <r>
      <rPr>
        <sz val="11"/>
        <rFont val="等线"/>
        <charset val="134"/>
      </rPr>
      <t>带 LCD 数字屏幕和不粘锅油炸</t>
    </r>
  </si>
  <si>
    <t>4.2QT</t>
  </si>
  <si>
    <t>4.0L</t>
  </si>
  <si>
    <t>按键控制</t>
  </si>
  <si>
    <r>
      <rPr>
        <sz val="11"/>
        <rFont val="等线"/>
        <charset val="134"/>
      </rPr>
      <t>DASH Tasti-Crisp</t>
    </r>
    <r>
      <rPr>
        <sz val="11"/>
        <rFont val="宋体-简"/>
        <charset val="134"/>
      </rPr>
      <t>™</t>
    </r>
    <r>
      <rPr>
        <sz val="11"/>
        <rFont val="等线"/>
        <charset val="134"/>
      </rPr>
      <t xml:space="preserve"> 数字空气炸锅采用 AirCrisp 技术、自定义预设、温度控制和自动关闭功能，</t>
    </r>
  </si>
  <si>
    <t>4~4.2</t>
  </si>
  <si>
    <t>3.7QT</t>
  </si>
  <si>
    <t>3.5L</t>
  </si>
  <si>
    <t>4.8~5</t>
  </si>
  <si>
    <t>0-50</t>
  </si>
  <si>
    <t>16.0QT</t>
  </si>
  <si>
    <t>15.1L</t>
  </si>
  <si>
    <t>120~130usd</t>
  </si>
  <si>
    <t>5合一</t>
  </si>
  <si>
    <t>70~80usd</t>
  </si>
  <si>
    <t>100-300</t>
  </si>
  <si>
    <t>7.0QT</t>
  </si>
  <si>
    <t>6.6L</t>
  </si>
  <si>
    <t>1725W</t>
  </si>
  <si>
    <t>触控+旋钮+app控制</t>
  </si>
  <si>
    <t>6.5QT</t>
  </si>
  <si>
    <t>6.1L</t>
  </si>
  <si>
    <t>11合一</t>
  </si>
  <si>
    <t>1460W</t>
  </si>
  <si>
    <t>215℃</t>
  </si>
  <si>
    <t>1300W</t>
  </si>
  <si>
    <t>按键+旋钮+app控制</t>
  </si>
  <si>
    <t>30.0QT</t>
  </si>
  <si>
    <t>28.4L</t>
  </si>
  <si>
    <t>6.8QT</t>
  </si>
  <si>
    <t>6.4L</t>
  </si>
  <si>
    <t>3.8QT</t>
  </si>
  <si>
    <t>3.6L</t>
  </si>
  <si>
    <t>蓝色</t>
  </si>
  <si>
    <t>4.5QT</t>
  </si>
  <si>
    <t>4.3L</t>
  </si>
  <si>
    <t>20.0QT</t>
  </si>
  <si>
    <t>18.9L</t>
  </si>
  <si>
    <t>红色</t>
  </si>
  <si>
    <t>1.1QT</t>
  </si>
  <si>
    <t>1.0L</t>
  </si>
  <si>
    <t>700W</t>
  </si>
  <si>
    <t>6.2QT</t>
  </si>
  <si>
    <t>5.9L</t>
  </si>
  <si>
    <t>12.0QT</t>
  </si>
  <si>
    <t>11.4L</t>
  </si>
  <si>
    <t>钢化玻璃+塑料</t>
  </si>
  <si>
    <t>空气炸锅+蒸锅</t>
  </si>
  <si>
    <t>19.0QT</t>
  </si>
  <si>
    <t>18.0L</t>
  </si>
  <si>
    <t>12.7QT</t>
  </si>
  <si>
    <t>12.0L</t>
  </si>
  <si>
    <t>15合一</t>
  </si>
  <si>
    <t>316℃</t>
  </si>
  <si>
    <t>50-100</t>
  </si>
  <si>
    <t>15.5QT</t>
  </si>
  <si>
    <t>14.7L</t>
  </si>
  <si>
    <t>9.0QT</t>
  </si>
  <si>
    <t>8.5L</t>
  </si>
  <si>
    <t>130~140usd</t>
  </si>
  <si>
    <t>铬+钢化玻璃+塑料</t>
  </si>
  <si>
    <t>白色</t>
  </si>
  <si>
    <t>13.0QT</t>
  </si>
  <si>
    <t>12.3L</t>
  </si>
  <si>
    <t>1200W</t>
  </si>
  <si>
    <t>250℃</t>
  </si>
  <si>
    <t>24.0QT</t>
  </si>
  <si>
    <t>22.7L</t>
  </si>
  <si>
    <t>3~4</t>
  </si>
  <si>
    <t>12.5QT</t>
  </si>
  <si>
    <t>11.8L</t>
  </si>
  <si>
    <t>31.4QT</t>
  </si>
  <si>
    <t>29.7L</t>
  </si>
  <si>
    <t>19合一</t>
  </si>
  <si>
    <t>5.3QT</t>
  </si>
  <si>
    <t>5.0L</t>
  </si>
  <si>
    <t>4.7QT</t>
  </si>
  <si>
    <t>4.4L</t>
  </si>
  <si>
    <t>4.4QT</t>
  </si>
  <si>
    <t>4.2L</t>
  </si>
  <si>
    <t>粉色</t>
  </si>
  <si>
    <t>0~10usd</t>
  </si>
  <si>
    <t>1~2</t>
  </si>
  <si>
    <t>10.6QT</t>
  </si>
  <si>
    <t>10.0L</t>
  </si>
  <si>
    <t>2.9QT</t>
  </si>
  <si>
    <t>2.7L</t>
  </si>
  <si>
    <t>21.0QT</t>
  </si>
  <si>
    <t>19.9L</t>
  </si>
  <si>
    <t>3.4QT</t>
  </si>
  <si>
    <t>3.2L</t>
  </si>
  <si>
    <t>32.0QT</t>
  </si>
  <si>
    <t>30.3L</t>
  </si>
  <si>
    <t>解读说明：1）市场份额（销售额市场占比）；2）市占比（销量市场占比）</t>
  </si>
  <si>
    <t>月份</t>
  </si>
  <si>
    <t>月销量</t>
  </si>
  <si>
    <t>月销售额($)</t>
  </si>
  <si>
    <t>销量占比</t>
  </si>
  <si>
    <t>销售额占比</t>
  </si>
  <si>
    <t>top前100listing数量占比</t>
  </si>
  <si>
    <t>202201</t>
  </si>
  <si>
    <t>Elite Platinum</t>
  </si>
  <si>
    <t>top10合计</t>
  </si>
  <si>
    <t>202202</t>
  </si>
  <si>
    <t>202203</t>
  </si>
  <si>
    <t>202204</t>
  </si>
  <si>
    <t>Philips Kitchen Appliances</t>
  </si>
  <si>
    <t>202205</t>
  </si>
  <si>
    <t>202206</t>
  </si>
  <si>
    <t>202207</t>
  </si>
  <si>
    <t>202208</t>
  </si>
  <si>
    <t>202209</t>
  </si>
  <si>
    <t>202210</t>
  </si>
  <si>
    <t>202211</t>
  </si>
  <si>
    <t>202212</t>
  </si>
  <si>
    <t>ZAFRO</t>
  </si>
  <si>
    <t>Crux</t>
  </si>
  <si>
    <t>WETIE</t>
  </si>
  <si>
    <t>合计</t>
  </si>
  <si>
    <t xml:space="preserve">品牌小调 </t>
  </si>
  <si>
    <r>
      <rPr>
        <sz val="11"/>
        <color theme="1"/>
        <rFont val="微软雅黑"/>
        <charset val="134"/>
      </rPr>
      <t>【Insight】
1）top10品牌近半年市占比保持在85%以上，头部寡头效应较22年年初呈明显下降趋势；至今，top10市占比降至79%左右，近一年行业波动指数较大，行业波动指数近1年下降约25个百分比基点；
2）top10品牌近一年listing冲榜活跃指数22年年初有所递减，由年初的85%数量占比锐减55%数量占比，listing跌幅达35%（变相说明新品打榜程度活跃，在某种程度上给予一定细品冲榜的机会）。
3）top10市场份额在2022年2</t>
    </r>
    <r>
      <rPr>
        <b/>
        <sz val="11"/>
        <color rgb="FFFF0000"/>
        <rFont val="微软雅黑"/>
        <charset val="134"/>
      </rPr>
      <t>月份有达到巅峰</t>
    </r>
    <r>
      <rPr>
        <sz val="11"/>
        <color theme="1"/>
        <rFont val="微软雅黑"/>
        <charset val="134"/>
      </rPr>
      <t>，</t>
    </r>
    <r>
      <rPr>
        <b/>
        <sz val="11"/>
        <color rgb="FFFF0000"/>
        <rFont val="微软雅黑"/>
        <charset val="134"/>
      </rPr>
      <t>top10整体市场份额</t>
    </r>
    <r>
      <rPr>
        <sz val="11"/>
        <color theme="1"/>
        <rFont val="微软雅黑"/>
        <charset val="134"/>
      </rPr>
      <t>占比达</t>
    </r>
    <r>
      <rPr>
        <b/>
        <sz val="11"/>
        <color rgb="FFFF0000"/>
        <rFont val="微软雅黑"/>
        <charset val="134"/>
      </rPr>
      <t>96.42%</t>
    </r>
    <r>
      <rPr>
        <sz val="11"/>
        <color theme="1"/>
        <rFont val="微软雅黑"/>
        <charset val="134"/>
      </rPr>
      <t>，近1年呈持续下降趋势，近一个月市场份额占比为</t>
    </r>
    <r>
      <rPr>
        <b/>
        <sz val="11"/>
        <color rgb="FFFF0000"/>
        <rFont val="微软雅黑"/>
        <charset val="134"/>
      </rPr>
      <t>85.09%</t>
    </r>
    <r>
      <rPr>
        <sz val="11"/>
        <color theme="1"/>
        <rFont val="微软雅黑"/>
        <charset val="134"/>
      </rPr>
      <t>；
4）Cosori、Ninja与Instant Pot自22年年初去年下半年开始直至当前，市场份额占比与市占比交叉换位，top3品牌市场低位后来者难以撼动，不定期更替；
5）近一年ninja品牌市占率提升明显，从</t>
    </r>
    <r>
      <rPr>
        <b/>
        <sz val="11"/>
        <color rgb="FFFF0000"/>
        <rFont val="微软雅黑"/>
        <charset val="134"/>
      </rPr>
      <t>3.12%</t>
    </r>
    <r>
      <rPr>
        <sz val="11"/>
        <color theme="1"/>
        <rFont val="微软雅黑"/>
        <charset val="134"/>
      </rPr>
      <t>提升至</t>
    </r>
    <r>
      <rPr>
        <b/>
        <sz val="11"/>
        <color rgb="FFFF0000"/>
        <rFont val="微软雅黑"/>
        <charset val="134"/>
      </rPr>
      <t>23.84%</t>
    </r>
    <r>
      <rPr>
        <sz val="11"/>
        <color theme="1"/>
        <rFont val="微软雅黑"/>
        <charset val="134"/>
      </rPr>
      <t>，上涨幅度惊人。
6）体量较去年同期1月相比，</t>
    </r>
    <r>
      <rPr>
        <b/>
        <sz val="11"/>
        <color rgb="FFFF0000"/>
        <rFont val="微软雅黑"/>
        <charset val="134"/>
      </rPr>
      <t>同比缩水59.03%，受高通胀、地缘政治、美国持续加息等影响，消费力不足等外因交错影响</t>
    </r>
    <r>
      <rPr>
        <b/>
        <sz val="11"/>
        <color theme="1"/>
        <rFont val="微软雅黑"/>
        <charset val="134"/>
      </rPr>
      <t>。</t>
    </r>
    <r>
      <rPr>
        <sz val="11"/>
        <color theme="1"/>
        <rFont val="微软雅黑"/>
        <charset val="134"/>
      </rPr>
      <t>预计23年较22年会有整体提升，提升比例预计在40%以上</t>
    </r>
  </si>
  <si>
    <t>序号</t>
  </si>
  <si>
    <t>账号名称</t>
  </si>
  <si>
    <t>账号类型</t>
  </si>
  <si>
    <t>发货方式</t>
  </si>
  <si>
    <t>品牌简介</t>
  </si>
  <si>
    <t>独立站</t>
  </si>
  <si>
    <t>自营</t>
  </si>
  <si>
    <r>
      <rPr>
        <sz val="11"/>
        <color theme="1"/>
        <rFont val="微软雅黑"/>
        <charset val="134"/>
      </rPr>
      <t>尚科宁家（中国）科技有限公司旗下出海厨电知名品牌，由九阳股份实际控股。始创于 2018年，主打空气炸锅、破壁机、咖啡机、电水壶、榨汁机及烤箱等，店铺内</t>
    </r>
    <r>
      <rPr>
        <b/>
        <sz val="11"/>
        <color rgb="FFFF0000"/>
        <rFont val="微软雅黑"/>
        <charset val="134"/>
      </rPr>
      <t>共22条listing与空气炸锅相关的listing</t>
    </r>
  </si>
  <si>
    <t>https://www.ninjakitchen.com/</t>
  </si>
  <si>
    <r>
      <rPr>
        <sz val="11"/>
        <color theme="1"/>
        <rFont val="微软雅黑"/>
        <charset val="134"/>
      </rPr>
      <t>晨北科技旗下厨电知名品牌，公司始创于2013年，主营空气炸锅、电饭煲、烤箱、电热水壶等，店铺内共计</t>
    </r>
    <r>
      <rPr>
        <b/>
        <sz val="11"/>
        <color rgb="FFFF0000"/>
        <rFont val="微软雅黑"/>
        <charset val="134"/>
      </rPr>
      <t>8条主打空气炸锅款式</t>
    </r>
  </si>
  <si>
    <t>https://cosori.com/</t>
  </si>
  <si>
    <r>
      <rPr>
        <sz val="11"/>
        <color theme="1"/>
        <rFont val="微软雅黑"/>
        <charset val="134"/>
      </rPr>
      <t>始创于加拿大，加拿大知名厨电本土品牌。成立于2009年，主打电压力锅、空气炸锅、烤箱、咖啡机、空气净化器、搅拌机等等。</t>
    </r>
    <r>
      <rPr>
        <b/>
        <sz val="11"/>
        <color rgb="FFFF0000"/>
        <rFont val="微软雅黑"/>
        <charset val="134"/>
      </rPr>
      <t>2019年3月4日与美国公司Corelle Brands合并</t>
    </r>
    <r>
      <rPr>
        <sz val="11"/>
        <color theme="1"/>
        <rFont val="微软雅黑"/>
        <charset val="134"/>
      </rPr>
      <t>。店铺内共计</t>
    </r>
    <r>
      <rPr>
        <b/>
        <sz val="11"/>
        <color rgb="FFFF0000"/>
        <rFont val="微软雅黑"/>
        <charset val="134"/>
      </rPr>
      <t>8条主打的空气炸锅，其中5条listing拿下BS</t>
    </r>
  </si>
  <si>
    <t>https://www.instanthome.com/</t>
  </si>
  <si>
    <r>
      <rPr>
        <sz val="11"/>
        <color theme="1"/>
        <rFont val="微软雅黑"/>
        <charset val="134"/>
      </rPr>
      <t>RJ 品牌有限责任公司旗下知名品牌，Chefman &amp; CHEF iQ Chefman 是北美领先的小型厨房电器品牌之一，成立于2011年，专注于设计和生产各种厨房电器，包括空气炸锅、搅拌机、饮料机等，店铺内有</t>
    </r>
    <r>
      <rPr>
        <b/>
        <sz val="11"/>
        <color rgb="FFFF0000"/>
        <rFont val="微软雅黑"/>
        <charset val="134"/>
      </rPr>
      <t>16条空气炸锅有关的listing</t>
    </r>
  </si>
  <si>
    <t>https://chefman.com/</t>
  </si>
  <si>
    <r>
      <rPr>
        <sz val="11"/>
        <color theme="1"/>
        <rFont val="微软雅黑"/>
        <charset val="134"/>
      </rPr>
      <t>中山市高通电器有限公司旗下主打品牌，成立于2011年，主打空气炸锅、咖啡机、电热水壶、咖啡研磨、冰淇淋机、脱水机、榨汁机等等，店铺内共计</t>
    </r>
    <r>
      <rPr>
        <b/>
        <sz val="11"/>
        <color rgb="FFFF0000"/>
        <rFont val="微软雅黑"/>
        <charset val="134"/>
      </rPr>
      <t>6条listing与空气炸锅炉相关</t>
    </r>
  </si>
  <si>
    <t>https://www.gourmia.com/</t>
  </si>
  <si>
    <r>
      <rPr>
        <sz val="11"/>
        <color theme="1"/>
        <rFont val="微软雅黑"/>
        <charset val="134"/>
      </rPr>
      <t>佛山市纽维福（NUWAVE）家用电器有限公司，成立于2015年12月。前身是美国好士威尔(HEARTHWARE)家用电器有限公司由NuwaveInternationalCo.,Ltd(HK)投资成立，主营精密电磁炉，智能空气炸锅，营养大师慢磨原汁机，多功能烤箱，陶瓷不粘锅，多功能电热锅，真空保鲜盒等系列等，店铺内共</t>
    </r>
    <r>
      <rPr>
        <b/>
        <sz val="11"/>
        <color rgb="FFFF0000"/>
        <rFont val="微软雅黑"/>
        <charset val="134"/>
      </rPr>
      <t>27条listing与空气炸锅相关listing</t>
    </r>
  </si>
  <si>
    <t>https://www.nuwavenow.com/home</t>
  </si>
  <si>
    <t>Dash</t>
  </si>
  <si>
    <r>
      <rPr>
        <sz val="11"/>
        <color theme="1"/>
        <rFont val="微软雅黑"/>
        <charset val="134"/>
      </rPr>
      <t>美国本土知名家电品牌，旗下主要产品有电饭煲，空气炸锅，小烤箱，煮蛋器，华尔夫饼机，冰激凌机，搅拌器，食品加工机，榨汁机，酸奶机等。店铺内有</t>
    </r>
    <r>
      <rPr>
        <b/>
        <sz val="11"/>
        <color rgb="FFFF0000"/>
        <rFont val="微软雅黑"/>
        <charset val="134"/>
      </rPr>
      <t>26条listing与空气炸锅相关，店铺内多以多变体形式listing存在</t>
    </r>
  </si>
  <si>
    <t>https://bydash.com/</t>
  </si>
  <si>
    <t>ULTREAN</t>
  </si>
  <si>
    <t xml:space="preserve"> Ultrean Inc</t>
  </si>
  <si>
    <t>SC</t>
  </si>
  <si>
    <r>
      <rPr>
        <sz val="11"/>
        <color theme="1"/>
        <rFont val="微软雅黑"/>
        <charset val="134"/>
      </rPr>
      <t>深圳市远睿信息科技有限公司旗下主打品牌之一，始创于2017年，该品牌主打空气炸锅、脱水机、离心式榨汁机等等，</t>
    </r>
    <r>
      <rPr>
        <b/>
        <sz val="11"/>
        <color rgb="FFFF0000"/>
        <rFont val="微软雅黑"/>
        <charset val="134"/>
      </rPr>
      <t>店铺内共计17条与空气炸锅有关的listing</t>
    </r>
  </si>
  <si>
    <t>https://ultrean.com/</t>
  </si>
  <si>
    <r>
      <rPr>
        <sz val="11"/>
        <color theme="1"/>
        <rFont val="微软雅黑"/>
        <charset val="134"/>
      </rPr>
      <t>GoWise USA隶属美国Ming's Mark公司，主推性价比空气炸锅，美国市场占有率超过飞利浦等一众品牌，排名第一，且设计风格摒弃了美式家电硬朗粗犷的设计风格，机身圆润色彩亮丽，属于典型的立体式/抽屉式产品，店铺内共计</t>
    </r>
    <r>
      <rPr>
        <b/>
        <sz val="11"/>
        <color rgb="FFFF0000"/>
        <rFont val="微软雅黑"/>
        <charset val="134"/>
      </rPr>
      <t>43条空气炸锅相关里链接</t>
    </r>
  </si>
  <si>
    <t>https://www.gowiseproducts.com/</t>
  </si>
  <si>
    <r>
      <rPr>
        <sz val="11"/>
        <color theme="1"/>
        <rFont val="微软雅黑"/>
        <charset val="134"/>
      </rPr>
      <t>佛山铭仕电器科技旗下品牌，成立于2014年，主打厨房电器，如空气炸锅、咖啡机、煮蛋器、多士炉、电烤箱系列，店铺内有</t>
    </r>
    <r>
      <rPr>
        <b/>
        <sz val="11"/>
        <color rgb="FFFF0000"/>
        <rFont val="微软雅黑"/>
        <charset val="134"/>
      </rPr>
      <t>13条空气炸锅有关的listing</t>
    </r>
  </si>
  <si>
    <t>https://shopelitegourmet.com/</t>
  </si>
  <si>
    <r>
      <rPr>
        <sz val="11"/>
        <color theme="1"/>
        <rFont val="微软雅黑"/>
        <charset val="134"/>
      </rPr>
      <t>深圳市科目科技有限公司旗下品牌，成立于2020年，总部母公司是深圳亚飞。主营无绳吸尘器、加湿器、空气炸锅、电烤箱等等。店铺内共有</t>
    </r>
    <r>
      <rPr>
        <b/>
        <sz val="11"/>
        <color rgb="FFFF0000"/>
        <rFont val="微软雅黑"/>
        <charset val="134"/>
      </rPr>
      <t>2条空气炸锅有关的listing</t>
    </r>
  </si>
  <si>
    <t>https://www.fabuletta.com/</t>
  </si>
  <si>
    <t>Crownful</t>
  </si>
  <si>
    <t xml:space="preserve"> Nekteck Direct </t>
  </si>
  <si>
    <r>
      <rPr>
        <sz val="11"/>
        <color theme="1"/>
        <rFont val="微软雅黑"/>
        <charset val="134"/>
      </rPr>
      <t>深圳市远睿信息科技有限公司旗下子品牌，始创于2017年，该品牌主打冰箱，空气炸锅，制冰机，共计8个已公开外观专利，13个已注册生效商标信息。店铺内共有</t>
    </r>
    <r>
      <rPr>
        <b/>
        <sz val="11"/>
        <color rgb="FFFF0000"/>
        <rFont val="微软雅黑"/>
        <charset val="134"/>
      </rPr>
      <t>4条空气炸锅有关的listing</t>
    </r>
  </si>
  <si>
    <t>https://crownful.com/</t>
  </si>
  <si>
    <t>平均BSR</t>
  </si>
  <si>
    <t>202103</t>
  </si>
  <si>
    <t>202104</t>
  </si>
  <si>
    <t>202105</t>
  </si>
  <si>
    <t>202106</t>
  </si>
  <si>
    <t>202107</t>
  </si>
  <si>
    <t>202108</t>
  </si>
  <si>
    <t>202109</t>
  </si>
  <si>
    <t>202110</t>
  </si>
  <si>
    <t>202111</t>
  </si>
  <si>
    <t>202112</t>
  </si>
  <si>
    <t>202301</t>
  </si>
  <si>
    <t>202302</t>
  </si>
  <si>
    <t>202303</t>
  </si>
  <si>
    <t>维度1</t>
  </si>
  <si>
    <t>求和项:近30天销量</t>
  </si>
  <si>
    <t>求和项:近30天销售额($)</t>
  </si>
  <si>
    <t>求和项:计数</t>
  </si>
  <si>
    <t>listing占比</t>
  </si>
  <si>
    <t>总计</t>
  </si>
  <si>
    <r>
      <rPr>
        <b/>
        <sz val="11"/>
        <rFont val="微软雅黑"/>
        <charset val="134"/>
      </rPr>
      <t>【Insight】</t>
    </r>
    <r>
      <rPr>
        <sz val="11"/>
        <color theme="1"/>
        <rFont val="微软雅黑"/>
        <charset val="134"/>
      </rPr>
      <t xml:space="preserve">
1）top3品牌市场份额占比68.2%，其中top1 Ninja品牌销量占比与销售额占比分别为24.29</t>
    </r>
    <r>
      <rPr>
        <sz val="11"/>
        <color rgb="FFFF0000"/>
        <rFont val="微软雅黑"/>
        <charset val="134"/>
      </rPr>
      <t>%</t>
    </r>
    <r>
      <rPr>
        <sz val="11"/>
        <color theme="1"/>
        <rFont val="微软雅黑"/>
        <charset val="134"/>
      </rPr>
      <t>与</t>
    </r>
    <r>
      <rPr>
        <sz val="11"/>
        <color rgb="FFFF0000"/>
        <rFont val="微软雅黑"/>
        <charset val="134"/>
      </rPr>
      <t>32.82%</t>
    </r>
    <r>
      <rPr>
        <sz val="11"/>
        <color theme="1"/>
        <rFont val="微软雅黑"/>
        <charset val="134"/>
      </rPr>
      <t>左右；第二大品牌cosori市场份额占比19.86%，市占比23.56%；
2）top5品牌市场份额占比布局listing数分别为9/8/4/9/3；
3）市场top10品牌垄断程度较高，达</t>
    </r>
    <r>
      <rPr>
        <sz val="11"/>
        <color rgb="FFFF0000"/>
        <rFont val="微软雅黑"/>
        <charset val="134"/>
      </rPr>
      <t>82.93%</t>
    </r>
    <r>
      <rPr>
        <sz val="11"/>
        <color theme="1"/>
        <rFont val="微软雅黑"/>
        <charset val="134"/>
      </rPr>
      <t>，listing前10垄断率为</t>
    </r>
    <r>
      <rPr>
        <sz val="11"/>
        <color rgb="FFFF0000"/>
        <rFont val="微软雅黑"/>
        <charset val="134"/>
      </rPr>
      <t>49.58%，</t>
    </r>
    <r>
      <rPr>
        <sz val="11"/>
        <rFont val="微软雅黑"/>
        <charset val="134"/>
      </rPr>
      <t>listing前20垄断率为</t>
    </r>
    <r>
      <rPr>
        <sz val="11"/>
        <color rgb="FFFF0000"/>
        <rFont val="微软雅黑"/>
        <charset val="134"/>
      </rPr>
      <t>64.42%，</t>
    </r>
    <r>
      <rPr>
        <sz val="11"/>
        <rFont val="微软雅黑"/>
        <charset val="134"/>
      </rPr>
      <t>listing前30垄断率为</t>
    </r>
    <r>
      <rPr>
        <sz val="11"/>
        <color rgb="FFFF0000"/>
        <rFont val="微软雅黑"/>
        <charset val="134"/>
      </rPr>
      <t>77.93%</t>
    </r>
  </si>
  <si>
    <t>top10销量</t>
  </si>
  <si>
    <t>top10销量占比</t>
  </si>
  <si>
    <t>top20销量</t>
  </si>
  <si>
    <t>top20销量占比</t>
  </si>
  <si>
    <t>top30销量</t>
  </si>
  <si>
    <t>top30销量占比</t>
  </si>
  <si>
    <t>维度2</t>
  </si>
  <si>
    <t>【Insight】
1）top100 Amazon自营占比较高，达66.80%；
2）top3店铺除Amazon自营外charmantroom、Innovation IQ、Ultrean Inc市占比最高，分别为1.41%、1.36%、1.31%；
3）Innovation IQ除Amazon自营店铺外，市场份额占比最高，达2.92%；</t>
  </si>
  <si>
    <t>维度3</t>
  </si>
  <si>
    <t>【Insight】
1）市场主流色主要在黑、银、银配黑，市占比分别为51.81%、15.98%、15.88%；
2）主流色top100listing个数分布分别为57/18/4，占据listing总数79%；
3）银配黑、绿色、粉色属产品第二梯队色系，市占比分别为11.33%、2.24%、1.54%，综合市占比15.11%，达整体市场1/6；
4）颜色初期布局策略：前期市场还是以黑色&amp;黑配拉丝银为主，经典色主流矩阵布局，辅助色次级矩阵布局，抢占市占比</t>
  </si>
  <si>
    <t>维度4</t>
  </si>
  <si>
    <t>【Insight】
1）市场主流容量主要在4QT和5.8QT，市占比分别为19.08%、16.16%；
2）主流容量top100listing个数分布分别为3/6，占据listing总数9%；
3）容量初期布局策略：前期市场还是5夸脱左右容量单腔结构为主，后续根据单腔市场表现再布局双腔款或大容量款式。</t>
  </si>
  <si>
    <t>维度5</t>
  </si>
  <si>
    <r>
      <rPr>
        <b/>
        <sz val="11"/>
        <color theme="1"/>
        <rFont val="微软雅黑"/>
        <charset val="134"/>
      </rPr>
      <t xml:space="preserve">【Insight】
</t>
    </r>
    <r>
      <rPr>
        <sz val="11"/>
        <color theme="1"/>
        <rFont val="微软雅黑"/>
        <charset val="134"/>
      </rPr>
      <t xml:space="preserve">1)  产品类型以空气炸锅款式居多；
2）空气炸锅与烤箱款式的时长占比目前12.21%，与压力锅组合市场占比为1.85%，与蒸锅组合市场占比为0.13%；
3）产品类型布局策略：前期先以常规款为主，后续再布局与烤箱或蒸锅组合的款式。
</t>
    </r>
  </si>
  <si>
    <t>维度6</t>
  </si>
  <si>
    <r>
      <rPr>
        <b/>
        <sz val="11"/>
        <color theme="1"/>
        <rFont val="微软雅黑"/>
        <charset val="134"/>
      </rPr>
      <t xml:space="preserve">【Insight】
</t>
    </r>
    <r>
      <rPr>
        <sz val="11"/>
        <color theme="1"/>
        <rFont val="微软雅黑"/>
        <charset val="134"/>
      </rPr>
      <t xml:space="preserve">1)  产品内部结构主要以单腔以及单腔双层为主
2）产品类型布局策略：前期以单腔为主
</t>
    </r>
  </si>
  <si>
    <t>维度7</t>
  </si>
  <si>
    <r>
      <rPr>
        <b/>
        <sz val="11"/>
        <color theme="1"/>
        <rFont val="微软雅黑"/>
        <charset val="134"/>
      </rPr>
      <t xml:space="preserve">【Insight】
</t>
    </r>
    <r>
      <rPr>
        <sz val="11"/>
        <color theme="1"/>
        <rFont val="微软雅黑"/>
        <charset val="134"/>
      </rPr>
      <t xml:space="preserve">1）产品功能主要以六合一、四合一、12合一的居多，市占比分别为20.26%、18.08%、15.73%；
2）主流功能以单一与10合一的快捷功能居多，listing占比分别为16%、15%；
3）前期布局策略：主要是10合一或6合一以上功能为主。中后期以12合一以上为主。
</t>
    </r>
  </si>
  <si>
    <t>维度8</t>
  </si>
  <si>
    <r>
      <rPr>
        <b/>
        <sz val="11"/>
        <color theme="1"/>
        <rFont val="微软雅黑"/>
        <charset val="134"/>
      </rPr>
      <t xml:space="preserve">【Insight】
</t>
    </r>
    <r>
      <rPr>
        <sz val="11"/>
        <color theme="1"/>
        <rFont val="微软雅黑"/>
        <charset val="134"/>
      </rPr>
      <t xml:space="preserve">1）市场主流功率主要以1500~1700为主，市占比达49.5%，listing个数达47个。
</t>
    </r>
  </si>
  <si>
    <t>维度9</t>
  </si>
  <si>
    <r>
      <rPr>
        <b/>
        <sz val="11"/>
        <color theme="1"/>
        <rFont val="微软雅黑"/>
        <charset val="134"/>
      </rPr>
      <t xml:space="preserve">【Insight】
</t>
    </r>
    <r>
      <rPr>
        <sz val="11"/>
        <color theme="1"/>
        <rFont val="微软雅黑"/>
        <charset val="134"/>
      </rPr>
      <t>1）市场主流产品工作温升主要以205℃以及230℃为主，市占比分别为58.58%、34.96%，listing个数分别为54/31；
2）产品初步策略：初期布局温升条件为200℃左右，后续布局双腔及大容量在定位230℃~260℃的温度。</t>
    </r>
  </si>
  <si>
    <t>维度10</t>
  </si>
  <si>
    <r>
      <rPr>
        <b/>
        <sz val="11"/>
        <color theme="1"/>
        <rFont val="微软雅黑"/>
        <charset val="134"/>
      </rPr>
      <t xml:space="preserve">【Insight】
</t>
    </r>
    <r>
      <rPr>
        <sz val="11"/>
        <color theme="1"/>
        <rFont val="微软雅黑"/>
        <charset val="134"/>
      </rPr>
      <t>1）市场外挂可视化：非可视化市占比有3:7</t>
    </r>
  </si>
  <si>
    <t>维度11</t>
  </si>
  <si>
    <r>
      <rPr>
        <b/>
        <sz val="11"/>
        <color theme="1"/>
        <rFont val="微软雅黑"/>
        <charset val="134"/>
      </rPr>
      <t xml:space="preserve">【Insight】
</t>
    </r>
    <r>
      <rPr>
        <sz val="11"/>
        <color theme="1"/>
        <rFont val="微软雅黑"/>
        <charset val="134"/>
      </rPr>
      <t>1）市场主要以带屏显示为主</t>
    </r>
  </si>
  <si>
    <t>维度12</t>
  </si>
  <si>
    <t>【Insight】
1）市场主要以无app为主</t>
  </si>
  <si>
    <t>维度13</t>
  </si>
  <si>
    <r>
      <rPr>
        <b/>
        <sz val="11"/>
        <color theme="1"/>
        <rFont val="微软雅黑"/>
        <charset val="134"/>
      </rPr>
      <t xml:space="preserve">【Insight】
</t>
    </r>
    <r>
      <rPr>
        <sz val="11"/>
        <color theme="1"/>
        <rFont val="微软雅黑"/>
        <charset val="134"/>
      </rPr>
      <t xml:space="preserve">1）产品控制方式主要以触控控制为主，市占比为62.6%，市场计数为47个。
</t>
    </r>
  </si>
  <si>
    <t>维度14</t>
  </si>
  <si>
    <r>
      <rPr>
        <b/>
        <sz val="11"/>
        <color theme="1"/>
        <rFont val="微软雅黑"/>
        <charset val="134"/>
      </rPr>
      <t xml:space="preserve">【Insight】
</t>
    </r>
    <r>
      <rPr>
        <sz val="11"/>
        <color theme="1"/>
        <rFont val="微软雅黑"/>
        <charset val="134"/>
      </rPr>
      <t xml:space="preserve">1）市场材质主要以不沾陶瓷+塑料为主，市占比为47.63%，listing数量为41个
</t>
    </r>
  </si>
  <si>
    <t>维度15</t>
  </si>
  <si>
    <r>
      <rPr>
        <b/>
        <sz val="11"/>
        <color theme="1"/>
        <rFont val="微软雅黑"/>
        <charset val="134"/>
      </rPr>
      <t xml:space="preserve">【Insight】
</t>
    </r>
    <r>
      <rPr>
        <sz val="11"/>
        <color theme="1"/>
        <rFont val="微软雅黑"/>
        <charset val="134"/>
      </rPr>
      <t xml:space="preserve">1）市场价格主要以80~90以及100~110usd之间，市占比分比为20.7%、15.75%，listing个数同为9个。
</t>
    </r>
  </si>
  <si>
    <t>维度16</t>
  </si>
  <si>
    <r>
      <rPr>
        <b/>
        <sz val="11"/>
        <color theme="1"/>
        <rFont val="微软雅黑"/>
        <charset val="134"/>
      </rPr>
      <t xml:space="preserve">【Insight】
</t>
    </r>
    <r>
      <rPr>
        <sz val="11"/>
        <color theme="1"/>
        <rFont val="微软雅黑"/>
        <charset val="134"/>
      </rPr>
      <t xml:space="preserve">1）市场偏成熟，有超3成以上listing上架时间达3年以上。
</t>
    </r>
  </si>
  <si>
    <t>维度17</t>
  </si>
  <si>
    <t>【Insight】
1）市场评分较稳定，有超87个listing评分维持在4.2以上，4.2评分以上的市占比达92.53%.</t>
  </si>
  <si>
    <t>维度18</t>
  </si>
  <si>
    <t>【Insight】
1）市场评论数普遍较多，超1000+评论数以上的listing数量由74个，市占比达88.5%</t>
  </si>
  <si>
    <t>维度19</t>
  </si>
  <si>
    <r>
      <rPr>
        <b/>
        <sz val="11"/>
        <color theme="1"/>
        <rFont val="微软雅黑"/>
        <charset val="134"/>
      </rPr>
      <t xml:space="preserve">【Insight】
</t>
    </r>
    <r>
      <rPr>
        <sz val="11"/>
        <color theme="1"/>
        <rFont val="微软雅黑"/>
        <charset val="134"/>
      </rPr>
      <t>1）cosori与ninja以绝对领先地位占据主流价格段位市占比top榜</t>
    </r>
  </si>
  <si>
    <t>维度20</t>
  </si>
  <si>
    <r>
      <rPr>
        <b/>
        <sz val="11"/>
        <color theme="1"/>
        <rFont val="微软雅黑"/>
        <charset val="134"/>
      </rPr>
      <t xml:space="preserve">【Insight】
</t>
    </r>
    <r>
      <rPr>
        <b/>
        <sz val="11"/>
        <color rgb="FFFF0000"/>
        <rFont val="微软雅黑"/>
        <charset val="134"/>
      </rPr>
      <t>1）市场主流价格段排名榜单的对应的与市场主流空间容量呼应。</t>
    </r>
  </si>
  <si>
    <t>维度21</t>
  </si>
  <si>
    <t>维度22</t>
  </si>
  <si>
    <t>维度23</t>
  </si>
  <si>
    <t>维度24</t>
  </si>
  <si>
    <t>触控按键</t>
  </si>
  <si>
    <t>维度25</t>
  </si>
  <si>
    <t>维度26</t>
  </si>
  <si>
    <t>维度27</t>
  </si>
  <si>
    <t>维度28</t>
  </si>
  <si>
    <t>容量大小</t>
  </si>
  <si>
    <t>工作档位</t>
  </si>
  <si>
    <t>按键类型</t>
  </si>
  <si>
    <t>B009GQ034C</t>
  </si>
  <si>
    <t>B0872YWPK8</t>
  </si>
  <si>
    <t>Size: 2-Slice | Color: White | Style: Toaster</t>
  </si>
  <si>
    <t>https://www.amazon.com/dp/B009GQ034C?psc=1</t>
  </si>
  <si>
    <t>https://images-na.ssl-images-amazon.com/images/I/314lREl4xhL._AC_US600_.jpg</t>
  </si>
  <si>
    <t>Cuisinart CPT-122 Compact Plastic 2-Slice Toaster, White</t>
  </si>
  <si>
    <t>Cuisinart CPT-122 紧凑型塑料 2 片烤面包机，白色</t>
  </si>
  <si>
    <t>Home &amp; Kitchen:Kitchen &amp; Dining:Small Appliances:Ovens &amp; Toasters:Toasters</t>
  </si>
  <si>
    <t>Toasters</t>
  </si>
  <si>
    <t>2片</t>
  </si>
  <si>
    <t>普通款</t>
  </si>
  <si>
    <t>7档</t>
  </si>
  <si>
    <t>塑胶按键</t>
  </si>
  <si>
    <t>百吉饼+加热+解冻+取消</t>
  </si>
  <si>
    <t>塑料</t>
  </si>
  <si>
    <t>25~30usd</t>
  </si>
  <si>
    <t>2012-09-25</t>
  </si>
  <si>
    <t xml:space="preserve">公司名称：Ralph Vincent Toomey Jr.
办公地址：
604 Branway Dr.
richmond
VA
23229
US
</t>
  </si>
  <si>
    <t>2.6 Pounds</t>
  </si>
  <si>
    <t>6.5"D x 11"W x 7"H</t>
  </si>
  <si>
    <t>B01KZ729F6</t>
  </si>
  <si>
    <t>B01L8I3OW8</t>
  </si>
  <si>
    <t>Pattern Name: Toaster | Style: 2 Slice</t>
  </si>
  <si>
    <t>https://www.amazon.com/dp/B01KZ729F6?psc=1</t>
  </si>
  <si>
    <t>https://images-na.ssl-images-amazon.com/images/I/41OhWCFOswL._AC_US600_.jpg</t>
  </si>
  <si>
    <t>Hamilton Beach 2 Slice Extra Wide Slot Toaster with Bagel &amp; Defrost Settings, Shade Selector, Toast Boost, Auto Shutoff, Black &amp; Stainless Steel (22633)</t>
  </si>
  <si>
    <t>Hamilton Beach 2 片超宽槽烤面包机，带百吉饼和解冻设置、颜色选择器、Toast Boost、自动关机、黑色和不锈钢 (22633)</t>
  </si>
  <si>
    <t>750W</t>
  </si>
  <si>
    <t>金属按键</t>
  </si>
  <si>
    <t>百吉饼+解冻+取消</t>
  </si>
  <si>
    <t>20~25usd</t>
  </si>
  <si>
    <t>2016-08-24</t>
  </si>
  <si>
    <t>2.75 Pounds</t>
  </si>
  <si>
    <t>7.48"D x 11.3"W x 7.48"H</t>
  </si>
  <si>
    <t>B002CVTT4S</t>
  </si>
  <si>
    <t>B0711RL2JK</t>
  </si>
  <si>
    <t>Color: Black</t>
  </si>
  <si>
    <t>https://www.amazon.com/dp/B002CVTT4S?psc=1</t>
  </si>
  <si>
    <t>https://images-na.ssl-images-amazon.com/images/I/41lRfRszd+L._AC_US600_.jpg</t>
  </si>
  <si>
    <t>BLACK+DECKER</t>
  </si>
  <si>
    <t>BLACK+DECKER 2-Slice Extra-Wide Slot Toaster, Square, Black, T2569B</t>
  </si>
  <si>
    <t>BLACK+DECKER 2 片超宽槽烤面包机，方形，黑色，T2569B</t>
  </si>
  <si>
    <t>5</t>
  </si>
  <si>
    <t>6档</t>
  </si>
  <si>
    <t>2009-06-05</t>
  </si>
  <si>
    <t xml:space="preserve">公司名称：Las 4 Grandes Corp
办公地址：
13433 NW 19 LN
MIAMI
FL
33182
US
</t>
  </si>
  <si>
    <t>2.4 pounds</t>
  </si>
  <si>
    <t>7.28"D x 12.01"W x 8.07"H</t>
  </si>
  <si>
    <t>B07HYW76FK</t>
  </si>
  <si>
    <t>B0BWJP1W4D</t>
  </si>
  <si>
    <t>Size: 4 Slice | Color: Stainless Steel and Black</t>
  </si>
  <si>
    <t>https://www.amazon.com/dp/B07HYW76FK?psc=1</t>
  </si>
  <si>
    <t>https://images-na.ssl-images-amazon.com/images/I/51xA5VopoTL._AC_US600_.jpg</t>
  </si>
  <si>
    <t>Elite Gourmet ECT-3100 Long Slot 4 Slice Toaster, Reheat, 6 Toast Settings, Defrost, Cancel Functions, Built-in Warming Rack, Extra Wide Slots for Bagels &amp; Waffles, Stainless Steel &amp; Black</t>
  </si>
  <si>
    <t>Elite Gourmet ECT-3100 长槽 4 片烤面包机，再加热，6 种吐司设置，解冻，取消功能，内置加热架，用于百吉饼和华夫饼的超宽槽，不锈钢和黑色</t>
  </si>
  <si>
    <t>6</t>
  </si>
  <si>
    <t>4片</t>
  </si>
  <si>
    <t>加热+解冻+取消</t>
  </si>
  <si>
    <t>30~35usd</t>
  </si>
  <si>
    <t>2018-10-02</t>
  </si>
  <si>
    <t xml:space="preserve">公司名称：Ulises Lorenzo Salas Sanchez
</t>
  </si>
  <si>
    <t>5.2 pounds</t>
  </si>
  <si>
    <t>14.68 x 7.13 x 7.68 inches</t>
  </si>
  <si>
    <t>B0BFG48CHY</t>
  </si>
  <si>
    <t>B0BKCBM8Q9</t>
  </si>
  <si>
    <t>Color: Turquoise</t>
  </si>
  <si>
    <t>https://www.amazon.com/dp/B0BFG48CHY?psc=1</t>
  </si>
  <si>
    <t>https://m.media-amazon.com/images/I/51kc-16ephL._AC_US600_.jpg</t>
  </si>
  <si>
    <t>MUELLER HOME</t>
  </si>
  <si>
    <t>Mueller Retro Toaster 2 Slice with 7 Browning Levels and 3 Functions: Reheat, Defrost &amp; Cancel, Stainless Steel Features, Removable Crumb Tray, Under Base Cord Storage, Turquoise</t>
  </si>
  <si>
    <t>Mueller 复古烤面包机 2 片，具有 7 种褐变程度和 3 种功能：再加热、解冻和取消，不锈钢功能，可拆卸面包屑托盘，底部电线存储，绿松石色</t>
  </si>
  <si>
    <t>450W</t>
  </si>
  <si>
    <t>2022-09-15</t>
  </si>
  <si>
    <t>THE LAST STORE</t>
  </si>
  <si>
    <t xml:space="preserve">公司名称：AFSANEH ABBAS
办公地址：
5500 MARSHALL ST
OAKLAND
CA
94608
US
</t>
  </si>
  <si>
    <t>2.57 pounds</t>
  </si>
  <si>
    <t>6.5"D x 11.5"W x 6.9"H</t>
  </si>
  <si>
    <t>B0000A1ZN1</t>
  </si>
  <si>
    <t>B084HRSSWB</t>
  </si>
  <si>
    <t>Pattern Name: Toaster | Color: Brushed Stainless | Style: 4 Slice-New</t>
  </si>
  <si>
    <t>https://www.amazon.com/dp/B0000A1ZN1?psc=1</t>
  </si>
  <si>
    <t>https://images-na.ssl-images-amazon.com/images/I/41KYn3ISrjL._AC_US600_.jpg</t>
  </si>
  <si>
    <t>Cuisinart CPT-180P1 Metal Classic 4-Slice Toaster, Brushed Stainless</t>
  </si>
  <si>
    <t>Cuisinart CPT-180P1 金属经典 4 片烤面包机，拉丝不锈钢</t>
  </si>
  <si>
    <t>Coffee Machines
Toasters
Coffee, Tea &amp; Espresso Appliances</t>
  </si>
  <si>
    <t>7
8
23</t>
  </si>
  <si>
    <t>60~65usd</t>
  </si>
  <si>
    <t>2003-05-05</t>
  </si>
  <si>
    <t>All Things Leen</t>
  </si>
  <si>
    <t xml:space="preserve">公司名称：Eileen Gomez PA
办公地址：
13957 sw 8 ter
MIAMI
FL
33184
US
</t>
  </si>
  <si>
    <t>6.1 pounds</t>
  </si>
  <si>
    <t>11.15 x 10.65 x 7.5 inches</t>
  </si>
  <si>
    <t>B072P11H8L</t>
  </si>
  <si>
    <t>https://www.amazon.com/dp/B072P11H8L?psc=1</t>
  </si>
  <si>
    <t>https://images-na.ssl-images-amazon.com/images/I/51ggMDXxx5L._AC_US600_.jpg</t>
  </si>
  <si>
    <t>Amazon Basics</t>
  </si>
  <si>
    <t>Amazon Basics 2 Slice, Extra-Wide Slot Toaster with 6 Shade Settings, Black</t>
  </si>
  <si>
    <t>Amazon Basics 2 Slice，超宽槽烤面包机，带 6 种阴影设置，黑色</t>
  </si>
  <si>
    <t>2017-12-20</t>
  </si>
  <si>
    <t>2.17 Pounds</t>
  </si>
  <si>
    <t>4"D x 1"W x 1"H</t>
  </si>
  <si>
    <t>B07B4Z7N9H</t>
  </si>
  <si>
    <t>https://www.amazon.com/dp/B07B4Z7N9H?psc=1</t>
  </si>
  <si>
    <t>https://images-na.ssl-images-amazon.com/images/I/41nKg2uirVL._AC_US600_.jpg</t>
  </si>
  <si>
    <t>Proctor Silex</t>
  </si>
  <si>
    <t>Proctor Silex 4 Slice Toaster with Extra Wide Slots for Bagels, Cool-Touch Walls, Shade Selector, Toast Boost, Auto Shut-off and Cancel Button, Black (24215PS)</t>
  </si>
  <si>
    <t>Proctor Silex 4 片烤面包机，带适用于百吉饼的超宽槽、冷触式墙壁、阴影选择器、Toast Boost、自动关闭和取消按钮，黑色 (24215PS)</t>
  </si>
  <si>
    <t>825W</t>
  </si>
  <si>
    <t>百吉饼+取消</t>
  </si>
  <si>
    <t>35~40usd</t>
  </si>
  <si>
    <t>2018-03-01</t>
  </si>
  <si>
    <t xml:space="preserve">公司名称：718 sold it corp
电话号码：718-975-0797
办公地址：
1066 linwood st
brooklyn
new york
11208
US
</t>
  </si>
  <si>
    <t>4.1 Pounds</t>
  </si>
  <si>
    <t>8"D x 12.25"W x 11.31"H</t>
  </si>
  <si>
    <t>B00N8XFFDI</t>
  </si>
  <si>
    <t>B09SJLDX9G</t>
  </si>
  <si>
    <t>Size: 2 Slice | Pattern Name: 2 Slice Toaster | Color: Red</t>
  </si>
  <si>
    <t>https://www.amazon.com/dp/B00N8XFFDI?psc=1</t>
  </si>
  <si>
    <t>https://images-na.ssl-images-amazon.com/images/I/31pTDtIU7iL._AC_US600_.jpg</t>
  </si>
  <si>
    <t>Hamilton Beach 2 Slice Toaster with Extra Wide Slots, Shade Selector, Auto-Shutoff, Cancel Button and Toast Boost, Red</t>
  </si>
  <si>
    <t>Hamilton Beach 2 片烤面包机，带超宽槽、颜色选择器、自动关闭、取消按钮和 Toast Boost，红色</t>
  </si>
  <si>
    <t>取消</t>
  </si>
  <si>
    <t>2014-08-26</t>
  </si>
  <si>
    <t xml:space="preserve">公司名称：Small Town Premium Supplements - David Vasilijevic
办公地址：
5300 W ATLANTIC AVE STE 402
DELRAY BEACH
Florida
33484
US
</t>
  </si>
  <si>
    <t>1.22 Kilograms</t>
  </si>
  <si>
    <t>6.3"D x 11.2"W x 7.1"H</t>
  </si>
  <si>
    <t>B07WZT4HB1</t>
  </si>
  <si>
    <t>B0855MG44Z</t>
  </si>
  <si>
    <t>Color: Cream</t>
  </si>
  <si>
    <t>https://www.amazon.com/dp/B07WZT4HB1?psc=1</t>
  </si>
  <si>
    <t>https://images-na.ssl-images-amazon.com/images/I/41Q4I7O0fIL._AC_US600_.jpg</t>
  </si>
  <si>
    <t>REDMOND</t>
  </si>
  <si>
    <t>REDMOND 2 Slice Toaster Retro Stainless Steel Toaster with Bagel, Cancel, Defrost Function and 6 Bread Shade Settings Bread Toaster, Extra Wide Slot and Removable Crumb Tray, Cream, ST028</t>
  </si>
  <si>
    <t>REDMOND 2 片烤面包机 复古不锈钢烤面包机，带百吉饼、取消、解冻功能和 6 种面包色调设置面包烤面包机，超宽槽和可拆卸面包屑托盘，奶油，ST028</t>
  </si>
  <si>
    <t>12</t>
  </si>
  <si>
    <t>奶油色</t>
  </si>
  <si>
    <t>40~45usd</t>
  </si>
  <si>
    <t>2019-08-28</t>
  </si>
  <si>
    <t>Smarthomate</t>
  </si>
  <si>
    <t xml:space="preserve">公司名称：zhoushankechuangdianzishangwuyouxiangongsi
办公地址：
ZHEJIANGSHENGZHOUSHANSHIDINGHAIQUZHOUSHANGANG
ZONGHEBAOSHUIQUQIYEFUWUZHONGXIN303-70175SHI
ZHOUSHAN
ZHEJIANG
316000
CN
</t>
  </si>
  <si>
    <t>3.06 Pounds</t>
  </si>
  <si>
    <t>6.9"D x 10.8"W x 7.4"H</t>
  </si>
  <si>
    <t>B08NWGNQPS</t>
  </si>
  <si>
    <t>B094WHGJWP</t>
  </si>
  <si>
    <t>Style Name: 2-Slice</t>
  </si>
  <si>
    <t>https://www.amazon.com/dp/B08NWGNQPS?psc=1</t>
  </si>
  <si>
    <t>https://images-na.ssl-images-amazon.com/images/I/41tEuXDwjJS._AC_US600_.jpg</t>
  </si>
  <si>
    <t>GE</t>
  </si>
  <si>
    <t>GE Stainless Steel Toaster | 2 Slice | Extra Wide Slots for Toasting Bagels, Breads, Waffles &amp; More | 7 Shade Options for the Entire Household to Enjoy | Countertop Kitchen Essentials | 850 Watts</t>
  </si>
  <si>
    <t xml:space="preserve"> GE 不锈钢烤面包机|  2 片 | 用于烘烤百吉饼、面包、华夫饼等的超宽槽 | 供全家人享用的 7 种遮阳选择 | 台面厨房必备品 |  850 瓦</t>
  </si>
  <si>
    <t>45~50usd</t>
  </si>
  <si>
    <t>2020-11-19</t>
  </si>
  <si>
    <t>5.59 pounds</t>
  </si>
  <si>
    <t>6.88"D x 11.18"W x 7.64"H</t>
  </si>
  <si>
    <t>B09HMK8K4Q</t>
  </si>
  <si>
    <t>B09HMMTNHD</t>
  </si>
  <si>
    <t>Color: Silver Metallic | Style: 2 slice</t>
  </si>
  <si>
    <t>https://www.amazon.com/dp/B09HMK8K4Q?psc=1</t>
  </si>
  <si>
    <t>https://images-na.ssl-images-amazon.com/images/I/41P0kGAUyhL._AC_US600_.jpg</t>
  </si>
  <si>
    <t>SEEDEEM</t>
  </si>
  <si>
    <t>SEEDEEM Toaster 2 Slice, Stainless Steel Bread Toaster with LCD Display and Touch Buttons, 50% Faster Heating Speed, 6 Bread Selection, 7 Shade Settings, 1.5''Wide Slots Toaster with Cancel/Defrost/Reheat Functions, Removable Crumb Tray, 1350W, Silver Metallic</t>
  </si>
  <si>
    <t>SEEDEEM 烤面包机 2 片不锈钢面包烤面包机，带 LCD 显示屏和触摸按钮，加热速度加快 50%，6 种面包选择，7 种阴影设置，1.5 英寸宽槽烤面包机，带取消/解冻/再加热功能，可拆卸式面包屑托盘，1350 瓦，银色金属</t>
  </si>
  <si>
    <t>14</t>
  </si>
  <si>
    <t>数显智能款</t>
  </si>
  <si>
    <t>1350W</t>
  </si>
  <si>
    <t>百吉饼+加热+解冻+取消+自定义</t>
  </si>
  <si>
    <t>2021-10-01</t>
  </si>
  <si>
    <t>Seedeem</t>
  </si>
  <si>
    <t xml:space="preserve">公司名称：Guangdong Xiding Dianqi Keji Youxiangongsi
办公地址：
Floor 6, Building 3, Zibianzhiyi
No.16 Gaoxindonglu, Jianghai Disctrict
Jiangmen
Guangdong
529000
CN
</t>
  </si>
  <si>
    <t>4.2 pounds</t>
  </si>
  <si>
    <t>6.5"D x 10.8"W x 7.2"H</t>
  </si>
  <si>
    <t>B08CKBDQJJ</t>
  </si>
  <si>
    <t>B097TJWH34</t>
  </si>
  <si>
    <t>Color: white</t>
  </si>
  <si>
    <t>https://www.amazon.com/dp/B08CKBDQJJ?psc=1</t>
  </si>
  <si>
    <t>https://images-na.ssl-images-amazon.com/images/I/41nb9dc1wcL._AC_US600_.jpg</t>
  </si>
  <si>
    <t>Keenstone</t>
  </si>
  <si>
    <t>Toaster 2 Slice Stainless Steel Toaster Retro with 6 Bread Shade Settings, Bagel, Cancel, Defrost Function, 2 Slice Toaster with Extra Wide Slot, Removable Crumb Tray, White</t>
  </si>
  <si>
    <t>烤面包机 2 片复古不锈钢烤面包机，带 6 种面包色调设置，百吉饼，取消，解冻功能，2 片烤面包机，带超宽槽，可拆卸面包屑托盘，白色</t>
  </si>
  <si>
    <t>2020-07-07</t>
  </si>
  <si>
    <t>keenstone</t>
  </si>
  <si>
    <t xml:space="preserve">公司名称：Keenstone Corporation
办公地址：
2159 Sepulveda Ave
Milpitas
California
95035
US
</t>
  </si>
  <si>
    <t>3.08 Pounds</t>
  </si>
  <si>
    <t>7.1"D x 11.6"W x 7.5"H</t>
  </si>
  <si>
    <t>B08FBLRGNS</t>
  </si>
  <si>
    <t>B08FC4NGV5</t>
  </si>
  <si>
    <t>Size: 2-Slice | Color: Gray | Style: Toaster</t>
  </si>
  <si>
    <t>https://www.amazon.com/dp/B08FBLRGNS?psc=1</t>
  </si>
  <si>
    <t>https://images-na.ssl-images-amazon.com/images/I/41jFQwLud+L._AC_US600_.jpg</t>
  </si>
  <si>
    <t>Oster 2-Slice Toaster with Advanced Toast Technology, Stainless Steel</t>
  </si>
  <si>
    <t>Oster 2 片烤面包机采用先进的吐司技术，不锈钢</t>
  </si>
  <si>
    <t xml:space="preserve">公司名称：Lance Oberlin
办公地址：
3552 Kent Road
Stow
OH
44224
US
</t>
  </si>
  <si>
    <t>3.65 pounds</t>
  </si>
  <si>
    <t>11.73 x 8.07 x 8.54 inches</t>
  </si>
  <si>
    <t>B0B194RTV2</t>
  </si>
  <si>
    <t>B0BWJPKR3D</t>
  </si>
  <si>
    <t>Size: 2 Slice</t>
  </si>
  <si>
    <t>https://www.amazon.com/dp/B0B194RTV2?psc=1</t>
  </si>
  <si>
    <t>https://images-na.ssl-images-amazon.com/images/I/21fcj-tX47L._AC_US600_.jpg</t>
  </si>
  <si>
    <t>Elite Gourmet ECT-1027# Cool Touch Toaster, 7 Toast Settings Cancel Functions, Slide Out Crumb Tray, Extra Wide 1.5" Slots for Bagels Waffles Specialty Breads, Puff Pastry, Snacks, White</t>
  </si>
  <si>
    <t>Elite Gourmet ECT-1027# Cool Touch 烤面包机，7 种吐司设置取消功能，滑出式面包屑托盘，超宽 1.5 英寸槽，适用于百吉饼华夫饼特色面包、酥皮糕点、零食，白色</t>
  </si>
  <si>
    <t>15~20usd</t>
  </si>
  <si>
    <t>2022-05-13</t>
  </si>
  <si>
    <t>5.5"D x 9.5"W x 6.25"H</t>
  </si>
  <si>
    <t>B0B135NQQZ</t>
  </si>
  <si>
    <t>B0BRP92FTS</t>
  </si>
  <si>
    <t>Size: 2 Slice | Color: Sage</t>
  </si>
  <si>
    <t>https://www.amazon.com/dp/B0B135NQQZ?psc=1</t>
  </si>
  <si>
    <t>https://m.media-amazon.com/images/I/31raOLNwuXL._AC_US600_.jpg</t>
  </si>
  <si>
    <t>BELLA 2 Slice toaster, Stainless Steel and Sage</t>
  </si>
  <si>
    <t>BELLA 2 片烤面包机，不锈钢和鼠尾草色</t>
  </si>
  <si>
    <t>18</t>
  </si>
  <si>
    <t>鼠尾草色</t>
  </si>
  <si>
    <t>百吉饼+无麸质+解冻+再加热+取消</t>
  </si>
  <si>
    <t>2022-05-11</t>
  </si>
  <si>
    <t>2.46 Pounds</t>
  </si>
  <si>
    <t>10.16 x 5.98 x 7.17 inches</t>
  </si>
  <si>
    <t>B002GHBSCO</t>
  </si>
  <si>
    <t>B0BQYPWD9K</t>
  </si>
  <si>
    <t>Color: Black/Silver</t>
  </si>
  <si>
    <t>https://www.amazon.com/dp/B002GHBSCO?psc=1</t>
  </si>
  <si>
    <t>https://images-na.ssl-images-amazon.com/images/I/415Nsr+uxEL._AC_US600_.jpg</t>
  </si>
  <si>
    <t>BLACK+DECKER T4569B 4-Slice Toaster, Bagel Toaster, Black</t>
  </si>
  <si>
    <t>BLACK+DECKER T4569B 4 片烤面包机，百吉饼烤面包机，黑色</t>
  </si>
  <si>
    <t>19</t>
  </si>
  <si>
    <t>2011-03-25</t>
  </si>
  <si>
    <t xml:space="preserve">公司名称：TA Liquidations
电话号码：866-820-4142
办公地址：
17044 Cerritos St
Fontana
CA
92336
US
</t>
  </si>
  <si>
    <t>4 Pounds</t>
  </si>
  <si>
    <t>10"D x 11.5"W x 7.6"H</t>
  </si>
  <si>
    <t>B00NMWRK2E</t>
  </si>
  <si>
    <t>https://www.amazon.com/dp/B00NMWRK2E?psc=1</t>
  </si>
  <si>
    <t>https://images-na.ssl-images-amazon.com/images/I/41ZJxciLQ+L._AC_US600_.jpg</t>
  </si>
  <si>
    <t>Hamilton Beach 2 Slice Toaster with Extra Wide Slots, Shade Selector, Auto-Shutoff, Cancel Button and Toast Boost, Black</t>
  </si>
  <si>
    <t>Hamilton Beach 2 片烤面包机，带超宽槽、颜色选择器、自动关闭、取消按钮和 Toast Boost，黑色</t>
  </si>
  <si>
    <t>20</t>
  </si>
  <si>
    <t>2014-07-09</t>
  </si>
  <si>
    <t xml:space="preserve">公司名称：Windy Neptune LLC
办公地址：
PO BOX 68504
Indianapolis
Indiana
46268
US
</t>
  </si>
  <si>
    <t>2.5 Pounds</t>
  </si>
  <si>
    <t>11.3"D x 6.4"W x 7"H</t>
  </si>
  <si>
    <t>B07D7R61JH</t>
  </si>
  <si>
    <t>https://www.amazon.com/dp/B07D7R61JH?psc=1</t>
  </si>
  <si>
    <t>https://images-na.ssl-images-amazon.com/images/I/31GP+5VqgqL._AC_US600_.jpg</t>
  </si>
  <si>
    <t>Elite Gourmet ECT-1027 Cool Touch Toaster, 7 Toast Settings Cancel Functions, Slide Out Crumb Tray, Extra Wide 1.5" Slots for Bagels Waffles Specialty Breads, Puff Pastry, Snacks, White</t>
  </si>
  <si>
    <t>Elite Gourmet ECT-1027 Cool Touch 烤面包机，7 种吐司设置取消功能，滑出式面包屑托盘，超宽 1.5 英寸槽，适用于百吉饼华夫饼特色面包、酥皮糕点、零食，白色</t>
  </si>
  <si>
    <t>800W</t>
  </si>
  <si>
    <t>2018-05-22</t>
  </si>
  <si>
    <t xml:space="preserve">公司名称：Kozytime
办公地址：
10331 Herrington Dr
Aurora
OH
44202
US
</t>
  </si>
  <si>
    <t>2.09 pounds</t>
  </si>
  <si>
    <t>5.31"D x 9.45"W x 6.46"H</t>
  </si>
  <si>
    <t>B092VSV6XY</t>
  </si>
  <si>
    <t>B0B8DTS3JV</t>
  </si>
  <si>
    <t>Size: 4 Slice | Color: Silver Stainless Steel</t>
  </si>
  <si>
    <t>https://www.amazon.com/dp/B092VSV6XY?psc=1</t>
  </si>
  <si>
    <t>https://images-na.ssl-images-amazon.com/images/I/41t+hjWbevL._AC_US600_.jpg</t>
  </si>
  <si>
    <t>CUSIMAX 4 Slice Toaster, Ultra-Clear LED Display &amp; Extra Wide Slots, Dual Control Panels of 6 Shade Settings, Cancel/Bagel/Defrost Function, Removable Crumb Trays, Stainless Steel Toaster</t>
  </si>
  <si>
    <t>CUSIMAX 4 片烤面包机、超清晰 LED 显示屏和超宽槽、6 种阴影设置的双控制面板、取消/百吉饼/解冻功能、可拆卸面包屑托盘、不锈钢烤面包机</t>
  </si>
  <si>
    <t>数显款</t>
  </si>
  <si>
    <t>1650W</t>
  </si>
  <si>
    <t>65~70usd</t>
  </si>
  <si>
    <t>2021-04-19</t>
  </si>
  <si>
    <t>JuDA-US</t>
  </si>
  <si>
    <t xml:space="preserve">公司名称：Zhongshanshijudawujinzhipinchang
办公地址：
绩东二怡丰路81号之一
B幢首层之四
中山市
小榄镇
广东省
528415
CN
</t>
  </si>
  <si>
    <t>5.84 pounds</t>
  </si>
  <si>
    <t>10.43"D x 11.5"W x 7.09"H</t>
  </si>
  <si>
    <t>B09X1XTZHQ</t>
  </si>
  <si>
    <t>https://www.amazon.com/dp/B09X1XTZHQ?psc=1</t>
  </si>
  <si>
    <t>https://images-na.ssl-images-amazon.com/images/I/311Pt2KCf6L._AC_US600_.jpg</t>
  </si>
  <si>
    <t>Nostalgia</t>
  </si>
  <si>
    <t>Nostalgia MyMini Single Slice Toaster, Extra Wide Slot, Adjustable Temperature, Removable Crumb Tray, Aqua</t>
  </si>
  <si>
    <t>Nostalgia MyMini 单片烤面包机，超宽槽，可调温度，可拆卸碎屑托盘，浅绿色</t>
  </si>
  <si>
    <t>单片</t>
  </si>
  <si>
    <t>500W</t>
  </si>
  <si>
    <t>无</t>
  </si>
  <si>
    <t>5~10sd</t>
  </si>
  <si>
    <t>2022-04-01</t>
  </si>
  <si>
    <t xml:space="preserve">公司名称：Rubios Consulting LLC
办公地址：
2409 Woolard Dr
Bakersfield
CA
93304
US
</t>
  </si>
  <si>
    <t>1.69 pounds</t>
  </si>
  <si>
    <t>9.49"D x 3.74"W x 6.22"H</t>
  </si>
  <si>
    <t>B09KBQPRNZ</t>
  </si>
  <si>
    <t>B09Q21LZ9R</t>
  </si>
  <si>
    <t>Color: Cream White</t>
  </si>
  <si>
    <t>https://www.amazon.com/dp/B09KBQPRNZ?psc=1</t>
  </si>
  <si>
    <t>https://images-na.ssl-images-amazon.com/images/I/41JV20XZHRL._AC_US600_.jpg</t>
  </si>
  <si>
    <t>REDMOND Toaster 4 Slice, Retro Stainless Steel Toaster with Extra Wide Slots Bagel, Defrost, Reheat Function, Dual Independent Control Panel, Removable Crumb Tray, 6 Shade Settings and High Lift Lever, Cream White, New Version</t>
  </si>
  <si>
    <t>REDMOND 烤面包机 4 片，复古不锈钢烤面包机，带超宽槽百吉饼，解冻，再加热功能，双独立控制面板，可拆卸面包屑托盘，6 种阴影设置和高举杆，奶油白色，新版本</t>
  </si>
  <si>
    <t>55~60usd</t>
  </si>
  <si>
    <t>2021-12-14</t>
  </si>
  <si>
    <t>KIKING</t>
  </si>
  <si>
    <t xml:space="preserve">公司名称：Guangzhouzhigongjinchukoumaoyiyouxiangongsi
办公地址：
Baiyun District,70 East HuangShi Road
Guangzhou City
Guangdong Province
510000
CN
</t>
  </si>
  <si>
    <t>5.99 pounds</t>
  </si>
  <si>
    <t>11.1"D x 12.64"W x 7.48"H</t>
  </si>
  <si>
    <t>B07Y1GZ38K</t>
  </si>
  <si>
    <t>B09DGH8VGR</t>
  </si>
  <si>
    <t>Color: Yellow</t>
  </si>
  <si>
    <t>https://www.amazon.com/dp/B07Y1GZ38K?psc=1</t>
  </si>
  <si>
    <t>https://images-na.ssl-images-amazon.com/images/I/41+LnwdCj5L._AC_US600_.jpg</t>
  </si>
  <si>
    <t>ISILER</t>
  </si>
  <si>
    <t>iSiLER 2 Slice Toaster, 1.3 Inches Wide Slot Bagel Toaster with 7 Shade Settings and Double Side Baking, Compact Bread Toaster with Removable Crumb Tray, Defrost Cancel Function Yellow</t>
  </si>
  <si>
    <t>iSiLER 2 片烤面包机，1.3 英寸宽槽百吉饼烤面包机，带 7 种颜色设置和双面烘烤，紧凑型面包烤面包机，带可拆卸面包屑托盘，解冻取消功能黄色</t>
  </si>
  <si>
    <t>黄色</t>
  </si>
  <si>
    <t>2019-09-23</t>
  </si>
  <si>
    <t>iSiLER US</t>
  </si>
  <si>
    <t xml:space="preserve">公司名称：ShenZhen MingJiaSheng DianZiShangWu YouXianGongSi
办公地址：
沙头街道下沙八坊113号401室
深圳市
福田区
广东省
518000
CN
</t>
  </si>
  <si>
    <t>2 Pounds</t>
  </si>
  <si>
    <t>5.3"D x 9.4"W x 7"H</t>
  </si>
  <si>
    <t>B0B48B7PN5</t>
  </si>
  <si>
    <t>B0BF2D1X3J</t>
  </si>
  <si>
    <t>Color: Stainless Steel | Style: 2 Slice</t>
  </si>
  <si>
    <t>https://www.amazon.com/dp/B0B48B7PN5?psc=1</t>
  </si>
  <si>
    <t>https://images-na.ssl-images-amazon.com/images/I/41yAn1ncNnL._AC_US600_.jpg</t>
  </si>
  <si>
    <t>Peach Street</t>
  </si>
  <si>
    <t>Peach Street 2 Slice Toaster Compact Bread Toaster with Digital Countdown, Wide Slots, Auto-Pop Stainless Steel, 6 Browning Levels, Removable Crumb Tray, with Defrost, Bagel, and Cancel Function</t>
  </si>
  <si>
    <t>Peach Street 2 片烤面包机紧凑型面包烤面包机，带数字倒计时、宽槽、自动弹出不锈钢、6 级烘烤水平、可拆卸面包屑托盘、带解冻、百吉饼和取消功能</t>
  </si>
  <si>
    <t>2022-06-15</t>
  </si>
  <si>
    <t>123 Peach Street</t>
  </si>
  <si>
    <t xml:space="preserve">公司名称：MULTI MARKET LLC
办公地址：
9169 W State St
Unit 1426
Garden City
ID
83714
US
</t>
  </si>
  <si>
    <t>3.5 pounds</t>
  </si>
  <si>
    <t>9.5"D x 6"W x 7"H</t>
  </si>
  <si>
    <t>B007P204UM</t>
  </si>
  <si>
    <t>B0BP831MJ8</t>
  </si>
  <si>
    <t>Size: 2 Slice | Color: Contour Silver | Style: Standard</t>
  </si>
  <si>
    <t>https://www.amazon.com/dp/B007P204UM?psc=1</t>
  </si>
  <si>
    <t>https://m.media-amazon.com/images/I/41al6p5fMrL._AC_US600_.jpg</t>
  </si>
  <si>
    <t>KitchenAid</t>
  </si>
  <si>
    <t>KitchenAid KMT2115 Toaster, 2 Slice</t>
  </si>
  <si>
    <t>KitchenAid KMT2115 烤面包机，2 片</t>
  </si>
  <si>
    <t>28</t>
  </si>
  <si>
    <t>5档</t>
  </si>
  <si>
    <t>2012-06-18</t>
  </si>
  <si>
    <t>4.8 Pounds</t>
  </si>
  <si>
    <t>7.7"D x 11.4"W x 7.7"H</t>
  </si>
  <si>
    <t>B07KPP932D</t>
  </si>
  <si>
    <t>B09RV29CJ4</t>
  </si>
  <si>
    <t>Size: 2-Slice | Color: Black</t>
  </si>
  <si>
    <t>https://www.amazon.com/dp/B07KPP932D?psc=1</t>
  </si>
  <si>
    <t>https://images-na.ssl-images-amazon.com/images/I/415TX8+SyES._AC_US600_.jpg</t>
  </si>
  <si>
    <t>West Bend</t>
  </si>
  <si>
    <t>West Bend 77224 Toaster 2 Slice QuikServe Wide Slot Slide Through with Bagel and Gluten-Free Settings and Cool Touch Exterior Includes Removable Serving Tray, Black</t>
  </si>
  <si>
    <t>West Bend 77224 烤面包机 2 片 QuikServe 宽槽滑动式带百吉饼和无麸质设置和凉爽触感外部包括可拆卸服务托盘，黑色</t>
  </si>
  <si>
    <t>百吉饼+无麸质+取消</t>
  </si>
  <si>
    <t>2018-11-19</t>
  </si>
  <si>
    <t>3.78 Pounds</t>
  </si>
  <si>
    <t>6.3"D x 16.1"W x 11.7"H</t>
  </si>
  <si>
    <t>B00COMHBT0</t>
  </si>
  <si>
    <t>B01FX8OXJW</t>
  </si>
  <si>
    <t>Model: BTA730XL</t>
  </si>
  <si>
    <t>https://www.amazon.com/dp/B00COMHBT0?psc=1</t>
  </si>
  <si>
    <t>https://images-na.ssl-images-amazon.com/images/I/31WZFas133L._AC_US600_.jpg</t>
  </si>
  <si>
    <t>Breville Bit More 4-Slice Toaster, Brushed Stainless Steel, BTA730XL</t>
  </si>
  <si>
    <t>Breville Bit More 4 片烤面包机，拉丝不锈钢，BTA730XL</t>
  </si>
  <si>
    <t>30</t>
  </si>
  <si>
    <t>2013-04-25</t>
  </si>
  <si>
    <t xml:space="preserve">公司名称：Kitchen Kapers, Inc
电话号码：800-455-5567
办公地址：
1250 Marlkress Road
Cherry Hill
New Jersey
08003
US
</t>
  </si>
  <si>
    <t>5.5 Pounds</t>
  </si>
  <si>
    <t>8.1"D x 16.1"W x 7.6"H</t>
  </si>
  <si>
    <t>B07S2VVHLF</t>
  </si>
  <si>
    <t>B09G3GD8Q7</t>
  </si>
  <si>
    <t>Color: Cozy Greenish</t>
  </si>
  <si>
    <t>https://www.amazon.com/dp/B07S2VVHLF?psc=1</t>
  </si>
  <si>
    <t>https://images-na.ssl-images-amazon.com/images/I/412gMdDA0YL._AC_US600_.jpg</t>
  </si>
  <si>
    <t>BUYDEEM</t>
  </si>
  <si>
    <t>BUYDEEM DT640 4-Slice Toaster, Extra Wide Slots, Retro Stainless Steel with High Lift Lever, Bagel and Muffin Function, Removal Crumb Tray, 7-Shade Settings (Cozy Greenish)</t>
  </si>
  <si>
    <t>BUYDEEM DT640 4 片烤面包机，超宽槽，复古不锈钢带高举杆，百吉饼和松饼功能，可移除面包屑托盘，7 种色调设置（舒适的绿色）</t>
  </si>
  <si>
    <t>31</t>
  </si>
  <si>
    <t>2019-05-20</t>
  </si>
  <si>
    <t>BUYDEEM US</t>
  </si>
  <si>
    <t xml:space="preserve">公司名称：Hong Kong Deembuy Trading Limited
办公地址：
gaoshidadao 77-99 hao futongdaxia
wanzai
Hong Kong
999077
CN
</t>
  </si>
  <si>
    <t>7.58 pounds</t>
  </si>
  <si>
    <t>6.97"D x 12.2"W x 11.02"H</t>
  </si>
  <si>
    <t>B07QS9NM28</t>
  </si>
  <si>
    <t>B0BG6VPY6W</t>
  </si>
  <si>
    <t>Color: Stainless Steel</t>
  </si>
  <si>
    <t>https://www.amazon.com/dp/B07QS9NM28?psc=1</t>
  </si>
  <si>
    <t>https://images-na.ssl-images-amazon.com/images/I/41AVxlbG47L._AC_US600_.jpg</t>
  </si>
  <si>
    <t>Chefman 2-Slice Pop-Up Stainless Steel Toaster w/ 7 Shade Settings, Extra Wide Slots for Toasting Bagels, Defrost/Reheat/Cancel Functions, Removable Crumb Tray, 850W, 120V, Silver</t>
  </si>
  <si>
    <t>Chefman 2 片式弹出式不锈钢烤面包机，带 7 种阴影设置，用于烘烤百吉饼的超宽槽，解冻/再加热/取消功能，可拆卸面包屑托盘，850 瓦，120 伏，银色</t>
  </si>
  <si>
    <t>2019-04-17</t>
  </si>
  <si>
    <t xml:space="preserve">公司名称：Chefman Direct
电话号码：888-315-6553
办公地址：
200 Performance Drive
Mahwah
NJ
07495
US
</t>
  </si>
  <si>
    <t>3 Pounds</t>
  </si>
  <si>
    <t>7.82"D x 11.62"W x 8.74"H</t>
  </si>
  <si>
    <t>B0B218XGDV</t>
  </si>
  <si>
    <t>https://www.amazon.com/dp/B0B218XGDV?psc=1</t>
  </si>
  <si>
    <t>https://images-na.ssl-images-amazon.com/images/I/41cUhmlrHuL._AC_US600_.jpg</t>
  </si>
  <si>
    <t>REDMOND Toaster 2 Slice, 1.5" Extra Wide Slots Black Toaster with Reheat, Bagel, Defrost, Cancel Function, 6-Shade Settings, Removable Crumb Tray and High Lift Lever Classic Bread Toaster, 900W</t>
  </si>
  <si>
    <t>REDMOND 烤面包机 2 片、1.5 英寸超宽槽黑色烤面包机，带再加热、百吉饼、解冻、取消功能、6 种阴影设置、可拆卸面包屑托盘和高举杆经典面包烤面包机，900 瓦</t>
  </si>
  <si>
    <t>2022-07-18</t>
  </si>
  <si>
    <t>Homerkitchen</t>
  </si>
  <si>
    <t xml:space="preserve">公司名称：Zhoushan Chuangdai Dianzi Shangwu Youxian Gongsi
办公地址：
zhoushangang zonghebaoshuiquqiyefuwuzhongxin 303-7
dinghaiqu
zhoushanshi
Zhejiangsheng
316032
CN
</t>
  </si>
  <si>
    <t>10.5"D x 6.5"W x 7"H</t>
  </si>
  <si>
    <t>B09V7SZK2X</t>
  </si>
  <si>
    <t>B0B17WXZ76</t>
  </si>
  <si>
    <t>Size: 4 Slice | Color: Stainless Steel</t>
  </si>
  <si>
    <t>https://www.amazon.com/dp/B09V7SZK2X?psc=1</t>
  </si>
  <si>
    <t>https://images-na.ssl-images-amazon.com/images/I/413JL-C9COL._AC_US600_.jpg</t>
  </si>
  <si>
    <t>Mecity</t>
  </si>
  <si>
    <t>Mecity 4 Slice Toaster, Long Slot Toaster With Countdown Timer, Bagel / Defrost / Reheat / Cancel Functions,Warming Rack, removable Crumb Tray, 6 Browning Settings, Extra Wide Long Slots, Stainless Steel Bread Toaster, 1300 Watts</t>
  </si>
  <si>
    <t>Mecity 4 片烤面包机，带倒数计时器的长槽烤面包机，百吉饼/解冻/再加热/取消功能，加热架，可拆卸面包屑托盘，6 种烘烤设置，超宽长槽，不锈钢面包烤面包机，1300 瓦</t>
  </si>
  <si>
    <t>34</t>
  </si>
  <si>
    <t>Ronghewan-US</t>
  </si>
  <si>
    <t xml:space="preserve">公司名称：shenzhenshironghewankejiyouxiangongsi
办公地址：
民治街道民乐社区星河WORLD
二期D栋1701
深圳市
龙华区
广东省
518109
CN
</t>
  </si>
  <si>
    <t>6.45 pounds</t>
  </si>
  <si>
    <t>14.8"D x 6.9"W x 7.1"H</t>
  </si>
  <si>
    <t>B08PK2J94Y</t>
  </si>
  <si>
    <t>B0B2SFDRTC</t>
  </si>
  <si>
    <t>https://www.amazon.com/dp/B08PK2J94Y?psc=1</t>
  </si>
  <si>
    <t>https://m.media-amazon.com/images/I/41ChqSj1ITL._AC_US600_.jpg</t>
  </si>
  <si>
    <t>REDMOND 4 Slice Toaster Retro Stainless Steel Toasters with Bagel Defrost Cancel Function, 6 Browning Settings, Red, ST033 WT-340C</t>
  </si>
  <si>
    <t>REDMOND 4 片烤面包机复古不锈钢烤面包机，带百吉饼解冻取消功能，6 档烘烤设置，红色，ST033 WT-340C</t>
  </si>
  <si>
    <t>35</t>
  </si>
  <si>
    <t>REDMOND DIRECT US</t>
  </si>
  <si>
    <t xml:space="preserve">公司名称：zhoushanzhongruidianzishangwuyouxiangongsi
办公地址：
ziyoumaoyishiyanquzhoushandinghaibeichanxiang(zongbaoqu)zhou
ZhouShan
ZheJiang
316000
CN
</t>
  </si>
  <si>
    <t>11.8"D x 13.6"W x 7.1"H</t>
  </si>
  <si>
    <t>B08ZDGNLW8</t>
  </si>
  <si>
    <t>B09F6P97MS</t>
  </si>
  <si>
    <t>Color: Green</t>
  </si>
  <si>
    <t>https://www.amazon.com/dp/B08ZDGNLW8?psc=1</t>
  </si>
  <si>
    <t>https://m.media-amazon.com/images/I/41o0drpzDPL._AC_US600_.jpg</t>
  </si>
  <si>
    <t>CROWNFUL 2-Slice Toaster, Extra Wide Slots Toaster, Retro Stainless Steel with Bagel, Cancel, Defrost, Reheat Function and 6-Shade Settings, Removal Crumb Tray, Green</t>
  </si>
  <si>
    <t>CROWNFUL 2 片烤面包机，超宽槽烤面包机，复古不锈钢带百吉饼，取消，解冻，再加热功能和 6 种色调设置，可拆卸碎屑托盘，绿色</t>
  </si>
  <si>
    <t>Polygon Inc</t>
  </si>
  <si>
    <t xml:space="preserve">公司名称：Shenzhenshi Jinpei Dianzishangwu Youxiangongsi
办公地址：
福田街道岗厦社区彩田路3069号星河世纪A栋705A19
深圳市
福田区
518016
CN
</t>
  </si>
  <si>
    <t>7.1"D x 11.5"W x 9.3"H</t>
  </si>
  <si>
    <t>B09ZKPM7XV</t>
  </si>
  <si>
    <t>B0BK8TMJKS</t>
  </si>
  <si>
    <t>Color: silver</t>
  </si>
  <si>
    <t>https://www.amazon.com/dp/B09ZKPM7XV?psc=1</t>
  </si>
  <si>
    <t>https://images-na.ssl-images-amazon.com/images/I/41MToYfpoAL._AC_US600_.jpg</t>
  </si>
  <si>
    <t>4 Slice Toaster,whall Stainless Steel Toaster 6 Bread Shade Settings,Bagel/Defrost/Cancel Function with Dual Control Panels,Extra Wide Slots,Removable Crumb Tray,for Various Bread Types 1500W</t>
  </si>
  <si>
    <t>4 片烤面包机，whall 不锈钢烤面包机 6 种面包色调设置，带双控制面板的百吉饼/解冻/取消功能，超宽槽，可拆卸面包屑托盘，适用于各种面包类型 1500W</t>
  </si>
  <si>
    <t>37</t>
  </si>
  <si>
    <t>2022-05-05</t>
  </si>
  <si>
    <t>WHALL-MIC</t>
  </si>
  <si>
    <t xml:space="preserve">公司名称：MIC GLOBAL BUSINESS CO., LIMITED
办公地址：
RM C 13/F,HARVARD COMM BLDG
105-111 THOMSON RD
WAN CHAI
HONGKONG
999077
HK
</t>
  </si>
  <si>
    <t>5.72 pounds</t>
  </si>
  <si>
    <t>13.5"D x 14"W x 7.5"H</t>
  </si>
  <si>
    <t>B09W2G36RF</t>
  </si>
  <si>
    <t>B0BRH269TD</t>
  </si>
  <si>
    <t>Color: SA-Black</t>
  </si>
  <si>
    <t>https://www.amazon.com/dp/B09W2G36RF?psc=1</t>
  </si>
  <si>
    <t>https://images-na.ssl-images-amazon.com/images/I/51Un55CSMhL._AC_US600_.jpg</t>
  </si>
  <si>
    <t>Hommater</t>
  </si>
  <si>
    <t>Toaster 2 Slice Wide Slot Best Rated Prime Black Toasters the Best 2 Slice Wide for Bagel Bread Waffle Two Slice Toaster with 7 Bread Shade Settings and Bagel, Defrost, Cancel Function Tosterster 2 Slices with Removable Crumb Tray</t>
  </si>
  <si>
    <t>烤面包机 2 片宽槽 Best Rated Prime 黑色烤面包机 最适合百吉饼面包华夫饼的 2 片宽烤面包机 两片烤面包机具有 7 种面包色设置和百吉饼、解冻、取消功能 Tosterster 2 片带可拆卸面包屑托盘</t>
  </si>
  <si>
    <t>ideals Technology</t>
  </si>
  <si>
    <t xml:space="preserve">公司名称：HALO TECH HK LIMITED
办公地址：
民科东路东港湾花园13栋302
中山市
石岐区
广东省
528400
CN
</t>
  </si>
  <si>
    <t>2.51 pounds</t>
  </si>
  <si>
    <t>6.6"D x 12.1"W x 7.6"H</t>
  </si>
  <si>
    <t>B00ZGCKXUO</t>
  </si>
  <si>
    <t>B016B9ZJY0</t>
  </si>
  <si>
    <t>Color: Black | Style: Toaster</t>
  </si>
  <si>
    <t>https://www.amazon.com/dp/B00ZGCKXUO?psc=1</t>
  </si>
  <si>
    <t>https://m.media-amazon.com/images/I/31SujMPHC7L._AC_US600_.jpg</t>
  </si>
  <si>
    <t>DASH Clear View Toaster: Extra Wide Slot Toaster with See Through Window - Defrost, Reheat + Auto Shut Off Feature for Bagels, Specialty Breads &amp; other Baked Goods - Black</t>
  </si>
  <si>
    <t>DASH Clear View 烤面包机：带透视窗的超宽槽烤面包机 - 解冻、再加热 + 自动关闭功能，适用于百吉饼、特色面包和其他烘焙食品 - 黑色</t>
  </si>
  <si>
    <t>1100W</t>
  </si>
  <si>
    <t>2015-06-11</t>
  </si>
  <si>
    <t xml:space="preserve">公司名称：STOREBOUND LLC
电话号码：800-898-6970
办公地址：
50 Broad St STE 1920
New York
NY
10004
US
</t>
  </si>
  <si>
    <t>4.4 Pounds</t>
  </si>
  <si>
    <t>6.6"D x 15.7"W x 7.8"H</t>
  </si>
  <si>
    <t>B088Z25SK6</t>
  </si>
  <si>
    <t>https://www.amazon.com/dp/B088Z25SK6?psc=1</t>
  </si>
  <si>
    <t>https://images-na.ssl-images-amazon.com/images/I/413GF2DGAqL._AC_US600_.jpg</t>
  </si>
  <si>
    <t>Evening</t>
  </si>
  <si>
    <t>Toaster 2 Slice Best Prime Toasters Stainless Steel Black Bagel Toaster Evenly and Quickly with 2 Wide Slots 7 Shade Settings and Removable Crumb Tray for Bread Waffles</t>
  </si>
  <si>
    <t>烤面包机 2 片 Best Prime 烤面包机不锈钢黑色百吉饼烤面包机均匀快速，带 2 个宽槽 7 种遮阳设置和可拆卸面包屑托盘，用于面包华夫饼</t>
  </si>
  <si>
    <t>2020-02-19</t>
  </si>
  <si>
    <t>Tanbok</t>
  </si>
  <si>
    <t xml:space="preserve">公司名称：hainanxirongjiangmaoyiyouxiangongsi
办公地址：
guomaobeilu13haoguomaodaxia502fang
longhuaqu
haikoushi
hainansheng
570100
CN
</t>
  </si>
  <si>
    <t>2.53 Pounds</t>
  </si>
  <si>
    <t>6.6"D x 11"W x 7"H</t>
  </si>
  <si>
    <t>B0BFJYZC55</t>
  </si>
  <si>
    <t>B0BGR7X4B3</t>
  </si>
  <si>
    <t>Style: Pink</t>
  </si>
  <si>
    <t>https://www.amazon.com/dp/B0BFJYZC55?psc=1</t>
  </si>
  <si>
    <t>https://m.media-amazon.com/images/I/41x84iPcyDL._AC_US600_.jpg</t>
  </si>
  <si>
    <t>Nostalgia Retro Wide 2-Slice Toaster, Vintage Design With Crumb Tray, Cord Storage &amp; 5 Toasting Levels, Pink</t>
  </si>
  <si>
    <t>Nostalgia Retro 宽 2 片烤面包机，复古设计，带面包屑托盘、电线存储和 5 个烘烤水平，粉红色</t>
  </si>
  <si>
    <t>粉红色</t>
  </si>
  <si>
    <t>2022-09-17</t>
  </si>
  <si>
    <t>5.1 Pounds</t>
  </si>
  <si>
    <t>11"D x 6"W x 7.75"H</t>
  </si>
  <si>
    <t>B08QZYYR27</t>
  </si>
  <si>
    <t>B0BLL3J438</t>
  </si>
  <si>
    <t>Size: 6 Functions</t>
  </si>
  <si>
    <t>https://www.amazon.com/dp/B08QZYYR27?psc=1</t>
  </si>
  <si>
    <t>https://images-na.ssl-images-amazon.com/images/I/31DVFkbON7L._AC_US600_.jpg</t>
  </si>
  <si>
    <t>Ninja ST101 Foodi 2-in-1 Flip Toaster, 2-Slice Capacity, Compact Toaster Oven, Snack Maker, Reheat, Defrost, 1500 Watts, Stainless Steel</t>
  </si>
  <si>
    <t>Ninja ST101 Foodi 2 合 1 翻盖烤面包机，2 片容量，紧凑型烤箱，零食机，再加热，解冻，1500 瓦，不锈钢</t>
  </si>
  <si>
    <t>42</t>
  </si>
  <si>
    <t>≥100usd以上</t>
  </si>
  <si>
    <t>2021-10-12</t>
  </si>
  <si>
    <t xml:space="preserve">公司名称：NAGILA 26 INC
电话号码：213-802-2962
办公地址：
912-B E 12th ST
#202
Los Angeles
CA
90021
US
</t>
  </si>
  <si>
    <t>11.02 Pounds</t>
  </si>
  <si>
    <t>6.7"D x 16.54"W x 8.42"H</t>
  </si>
  <si>
    <t>B0007Y17WO</t>
  </si>
  <si>
    <t>B07TVPDKL1</t>
  </si>
  <si>
    <t>https://www.amazon.com/dp/B0007Y17WO?psc=1</t>
  </si>
  <si>
    <t>https://images-na.ssl-images-amazon.com/images/I/41OX9FgpENL._AC_US600_.jpg</t>
  </si>
  <si>
    <t>Sunbeam</t>
  </si>
  <si>
    <t>Sunbeam Wide Slot 4-Slice Toaster, Black (003911-100-000)</t>
  </si>
  <si>
    <t>Sunbeam 宽槽 4 片烤面包机，黑色 (003911-100-000)</t>
  </si>
  <si>
    <t>2005-04-09</t>
  </si>
  <si>
    <t xml:space="preserve">公司名称：Home Defined LLC
办公地址：
1610 Blue Level Rd
Bowling Green
Kentucky
42101-9279
US
</t>
  </si>
  <si>
    <t>9.75"D x 12.5"W x 7.5"H</t>
  </si>
  <si>
    <t>B0B7JBX9YH</t>
  </si>
  <si>
    <t>B0BRSGVQ6S</t>
  </si>
  <si>
    <t>Size: 2-slice | Color: silver</t>
  </si>
  <si>
    <t>https://www.amazon.com/dp/B0B7JBX9YH?psc=1</t>
  </si>
  <si>
    <t>https://images-na.ssl-images-amazon.com/images/I/41miFuP8rIL._AC_US600_.jpg</t>
  </si>
  <si>
    <t>Toaster 2 slice whall Stainless Steel Toasters with Bagel,Cancel,Defrost Function,Removable Crumb Tray,1.5in Wide Slot,6 Bread Shade Settings,for Various Bread Types (850W)</t>
  </si>
  <si>
    <t>烤面包机 2 片 whall 不锈钢烤面包机，带百吉饼，取消，解冻功能，可拆卸面包屑托盘，1.5 英寸宽槽，6 种面包色度设置，适用于各种面包类型 (850W)</t>
  </si>
  <si>
    <t>2022-07-25</t>
  </si>
  <si>
    <t>WHALL WZS</t>
  </si>
  <si>
    <t xml:space="preserve">公司名称：WHALL GLOBAL BUSINESS LIMITED
办公地址：
RM 502, Building 1,Qingjian Olive City, No.31 Haier Road
Qingdao
Shandong
266100
CN
</t>
  </si>
  <si>
    <t>4.16 pounds</t>
  </si>
  <si>
    <t>13.03"D x 9.25"W x 7.72"H</t>
  </si>
  <si>
    <t>B09XM6JFBD</t>
  </si>
  <si>
    <t>B0BTDNZP4L</t>
  </si>
  <si>
    <t>https://www.amazon.com/dp/B09XM6JFBD?psc=1</t>
  </si>
  <si>
    <t>https://m.media-amazon.com/images/I/41sIpqlC1LL._AC_US600_.jpg</t>
  </si>
  <si>
    <t>KETIAN</t>
  </si>
  <si>
    <t>KETIAN Toaster 2 Slice Small Compact Electric Bread Black Tosterster，6 Toast Settings, Cancel, Reheat, Defrost Functions, Removable Crumb Tray, 800W(Black）</t>
  </si>
  <si>
    <t>KETIAN Toaster 2 Slice Small Compact Electric Bread Black Tosterster，6种吐司设置，取消，再加热，解冻功能，可拆卸面包屑托盘，800W(黑色）</t>
  </si>
  <si>
    <t>Fortune-electric</t>
  </si>
  <si>
    <t xml:space="preserve">公司名称：Foshanshi Ketian Dianqi Youxian Gongsi
办公地址：
狮山镇罗村下柏公路中怖路段
中兴路4号
佛山市
南海区
广东省
528226
CN
</t>
  </si>
  <si>
    <t>3.29 pounds</t>
  </si>
  <si>
    <t>11"D x 6.7"W x 7.5"H</t>
  </si>
  <si>
    <t>B09HMW5DHV</t>
  </si>
  <si>
    <t>B09HMN86BF</t>
  </si>
  <si>
    <t>Color: Silver Metallic</t>
  </si>
  <si>
    <t>https://www.amazon.com/dp/B09HMW5DHV?psc=1</t>
  </si>
  <si>
    <t>https://m.media-amazon.com/images/I/41JrksesF2L._AC_US600_.jpg</t>
  </si>
  <si>
    <t>SEEDEEM Toaster 2 Slice, Stainless Steel Bread Toaster with Colorful LCD Display, 7 Bread Shade Settings, 1.4'' Wide Slots Toaster with Bagel/Defrost/Reheat Functions, Removable Crumb Tray, 900W, Silver Metallic</t>
  </si>
  <si>
    <t>SEEDEEM 烤面包机 2 片，带彩色 LCD 显示屏的不锈钢面包烤面包机，7 种面包色调设置，1.4 英寸宽槽烤面包机，带百吉饼/解冻/再加热功能，可拆卸面包屑托盘，900 瓦，银色金属</t>
  </si>
  <si>
    <t>46</t>
  </si>
  <si>
    <t>3.21 pounds</t>
  </si>
  <si>
    <t>6.1"D x 10.6"W x 7.4"H</t>
  </si>
  <si>
    <t>B08MBL1QNK</t>
  </si>
  <si>
    <t>B095XXL4C6</t>
  </si>
  <si>
    <t>Size: 2-Slice | Color: Silver</t>
  </si>
  <si>
    <t>https://www.amazon.com/dp/B08MBL1QNK?psc=1</t>
  </si>
  <si>
    <t>https://m.media-amazon.com/images/I/41RAj8pFNcL._AC_US600_.jpg</t>
  </si>
  <si>
    <t>Cuisinart CPT-720 2-Slice Digital Toaster with MemorySet Feature, silver</t>
  </si>
  <si>
    <t>Cuisinart CPT-720 2 片式数字烤面包机，带 MemorySet 功能，银色</t>
  </si>
  <si>
    <t>47</t>
  </si>
  <si>
    <t xml:space="preserve">7档 </t>
  </si>
  <si>
    <t>单面烤+解冻+取消</t>
  </si>
  <si>
    <t>2020-10-30</t>
  </si>
  <si>
    <t xml:space="preserve">公司名称：Everything Kitchens LLC
办公地址：
6820 W. Kings St
Springfield
MO
65802
US
</t>
  </si>
  <si>
    <t>1 Pounds</t>
  </si>
  <si>
    <t>6.86"D x 11.34"W x 7.19"H</t>
  </si>
  <si>
    <t>B09ZVQ4SBP</t>
  </si>
  <si>
    <t>B0BW24FKQ2</t>
  </si>
  <si>
    <t>Size: 2 Slice | Color: Stainless Steel and Black</t>
  </si>
  <si>
    <t>https://www.amazon.com/dp/B09ZVQ4SBP?psc=1</t>
  </si>
  <si>
    <t>https://m.media-amazon.com/images/I/51cn9FEQESL._AC_US600_.jpg</t>
  </si>
  <si>
    <t>BELLA 2 Slice Toaster, Quick &amp; Even Results Every Time, Wide Slots Fit Any Size Bread Like Bagels or Texas Toast, Drop-Down Crumb Tray for Easy Clean Up, Stainless Steel and Black</t>
  </si>
  <si>
    <t>BELLA 2 片烤面包机，每次都快速均匀，宽槽适合任何尺寸的面包，如百吉饼或德州吐司，下拉式面包屑托盘便于清理，不锈钢和黑色</t>
  </si>
  <si>
    <t>48</t>
  </si>
  <si>
    <t>2022-05-09</t>
  </si>
  <si>
    <t>2.42 Pounds</t>
  </si>
  <si>
    <t>9.76 x 5.7 x 6.53 inches</t>
  </si>
  <si>
    <t>B07RT8LLSP</t>
  </si>
  <si>
    <t>https://www.amazon.com/dp/B07RT8LLSP?psc=1</t>
  </si>
  <si>
    <t>https://images-na.ssl-images-amazon.com/images/I/41AyG8olNeL._AC_US600_.jpg</t>
  </si>
  <si>
    <t>CUSINAID</t>
  </si>
  <si>
    <t>2 Slice Toaster CUSINAID Black Wide Slot Toaster 2 Slice Best Rated Prime with Pop Up Reheat Defrost Functions, 6-Shade Control, Removable Crumb Tray</t>
  </si>
  <si>
    <t>2 片烤面包机 CUSINAID 黑色宽槽烤面包机 2 片 Best Rated Prime，带弹出式再加热除霜功能，6 色阴影控制，可拆卸碎屑托盘</t>
  </si>
  <si>
    <t>2019-05-15</t>
  </si>
  <si>
    <t>2.73 Pounds</t>
  </si>
  <si>
    <t>7.1"D x 8"W x 12.6"H</t>
  </si>
  <si>
    <t>B09QPRJGN7</t>
  </si>
  <si>
    <t>B0BS6YQHR7</t>
  </si>
  <si>
    <t>Color: A Classic Silver</t>
  </si>
  <si>
    <t>https://www.amazon.com/dp/B09QPRJGN7?psc=1</t>
  </si>
  <si>
    <t>https://images-na.ssl-images-amazon.com/images/I/511SAOH4lRL._AC_US600_.jpg</t>
  </si>
  <si>
    <t>DyBaxa</t>
  </si>
  <si>
    <t>DyBaxa Stainless Steel Toaster 4 Slice, Toaster 2 Slice Long Slot, Compact 4 Slice Toaster Wide Slot for Bagel Sourdough Artisan Croissant Muffin, 6 Browning Control, Warming Rack, Removal Crumb Tray</t>
  </si>
  <si>
    <t>DyBaxa 不锈钢烤面包机 4 片、烤面包机 2 长槽、紧凑型 4 片烤面包机宽槽适用于百吉饼酸面团工匠羊角面包松饼、6 褐变控制、加热架、去除碎屑托盘</t>
  </si>
  <si>
    <t>Commercial Dough Presses
Toasters</t>
  </si>
  <si>
    <t>1
50</t>
  </si>
  <si>
    <t>2022-01-29</t>
  </si>
  <si>
    <t>Dynamic Bass Store</t>
  </si>
  <si>
    <t xml:space="preserve">公司名称：Shenzhenshituotaodianzishangwuyouxiangongsi
办公地址：
沙头角街道田心社区
沙深路112号沙头角建工大厦2014E
深圳市
盐田区
广东省
518081
CN
</t>
  </si>
  <si>
    <t>4.2 Pounds</t>
  </si>
  <si>
    <t>7.6"D x 16.7"W x 8.8"H</t>
  </si>
  <si>
    <t>B009L1VUA8</t>
  </si>
  <si>
    <t>B0BHNVDNL5</t>
  </si>
  <si>
    <t>Size: 4-Slice | Pattern Name: CPT-435P1 | Style: Toaster</t>
  </si>
  <si>
    <t>https://www.amazon.com/dp/B009L1VUA8?psc=1</t>
  </si>
  <si>
    <t>https://images-na.ssl-images-amazon.com/images/I/41agIDvSpZL._AC_US600_.jpg</t>
  </si>
  <si>
    <t>Cuisinart CPT-435P1 4-Slice Countdown Motorized Toaster, Stainless Steel</t>
  </si>
  <si>
    <t>Cuisinart CPT-435P1 4 片倒计时电动烤面包机，不锈钢</t>
  </si>
  <si>
    <t>2012-09-28</t>
  </si>
  <si>
    <t>7.1 Pounds</t>
  </si>
  <si>
    <t>12.3"D x 12.6"W x 9"H</t>
  </si>
  <si>
    <t>B0BJ71YSX5</t>
  </si>
  <si>
    <t>B0BCJW55PR</t>
  </si>
  <si>
    <t>Color: silver3</t>
  </si>
  <si>
    <t>https://www.amazon.com/dp/B0BJ71YSX5?psc=1</t>
  </si>
  <si>
    <t>https://images-na.ssl-images-amazon.com/images/I/41KoJzKK3OL._AC_US600_.jpg</t>
  </si>
  <si>
    <t>LAINSTEN</t>
  </si>
  <si>
    <t>Toaster 4 Slice ,Retro Toater with 7 Shade Settings ,Best Prime Toaster for Waffles, 4 Slice Toaster with 3 Mode，Bagels and More Lainsten Toaster T-527</t>
  </si>
  <si>
    <t>4 片烤面包机，具有 7 种颜色设置的复古烤面包机，华夫饼最佳 Prime 烤面包机，具有 3 种模式的 4 片烤面包机，百吉饼等 Lainsten 烤面包机 T-527</t>
  </si>
  <si>
    <t>52</t>
  </si>
  <si>
    <t>2021-07-24</t>
  </si>
  <si>
    <t xml:space="preserve">公司名称：shenzhenshilaiensitedianzishangwuyouxiangongsi
办公地址：
将军村尚景天峰6栋2座1103房
中山市
南头镇
广东省
528427
CN
</t>
  </si>
  <si>
    <t>2.86 Pounds</t>
  </si>
  <si>
    <t>9"D x 10"W x 6.8"H</t>
  </si>
  <si>
    <t>B095KWNXGN</t>
  </si>
  <si>
    <t>B0B2HJZ7CZ</t>
  </si>
  <si>
    <t>Pattern Name: Toaster | Style: 2-Slice</t>
  </si>
  <si>
    <t>https://www.amazon.com/dp/B095KWNXGN?psc=1</t>
  </si>
  <si>
    <t>https://m.media-amazon.com/images/I/41jUk8eGkeL._AC_US600_.jpg</t>
  </si>
  <si>
    <t>Oster 2-Slice Toaster, Touch Screen with 6 Shade Settings and Digital Timer, Black/Stainless Steel</t>
  </si>
  <si>
    <t>Oster 2 片式烤面包机，带 6 种色调设置和数字定时器的触摸屏，黑色/不锈钢</t>
  </si>
  <si>
    <t>53</t>
  </si>
  <si>
    <t>2021-05-21</t>
  </si>
  <si>
    <t>Ameridepot</t>
  </si>
  <si>
    <t xml:space="preserve">公司名称：Ameridepot, Inc
办公地址：
7625 Hayvenhurst Ave #15
Van Nuys
CA
91406
US
</t>
  </si>
  <si>
    <t>3.8 Pounds</t>
  </si>
  <si>
    <t>8.27"D x 12.99"W x 8.66"H</t>
  </si>
  <si>
    <t>B01B846UZ0</t>
  </si>
  <si>
    <t>B01EL21WM2</t>
  </si>
  <si>
    <t>Size: 2 Slice Toaster</t>
  </si>
  <si>
    <t>https://www.amazon.com/dp/B01B846UZ0?psc=1</t>
  </si>
  <si>
    <t>https://images-na.ssl-images-amazon.com/images/I/412XWxi+edL._AC_US600_.jpg</t>
  </si>
  <si>
    <t>Cuisinart CPT-620 2-Slice Custom Select Toaster, Stainless Steel</t>
  </si>
  <si>
    <t>Cuisinart CPT-620 2 片定制精选烤面包机，不锈钢</t>
  </si>
  <si>
    <t>54</t>
  </si>
  <si>
    <t>50~55usd</t>
  </si>
  <si>
    <t>2016-04-13</t>
  </si>
  <si>
    <t xml:space="preserve">公司名称：Electronic Express, Inc.
电话号码：1-888-257-7500
办公地址：
418 Harding Industrial Dr.
Nashville
TN
37205
US
</t>
  </si>
  <si>
    <t>8.38"D x 13"W x 9.38"H</t>
  </si>
  <si>
    <t>B0987M1RSX</t>
  </si>
  <si>
    <t>B0BWJYWG1X</t>
  </si>
  <si>
    <t>Color: Black-1</t>
  </si>
  <si>
    <t>https://www.amazon.com/dp/B0987M1RSX?psc=1</t>
  </si>
  <si>
    <t>https://m.media-amazon.com/images/I/31zo+bdZqtL._AC_US600_.jpg</t>
  </si>
  <si>
    <t>Gevi Toaster 4 Slice,Led Display Touchscreen Bagel Toaster with Dual Control Panels of Bagel/Reheat/Defrost/Cancel/Toasting One Slice/Longer Function,6 Shade Setting</t>
  </si>
  <si>
    <t>Gevi 烤面包机 4 片，Led 显示屏触摸屏百吉饼烤面包机，带百吉饼/再加热/解冻/取消/烘烤一片/更长功能双控制面板，6 档色度设置</t>
  </si>
  <si>
    <t>百吉饼+加热+解冻+单面烤+取消</t>
  </si>
  <si>
    <t>6.78 pounds</t>
  </si>
  <si>
    <t>1"D x 1"W x 1"H</t>
  </si>
  <si>
    <t>B0BLGJ7N49</t>
  </si>
  <si>
    <t>B0BW59WD33</t>
  </si>
  <si>
    <t>Color: Black-8CC</t>
  </si>
  <si>
    <t>https://www.amazon.com/dp/B0BLGJ7N49?psc=1</t>
  </si>
  <si>
    <t>https://m.media-amazon.com/images/I/41gwkxg4GIL._AC_US600_.jpg</t>
  </si>
  <si>
    <t>iFedio</t>
  </si>
  <si>
    <t>Toaster 2 Slice Best Rated Prime Stainless Steel 2 Slice Toasters Extra Wide Slot Toasters 7 Shade Settings Defrost/Begal/Cancel with Removable Crumb Tray for Bread, Waffles, Small Retro Evenly Quickly Toaster</t>
  </si>
  <si>
    <t>烤面包机 2 片最佳评级 Prime 不锈钢 2 片烤面包机 超宽槽烤面包机 7 种阴影设置 解冻/Begal/取消 带有可拆卸面包屑托盘，适用于面包、华夫饼、小型复古均匀快速烤面包机</t>
  </si>
  <si>
    <t>2022-11-03</t>
  </si>
  <si>
    <t>HouGariee</t>
  </si>
  <si>
    <t xml:space="preserve">公司名称：Shenzhen Hui Mao Technology Co.,Ltd.
办公地址：
1 Building 4B, Block 1-5,Lai Meng Chun Tian Garden
MeiLong Road West,Minzhi Street,Long Hua District
Shenzhen
Guangdong
518000
CN
</t>
  </si>
  <si>
    <t>2.64 pounds</t>
  </si>
  <si>
    <t>6.29 x 7.08 x 10.24 inches</t>
  </si>
  <si>
    <t>B09G8JFDP9</t>
  </si>
  <si>
    <t>https://www.amazon.com/dp/B09G8JFDP9?psc=1</t>
  </si>
  <si>
    <t>https://images-na.ssl-images-amazon.com/images/I/41SgOx0anmL._AC_US600_.jpg</t>
  </si>
  <si>
    <t>Proctor Silex 2-Slice Toaster with Extra Wide Slots for Bagels, Cool-Touch Walls, Shade Selector, Toast Boost, Auto Shut-off and Cancel Button, Black (22305)</t>
  </si>
  <si>
    <t>Proctor Silex 2 片烤面包机，带适用于百吉饼的超宽槽、冷触式墙壁、阴影选择器、Toast Boost、自动关闭和取消按钮，黑色 (22305)</t>
  </si>
  <si>
    <t>2021-09-14</t>
  </si>
  <si>
    <t>2.2 Pounds</t>
  </si>
  <si>
    <t>7"D x 8"W x 12"H</t>
  </si>
  <si>
    <t>B08FVDX8N8</t>
  </si>
  <si>
    <t>B0BTCXHYFB</t>
  </si>
  <si>
    <t>Size: 4 Slice | Color: Black</t>
  </si>
  <si>
    <t>https://www.amazon.com/dp/B08FVDX8N8?psc=1</t>
  </si>
  <si>
    <t>https://images-na.ssl-images-amazon.com/images/I/41u4AEUcFvL._AC_US600_.jpg</t>
  </si>
  <si>
    <t>Elite Gourmet ECT4829B Long Slot 4 Slice Toaster, 6 Toast Settings Toaster Defrost, Reheat, Cancel Functions, Slide Out Crumb Tray, Extra Wide Slots for Bagels Waffles, Black</t>
  </si>
  <si>
    <t>Elite Gourmet ECT4829B 长槽 4 片烤面包机，6 种吐司设置烤面包机除霜、再加热、取消功能，滑出式面包屑托盘，用于百吉饼华夫饼的超宽槽，黑色</t>
  </si>
  <si>
    <t>2018-03-26</t>
  </si>
  <si>
    <t xml:space="preserve">公司名称：OVERSEAS CONNECTION,INC.
办公地址：
8955 Fullbright Avenue
chatsworth
California
91311
US
</t>
  </si>
  <si>
    <t>4.04 pounds</t>
  </si>
  <si>
    <t>7.32"D x 16.02"W x 7.64"H</t>
  </si>
  <si>
    <t>B08RC642SF</t>
  </si>
  <si>
    <t>B09HWD6JXN</t>
  </si>
  <si>
    <t>Color: Off-White</t>
  </si>
  <si>
    <t>https://www.amazon.com/dp/B08RC642SF?psc=1</t>
  </si>
  <si>
    <t>https://images-na.ssl-images-amazon.com/images/I/41xJ4U4MAzL._AC_US600_.jpg</t>
  </si>
  <si>
    <t>Rae Dunn</t>
  </si>
  <si>
    <t>Rae Dunn Retro Rounded Bread Toaster, 2 Slice Stainless Steel Toaster with Removable Crumb Tray, Wide Slot with 6 Browning Levels, Bagel, Defrost and Cancel Options (Off-White)</t>
  </si>
  <si>
    <t>Rae Dunn 复古圆形面包烤面包机，2 片不锈钢烤面包机，带可拆卸面包屑托盘，宽槽带 6 级烘烤级别，百吉饼，解冻和取消选项（灰白色）</t>
  </si>
  <si>
    <t>2020-12-26</t>
  </si>
  <si>
    <t>Enchante Direct</t>
  </si>
  <si>
    <t xml:space="preserve">公司名称：ENCHANTE DIRECT LLC
办公地址：
16 E. 34th Street
New York
NY
10016
US
</t>
  </si>
  <si>
    <t>3.74 pounds</t>
  </si>
  <si>
    <t>13.07 x 8.46 x 7.99 inches</t>
  </si>
  <si>
    <t>B088C4QJF9</t>
  </si>
  <si>
    <t>B089NDN1RW</t>
  </si>
  <si>
    <t>Color: WHITE | Style: Toaster</t>
  </si>
  <si>
    <t>https://www.amazon.com/dp/B088C4QJF9?psc=1</t>
  </si>
  <si>
    <t>https://m.media-amazon.com/images/I/41QurPB1CeL._AC_US600_.jpg</t>
  </si>
  <si>
    <t>FRIGIDAIRE</t>
  </si>
  <si>
    <t>Frigidaire ETO102-WHITE, 2 Slice Toaster, Retro Style, Wide Slot for Bread, English Muffins, Croissants, and Bagels, 5 Adjustable Toast Settings, Cancel and Defrost, 900w, White</t>
  </si>
  <si>
    <t>Frigidaire ETO102-WHITE，2 片烤面包机，复古风格，宽槽，适用于面包、英式松饼、羊角面包和百吉饼，5 种可调节吐司设置，取消和解冻，900w，白色</t>
  </si>
  <si>
    <t>60</t>
  </si>
  <si>
    <t>2020-05-08</t>
  </si>
  <si>
    <t xml:space="preserve">公司名称：BTE Computer Inc.
电话号码：905-480-9597
</t>
  </si>
  <si>
    <t>3.64 pounds</t>
  </si>
  <si>
    <t>8.1"D x 12.2"W x 7.3"H</t>
  </si>
  <si>
    <t>B095PD3K7K</t>
  </si>
  <si>
    <t>B0BL1C6KGX</t>
  </si>
  <si>
    <t>Color: Pink</t>
  </si>
  <si>
    <t>https://www.amazon.com/dp/B095PD3K7K?psc=1</t>
  </si>
  <si>
    <t>https://m.media-amazon.com/images/I/41Y9gaa4VML._AC_US600_.jpg</t>
  </si>
  <si>
    <t>Pink Toaster, REDMOND Toaster 2 Slice with LED Touch Screen and Digital Countdown Timer, Stainless Steel Toaster with Extra Wide Slot and Cancel Defrost Reheat Function, 6 Shade Settings</t>
  </si>
  <si>
    <t>粉色烤面包机，REDMOND 烤面包机 2 片带 LED 触摸屏和数字倒计时定时器，带超宽槽和取消除霜再加热功能的不锈钢烤面包机，6 种阴影设置</t>
  </si>
  <si>
    <t>解冻+加热+取消</t>
  </si>
  <si>
    <t>2021-05-24</t>
  </si>
  <si>
    <t>huayufur</t>
  </si>
  <si>
    <t xml:space="preserve">公司名称：shenzhenshihuayufushiyouxiangongsi
办公地址：
nanshanquyuehaijiedaohaizhushequhaidesandao1688hao
hangtiankejiguangchangBzuo4B02
SHENZHEN
GUANGDONG
518000
CN
</t>
  </si>
  <si>
    <t>7"D x 10"W x 8"H</t>
  </si>
  <si>
    <t>B0147ERKTS</t>
  </si>
  <si>
    <t>https://www.amazon.com/dp/B0147ERKTS?psc=1</t>
  </si>
  <si>
    <t>https://images-na.ssl-images-amazon.com/images/I/41JkjpmAezL._AC_US600_.jpg</t>
  </si>
  <si>
    <t>Brentwood</t>
  </si>
  <si>
    <t>Brentwood Cool Touch 2-Slice Toaster Kitchen Supplies, Black</t>
  </si>
  <si>
    <t>Brentwood Cool Touch 2 片烤面包机厨房用品，黑色</t>
  </si>
  <si>
    <t>760W</t>
  </si>
  <si>
    <t>2015-08-20</t>
  </si>
  <si>
    <t>1.89 pounds</t>
  </si>
  <si>
    <t>14.5"D x 19.5"W x 11"H</t>
  </si>
  <si>
    <t>B09MF3J8FS</t>
  </si>
  <si>
    <t>B0BSVT8HCX</t>
  </si>
  <si>
    <t>Color: White w</t>
  </si>
  <si>
    <t>https://www.amazon.com/dp/B09MF3J8FS?psc=1</t>
  </si>
  <si>
    <t>https://m.media-amazon.com/images/I/41V+eLE3LVL._AC_US600_.jpg</t>
  </si>
  <si>
    <t>Dear Morning</t>
  </si>
  <si>
    <t>Toaster 2 Slice Best Rated Prime Toaster with 7 Shade Settings Reheat bagel Cancel Function and Removable Crumb Tray toaster for Bread Waffles</t>
  </si>
  <si>
    <t>烤面包机 2 片最受好评的 Prime 烤面包机，具有 7 种阴影设置再加热百吉饼取消功能和可拆卸面包屑托盘烤面包机，适用于面包华夫饼</t>
  </si>
  <si>
    <t>64</t>
  </si>
  <si>
    <t>2021-11-23</t>
  </si>
  <si>
    <t>BI-AO</t>
  </si>
  <si>
    <t xml:space="preserve">公司名称：ning bo yin zhou bi ao wen jiao yong pin you xian gong si
办公地址：
东郊路100号（1-2）
宁波
鄞州
浙江
315100
CN
</t>
  </si>
  <si>
    <t>2.25 pounds</t>
  </si>
  <si>
    <t>11"D x 7"W x 6"H</t>
  </si>
  <si>
    <t>B07SW6SLKB</t>
  </si>
  <si>
    <t>B07T14YQZP</t>
  </si>
  <si>
    <t>Size: 4 slot | Color: Black | Style: Toaster</t>
  </si>
  <si>
    <t>https://www.amazon.com/dp/B07SW6SLKB?psc=1</t>
  </si>
  <si>
    <t>https://images-na.ssl-images-amazon.com/images/I/41yXpW8LruL._AC_US600_.jpg</t>
  </si>
  <si>
    <t>Amazon Basics 4-Slot Toaster - Black</t>
  </si>
  <si>
    <t>Amazon Basics 4 槽烤面包机 - 黑色</t>
  </si>
  <si>
    <t>65</t>
  </si>
  <si>
    <t>2020-01-31</t>
  </si>
  <si>
    <t>5.3 Pounds</t>
  </si>
  <si>
    <t>11.8"D x 12"W x 7.8"H</t>
  </si>
  <si>
    <t>B08P9GQ68Y</t>
  </si>
  <si>
    <t>B09NXVLLRX</t>
  </si>
  <si>
    <t>Color: Classic Silver</t>
  </si>
  <si>
    <t>https://www.amazon.com/dp/B08P9GQ68Y?psc=1</t>
  </si>
  <si>
    <t>https://images-na.ssl-images-amazon.com/images/I/41CG6D6HY2L._AC_US600_.jpg</t>
  </si>
  <si>
    <t>JEWJIO</t>
  </si>
  <si>
    <t>Toaster 2 Slice Best Rated - Stainless Steel Toaster Easy To Use with Removable Crumb Tray Two Slice Toaster with 2 Slice Extra Wide Slots for Bagels, Cancel/ Defrost/ 6 Bread Shade Settings/ Reheat Function</t>
  </si>
  <si>
    <t>烤面包机 2 片最佳评级 - 不锈钢烤面包机易于使用，带有可拆卸的面包屑托盘 两片烤面包机带有 2 片超宽槽，用于百吉饼，取消/解冻/6 种面包色调设置/再加热功能</t>
  </si>
  <si>
    <t>2021-02-08</t>
  </si>
  <si>
    <t>JA&amp;AL</t>
  </si>
  <si>
    <t xml:space="preserve">公司名称：foshanshinanhaiweierdamaoyiyouxiangongsi
办公地址：
佛山市南海区桂城街道简平路12号天安南海数码新城6期1座1004室之三
佛山
南海
广东
528200
CN
</t>
  </si>
  <si>
    <t>7.2"D x 12.4"W x 8"H</t>
  </si>
  <si>
    <t>B0B71HVGLF</t>
  </si>
  <si>
    <t>B0BTWB96GX</t>
  </si>
  <si>
    <t>Color: Black-LED</t>
  </si>
  <si>
    <t>https://www.amazon.com/dp/B0B71HVGLF?psc=1</t>
  </si>
  <si>
    <t>https://images-na.ssl-images-amazon.com/images/I/41Ml8W-lTGL._AC_US600_.jpg</t>
  </si>
  <si>
    <t>Toaster 2 Slice Wide Slot Toaster Best Rated Prime Displav Smart Toasters with LCD Digital Countdown Timer and Bagel/Defrost/Cancel/Reheat Function</t>
  </si>
  <si>
    <t>烤面包机 2 片宽槽烤面包机最佳评级 Prime Displav 智能烤面包机，带 LCD 数字倒计时定时器和百吉饼/解冻/取消/重新加热功能</t>
  </si>
  <si>
    <t>9档</t>
  </si>
  <si>
    <t>2020-05-09</t>
  </si>
  <si>
    <t>Talent Supply</t>
  </si>
  <si>
    <t xml:space="preserve">公司名称：zhongshanchuangyashangmaoyouxiangongsi
办公地址：
博爱三路36号
225房之一
中山市
石岐区
广东省
528400
CN
</t>
  </si>
  <si>
    <t>2.94 pounds</t>
  </si>
  <si>
    <t>13"D x 5"W x 7"H</t>
  </si>
  <si>
    <t>B07Q6P68X6</t>
  </si>
  <si>
    <t>B0BWNMCWZH</t>
  </si>
  <si>
    <t>Size: 4-Slice | Color: Silver</t>
  </si>
  <si>
    <t>https://www.amazon.com/dp/B07Q6P68X6?psc=1</t>
  </si>
  <si>
    <t>https://m.media-amazon.com/images/I/411BmHzH5EL._AC_US600_.jpg</t>
  </si>
  <si>
    <t>Yabano</t>
  </si>
  <si>
    <t>Toaster 4 Slice, Extra Wide Slots, Stainless Steel with High Lift Lever, Bagel and Muffin Function, Removal Crumb Tray, 7-Shade Settings with Warming Rack, Silver, Yabano</t>
  </si>
  <si>
    <t>烤面包机 4 片，超宽槽，带高举杆的不锈钢，百吉饼和松饼功能，可拆卸面包屑托盘，7 种阴影设置，带加热架，银色，Yabano</t>
  </si>
  <si>
    <t>69</t>
  </si>
  <si>
    <t>Yabano Inc</t>
  </si>
  <si>
    <t xml:space="preserve">公司名称：Zhongshan chuangyijia technology Co.Ltd
办公地址：
Block 1, No.12 Shenghui Rd
#12 Shenghui Rd
Nantou / zhongshan
guangdong
528427
CN
</t>
  </si>
  <si>
    <t>5.15 pounds</t>
  </si>
  <si>
    <t>9.85"D x 10.6"W x 6.7"H</t>
  </si>
  <si>
    <t>B011SJYTI0</t>
  </si>
  <si>
    <t>B0736NLPTY</t>
  </si>
  <si>
    <t>https://www.amazon.com/dp/B011SJYTI0?psc=1</t>
  </si>
  <si>
    <t>https://images-na.ssl-images-amazon.com/images/I/41FoH5vBCOL._AC_US600_.jpg</t>
  </si>
  <si>
    <t>Smeg</t>
  </si>
  <si>
    <t>Smeg TSF01CRUS 50's Retro Style Aesthetic 2 Slice Toaster, Cream</t>
  </si>
  <si>
    <t>Smeg TSF01CRUS 50 年代复古风格美学 2 片烤面包机，奶油</t>
  </si>
  <si>
    <t>950W</t>
  </si>
  <si>
    <t>百吉饼+加热+解冻</t>
  </si>
  <si>
    <t>2014-09-23</t>
  </si>
  <si>
    <t>5.4 Pounds</t>
  </si>
  <si>
    <t>7.6"D x 12.68"W x 7.72"H</t>
  </si>
  <si>
    <t>B008JC8QKM</t>
  </si>
  <si>
    <t>B0BS2D6CTJ</t>
  </si>
  <si>
    <t>Style: Hot Dog Toaster</t>
  </si>
  <si>
    <t>https://www.amazon.com/dp/B008JC8QKM?psc=1</t>
  </si>
  <si>
    <t>https://images-na.ssl-images-amazon.com/images/I/51gilacc4kL._AC_US600_.jpg</t>
  </si>
  <si>
    <t>Nostalgia Coca-Cola 2 Slot Bun Mini Tongs, Hot Dog Toaster Works with Chicken, Turkey, Veggie Links, Sausages and Brats, Retro Red</t>
  </si>
  <si>
    <t>怀旧可口可乐 2 槽面包迷你夹钳，热狗烤面包机适用于鸡肉、火鸡、素食链接、香肠和小卷饼，复古红</t>
  </si>
  <si>
    <t>Home &amp; Kitchen:Kitchen &amp; Dining:Small Appliances:Specialty Appliances:Sandwich Makers &amp; Panini Presses</t>
  </si>
  <si>
    <t>Household Stand Mixers
Toasters
Lunch Boxes</t>
  </si>
  <si>
    <t>19
71
100</t>
  </si>
  <si>
    <t>650W</t>
  </si>
  <si>
    <t>2012-06-13</t>
  </si>
  <si>
    <t xml:space="preserve">公司名称：SPENCER R WILKINS
办公地址：
10300 NE 102ND LN
KANSAS CITY
MO
64157
US
</t>
  </si>
  <si>
    <t>5.25"D x 10.25"W x 7.75"H</t>
  </si>
  <si>
    <t>B0BSF3MW2N</t>
  </si>
  <si>
    <t>B0BWNHDHN8</t>
  </si>
  <si>
    <t>Color: Black-OO</t>
  </si>
  <si>
    <t>https://www.amazon.com/dp/B0BSF3MW2N?psc=1</t>
  </si>
  <si>
    <t>https://images-na.ssl-images-amazon.com/images/I/412tLrBcGwL._AC_US600_.jpg</t>
  </si>
  <si>
    <t>Toaster 2 Slice Toasters Best Rated Prime Toaster Compact Brushed Stainless Steel Toaster Black Small Toaster For Breakfast Bread Bagel Defrost Cancel Button Removable Crumb Tray Quickly Toast</t>
  </si>
  <si>
    <t>烤面包机 2 片烤面包机最佳评级 Prime 烤面包机紧凑型拉丝不锈钢烤面包机黑色小型早餐面包面包圈解冻取消按钮可拆卸面包屑托盘快速吐司</t>
  </si>
  <si>
    <t>72</t>
  </si>
  <si>
    <t>2023-01-16</t>
  </si>
  <si>
    <t>NIFLYXG</t>
  </si>
  <si>
    <t xml:space="preserve">公司名称：Yuan Qi
办公地址：
Long Gang Qu Heng Gang Jie Dao
Si Lian Lu 244 Hao B Dong 103
Shen Zhen
China
518000
CN
</t>
  </si>
  <si>
    <t>11"D x 7"W x 6.6"H</t>
  </si>
  <si>
    <t>B07X5YMJ3L</t>
  </si>
  <si>
    <t>B086H3GKCL</t>
  </si>
  <si>
    <t>https://www.amazon.com/dp/B07X5YMJ3L?psc=1</t>
  </si>
  <si>
    <t>https://images-na.ssl-images-amazon.com/images/I/51tVPJMmT1L._AC_US600_.jpg</t>
  </si>
  <si>
    <t>REDMOND 4 Slice Toaster, Countdown Stainless Steel Toaster with Bagel, Defrost, Cancel Function, Extra Wide Slots, 6 Bread Shade Settings, 1650W, ST030</t>
  </si>
  <si>
    <t>REDMOND 4 片烤面包机，带百吉饼的倒计时不锈钢烤面包机，解冻，取消功能，超宽槽，6 种面包色调设置，1650 瓦，ST030</t>
  </si>
  <si>
    <t>74</t>
  </si>
  <si>
    <t>KitchenMaid</t>
  </si>
  <si>
    <t xml:space="preserve">公司名称：ToBox Technology HK Limited
办公地址：
FLAT/RM 704 7/F BRIGHT WAY TOWER 33 MONG KOK ROAD MONG KOK
HongKong
KL
999077
HK
</t>
  </si>
  <si>
    <t>4.5 Pounds</t>
  </si>
  <si>
    <t>11.02"D x 9.05"W x 6.89"H</t>
  </si>
  <si>
    <t>B09GJN5Y6D</t>
  </si>
  <si>
    <t>B09SZ3CW4J</t>
  </si>
  <si>
    <t>Color: Orange</t>
  </si>
  <si>
    <t>https://www.amazon.com/dp/B09GJN5Y6D?psc=1</t>
  </si>
  <si>
    <t>https://m.media-amazon.com/images/I/41IjQGFXr-L._AC_US600_.jpg</t>
  </si>
  <si>
    <t>REDMOND Toaster 2 Slice, Retro Orange Stainless Steel Compact Bagel Toaster with 1.5” Extra Wide Slots, 7 Bread Shade Settings for Breakfast, 800W Tangerine</t>
  </si>
  <si>
    <t>REDMOND 烤面包机 2 片，复古橙色不锈钢紧凑型百吉饼烤面包机，带 1.5 英寸超宽槽，早餐有 7 种面包色调设置，800 瓦橘色</t>
  </si>
  <si>
    <t>75</t>
  </si>
  <si>
    <t>橘色</t>
  </si>
  <si>
    <t>2021-09-17</t>
  </si>
  <si>
    <t>Mofie</t>
  </si>
  <si>
    <t xml:space="preserve">公司名称：ZHOUSHANYICHUANGDIANZISHANGWUYOUXIANGONGSI
办公地址：
DINGHAIQUZHOUSHANGANGZONGHEBAOSHUIQU
QIYEFUWUZHONGXIN303-70174SHI(ZIMAOSHIYANQUNEI)
ZHOUSHAN
ZHEJIANG
316000
CN
</t>
  </si>
  <si>
    <t>3.91 pounds</t>
  </si>
  <si>
    <t>7.2"D x 12"W x 7.8"H</t>
  </si>
  <si>
    <t>B00CHJDJJQ</t>
  </si>
  <si>
    <t>https://www.amazon.com/dp/B00CHJDJJQ?psc=1</t>
  </si>
  <si>
    <t>https://images-na.ssl-images-amazon.com/images/I/41rbk5VOMnL._AC_US600_.jpg</t>
  </si>
  <si>
    <t>BLACK+DECKER 2-Slice Toaster, Red, TR1278RM</t>
  </si>
  <si>
    <t>BLACK+DECKER 2 片烤面包机，红色，TR1278RM</t>
  </si>
  <si>
    <t>2013-04-04</t>
  </si>
  <si>
    <t>5"D x 6.1"W x 9.5"H</t>
  </si>
  <si>
    <t>B005Q8X6IO</t>
  </si>
  <si>
    <t>B0BVJ9D2V6</t>
  </si>
  <si>
    <t>Style: Red Toaster</t>
  </si>
  <si>
    <t>https://www.amazon.com/dp/B005Q8X6IO?psc=1</t>
  </si>
  <si>
    <t>https://images-na.ssl-images-amazon.com/images/I/41SWD5k1Y-L._AC_US600_.jpg</t>
  </si>
  <si>
    <t>Nostalgia 2 Slot Hot Dog and Bun Toaster with Mini Tongs, Retro Hot Dog Toaster, Hot Dog Cooker that Works with Chicken, Turkey, Veggie Links, Sausages and Brats, Metallic Red</t>
  </si>
  <si>
    <t>Nostalgia 2 槽热狗和小圆面包烤面包机，带迷你钳，复古热狗烤面包机，适用于鸡肉、火鸡、蔬菜链、香肠和香肠的热狗锅，金属红色</t>
  </si>
  <si>
    <t>Toasters
Specialty Kitchen Appliances</t>
  </si>
  <si>
    <t>79
335</t>
  </si>
  <si>
    <t>2011-09-15</t>
  </si>
  <si>
    <t xml:space="preserve">公司名称：Flo dealz llc
办公地址：
6601 Lyons rd unit f21
Coconut creek
Fl
33073
US
</t>
  </si>
  <si>
    <t>5.5"D x 8"W x 10.5"H</t>
  </si>
  <si>
    <t>B00NZIQLMU</t>
  </si>
  <si>
    <t>https://www.amazon.com/dp/B00NZIQLMU?psc=1</t>
  </si>
  <si>
    <t>https://images-na.ssl-images-amazon.com/images/I/41pDv5qfRnL._AC_US600_.jpg</t>
  </si>
  <si>
    <t>Oster Long Slot 4-Slice Toaster, Stainless Steel (TSSTTR6330-NP)</t>
  </si>
  <si>
    <t>Oster 长槽 4 片烤面包机，不锈钢 (TSSTTR6330-NP)</t>
  </si>
  <si>
    <t>2014-09-28</t>
  </si>
  <si>
    <t>4.77 Pounds</t>
  </si>
  <si>
    <t>6.5"D x 16"W x 7.5"H</t>
  </si>
  <si>
    <t>B0B136TCBC</t>
  </si>
  <si>
    <t>B0BQPNFD8P</t>
  </si>
  <si>
    <t>Color: Aqua</t>
  </si>
  <si>
    <t>https://www.amazon.com/dp/B0B136TCBC?psc=1</t>
  </si>
  <si>
    <t>https://m.media-amazon.com/images/I/41NR0-peAmL._AC_US600_.jpg</t>
  </si>
  <si>
    <t>BELLA 4 Slice Long Slot Toaster, Aqua</t>
  </si>
  <si>
    <t>BELLA 4 片长槽烤面包机，浅绿色</t>
  </si>
  <si>
    <t>3.63 Pounds</t>
  </si>
  <si>
    <t>15.31"D x 6.49"W x 7.55"H</t>
  </si>
  <si>
    <t>B089TYDR5H</t>
  </si>
  <si>
    <t>B0B6M3S214</t>
  </si>
  <si>
    <t>Size: 4 Slice</t>
  </si>
  <si>
    <t>https://www.amazon.com/dp/B089TYDR5H?psc=1</t>
  </si>
  <si>
    <t>https://images-na.ssl-images-amazon.com/images/I/41w5VFSI4nL._AC_US600_.jpg</t>
  </si>
  <si>
    <t>Hamilton Beach 24782 Retro Toaster with Wide Slots, Sure-Toast echnology, Bagel &amp; Defrost Settings, Auto Boost to Lift Smaller Breads, 4 Slice, Polished Stainless Steel</t>
  </si>
  <si>
    <t>Hamilton Beach 24782 复古烤面包机，带宽槽，Sure-Toast 技术，百吉饼和解冻设置，自动提升较小面包，4 片，抛光不锈钢</t>
  </si>
  <si>
    <t>百吉饼+解冻+单面烤+取消</t>
  </si>
  <si>
    <t>2020-06-08</t>
  </si>
  <si>
    <t xml:space="preserve">公司名称：Michael Kolovich
</t>
  </si>
  <si>
    <t>4.11 Pounds</t>
  </si>
  <si>
    <t>8.46"D x 11.81"W x 12.4"H</t>
  </si>
  <si>
    <t>B01MQK2DA6</t>
  </si>
  <si>
    <t>https://www.amazon.com/dp/B01MQK2DA6?psc=1</t>
  </si>
  <si>
    <t>https://images-na.ssl-images-amazon.com/images/I/41N9FPsKdJL._AC_US600_.jpg</t>
  </si>
  <si>
    <t>BLACK+DECKER 4-Slice Toaster, Stainless Steel, TR4900SSD</t>
  </si>
  <si>
    <t>BLACK+DECKER 4 片烤面包机，不锈钢，TR4900SSD</t>
  </si>
  <si>
    <t>2016-11-17</t>
  </si>
  <si>
    <t xml:space="preserve">公司名称：Arturo Saenz
办公地址：
1905 YELLOWHAMMER AVE
MCALLEN
TX
78504
US
</t>
  </si>
  <si>
    <t>3.48 Pounds</t>
  </si>
  <si>
    <t>10.63"D x 11.81"W x 7.56"H</t>
  </si>
  <si>
    <t>B08ZH2S854</t>
  </si>
  <si>
    <t>B09G3HT5QD</t>
  </si>
  <si>
    <t>https://www.amazon.com/dp/B08ZH2S854?psc=1</t>
  </si>
  <si>
    <t>https://images-na.ssl-images-amazon.com/images/I/31HJLnazaAL._AC_US600_.jpg</t>
  </si>
  <si>
    <t>BUYDEEM DT620 2-Slice Toaster, Extra Wide Slots, Retro Stainless Steel with High Lift Lever, Bagel and Muffin Function, Removal Crumb Tray, 7-Shade Settings (Cozy Greenish)</t>
  </si>
  <si>
    <t>BUYDEEM DT620 2 片烤面包机，超宽槽，复古不锈钢，带高举杆，百吉饼和松饼功能，可移除面包屑托盘，7 种色调设置（舒适的绿色）</t>
  </si>
  <si>
    <t>84</t>
  </si>
  <si>
    <t>5.28 pounds</t>
  </si>
  <si>
    <t>9.53"D x 13.39"W x 10.24"H</t>
  </si>
  <si>
    <t>B0B17QWY2Z</t>
  </si>
  <si>
    <t>B09HMMQKDG</t>
  </si>
  <si>
    <t>Color: Dark Metallic</t>
  </si>
  <si>
    <t>https://www.amazon.com/dp/B0B17QWY2Z?psc=1</t>
  </si>
  <si>
    <t>https://images-na.ssl-images-amazon.com/images/I/41-z7En1hoL._AC_US600_.jpg</t>
  </si>
  <si>
    <t>SEEDEEM Toaster 4 Slice, Stainless Steel Bread Toaster with Colorful LCD Display, 7 Bread Shade Settings, 1.4'' Wide Slots Toaster with Bagel/Defrost/Reheat Functions, Removable Crumb Tray, Dark Metallic, 1800W</t>
  </si>
  <si>
    <t>SEEDEEM 烤面包机 4 片不锈钢面包烤面包机，带彩色 LCD 显示屏，7 种面包色设置，1.4 英寸宽槽烤面包机，带百吉饼/解冻/再加热功能，可拆卸面包屑托盘，深色金属色，1800 瓦</t>
  </si>
  <si>
    <t>85</t>
  </si>
  <si>
    <t>深灰</t>
  </si>
  <si>
    <t>5.17 pounds</t>
  </si>
  <si>
    <t>12.28 x 12.13 x 7.87 inches</t>
  </si>
  <si>
    <t>B0867ZZ9JM</t>
  </si>
  <si>
    <t>B09P5GJ4YD</t>
  </si>
  <si>
    <t>https://www.amazon.com/dp/B0867ZZ9JM?psc=1</t>
  </si>
  <si>
    <t>https://images-na.ssl-images-amazon.com/images/I/41IMPI5RI4L._AC_US600_.jpg</t>
  </si>
  <si>
    <t>KITCHMIX</t>
  </si>
  <si>
    <t>Toaster 2 slice, KitchMix Retro Stainless Steel Toaster with 6 Settings, 1.5 In Extra Wide Slots, Bagel/Defrost/Cancel Function, Removable Crumb Tray (Cream)</t>
  </si>
  <si>
    <t>烤面包机 2 片，KitchMix 复古不锈钢烤面包机，带 6 种设置，1.5 英寸超宽槽，百吉饼/解冻/取消功能，可拆卸面包屑托盘（奶油）</t>
  </si>
  <si>
    <t>86</t>
  </si>
  <si>
    <t>2020-06-11</t>
  </si>
  <si>
    <t>KitchMix</t>
  </si>
  <si>
    <t xml:space="preserve">公司名称：Kitchmix
办公地址：
Floor NO. 10 baiyun town
guangzhou
guang dong
510000
CN
</t>
  </si>
  <si>
    <t>B0BBM6P11W</t>
  </si>
  <si>
    <t>B0BBM6JWCW</t>
  </si>
  <si>
    <t>https://www.amazon.com/dp/B0BBM6P11W?psc=1</t>
  </si>
  <si>
    <t>https://m.media-amazon.com/images/I/31638Y9DYdL._AC_US600_.jpg</t>
  </si>
  <si>
    <t>Anfilank</t>
  </si>
  <si>
    <t>Anfilank Toaster 2 Slice, Wide Slots with Warming Rack, Cancel, Bagel, Defrost Function, 6-Shade Settings, Removable Crumb Tray and High Lift Lever Classic Bread Toaster, 900W BPA free(Black)</t>
  </si>
  <si>
    <t>Anfilank 烤面包机 2 片，带加热架的宽槽，取消，百吉饼，解冻功能，6 种阴影设置，可拆卸面包屑托盘和高举杆经典面包烤面包机，900 瓦，不含 BPA（黑色）</t>
  </si>
  <si>
    <t>87</t>
  </si>
  <si>
    <t>塑料按键</t>
  </si>
  <si>
    <t>2022-11-08</t>
  </si>
  <si>
    <t xml:space="preserve">公司名称：Foshanshi Shundequ Kangya Maoyiyouxiangongsi
办公地址：
大良五沙科技工业园顺园南路7号之三
佛山市
顺德区
广东省
528399
CN
</t>
  </si>
  <si>
    <t>2.13 Pounds</t>
  </si>
  <si>
    <t>10.23"D x 6.3"W x 6.77"H</t>
  </si>
  <si>
    <t>B07MKPZDLL</t>
  </si>
  <si>
    <t>B0BN1CYFS5</t>
  </si>
  <si>
    <t>Size: Toaster 2 Slice</t>
  </si>
  <si>
    <t>https://www.amazon.com/dp/B07MKPZDLL?psc=1</t>
  </si>
  <si>
    <t>https://m.media-amazon.com/images/I/41PCsRnvAkL._AC_US600_.jpg</t>
  </si>
  <si>
    <t>Aigostar</t>
  </si>
  <si>
    <t>Toaster 2 Slice Wide Slots Best Rated Prime Toasters, Compact Stainless Steel Bread Toaster with Reheat/Defrost/Cancel Functions, 7-Shade Control &amp; Removable Crumb Tray, Black, UL Certificated</t>
  </si>
  <si>
    <t>烤面包机 2 片宽槽 Best Rated Prime 烤面包机，紧凑型不锈钢面包烤面包机，具有再加热/解冻/取消功能，7 色阴影控制和可拆卸面包屑托盘，黑色，UL 认证</t>
  </si>
  <si>
    <t>Aigostar US</t>
  </si>
  <si>
    <t xml:space="preserve">公司名称：AIGOSTAR INC
办公地址：
489 YORBITA RD UNIT#A
LA PUENTE
CA
91744
US
</t>
  </si>
  <si>
    <t>7"D x 10"W x 6"H</t>
  </si>
  <si>
    <t>B00LU2HVAO</t>
  </si>
  <si>
    <t>https://www.amazon.com/dp/B00LU2HVAO?psc=1</t>
  </si>
  <si>
    <t>https://images-na.ssl-images-amazon.com/images/I/51qUQ-jOkqL._AC_US600_.jpg</t>
  </si>
  <si>
    <t>BLACK+DECKER TR3500SD Rapid Toast 2-Slice Toaster, Stainless Steel</t>
  </si>
  <si>
    <t>BLACK+DECKER TR3500SD Rapid Toast 2 片烤面包机，不锈钢</t>
  </si>
  <si>
    <t>2014-06-24</t>
  </si>
  <si>
    <t xml:space="preserve">公司名称：United Drivers Inc
</t>
  </si>
  <si>
    <t>7"D x 10.25"W x 8"H</t>
  </si>
  <si>
    <t>B0876235F1</t>
  </si>
  <si>
    <t>B09L1MZV74</t>
  </si>
  <si>
    <t>Color: Ivory</t>
  </si>
  <si>
    <t>https://www.amazon.com/dp/B0876235F1?psc=1</t>
  </si>
  <si>
    <t>https://m.media-amazon.com/images/I/41y-KW18W1L._AC_US600_.jpg</t>
  </si>
  <si>
    <t>Haden</t>
  </si>
  <si>
    <t>Haden 75013 Heritage 4 Slice Toaster, Wide Slot with Removable Crumb Tray and Settings, Ivory</t>
  </si>
  <si>
    <t>Haden 75013 Heritage 4 片烤面包机，宽槽，带可拆卸面包屑托盘和设置，象牙色</t>
  </si>
  <si>
    <t>91</t>
  </si>
  <si>
    <t>Spreetail</t>
  </si>
  <si>
    <t xml:space="preserve">公司名称：VM MP LLC
电话号码：844-607-7672
办公地址：
2021 Transformation Drive
Suite 2500
Lincoln
Nebraska
68508
US
</t>
  </si>
  <si>
    <t>11.5"D x 13"W x 7.5"H</t>
  </si>
  <si>
    <t>B08QYVWZ2G</t>
  </si>
  <si>
    <t>B091ZF7FHB</t>
  </si>
  <si>
    <t>Color: Gray</t>
  </si>
  <si>
    <t>https://www.amazon.com/dp/B08QYVWZ2G?psc=1</t>
  </si>
  <si>
    <t>https://images-na.ssl-images-amazon.com/images/I/41KyHhLTobL._AC_US600_.jpg</t>
  </si>
  <si>
    <t>KitchMix Toaster 4 Slice, Bagel Stainless Toaster with LCD Timer, Extra Wide Slots, Dual Screen, Removal Crumb Tray (Gray)</t>
  </si>
  <si>
    <t>KitchMix 烤面包机 4 片，带 LCD 计时器的百吉饼不锈钢烤面包机，超宽槽，双屏幕，去除碎屑托盘（灰色）</t>
  </si>
  <si>
    <t>92</t>
  </si>
  <si>
    <t>2020-12-18</t>
  </si>
  <si>
    <t>5.57 Pounds</t>
  </si>
  <si>
    <t>13.07"D x 13.66"W x 7.76"H</t>
  </si>
  <si>
    <t>B09JBTCDPS</t>
  </si>
  <si>
    <t>B0B72H6JL8</t>
  </si>
  <si>
    <t>https://www.amazon.com/dp/B09JBTCDPS?psc=1</t>
  </si>
  <si>
    <t>https://m.media-amazon.com/images/I/41Vd8RJiaZL._AC_US600_.jpg</t>
  </si>
  <si>
    <t>Galanz Retro 2-Slice Toaster, 1.5" Wide Slot for Bagels &amp; Thick Bread, 6 Browning Levels, Includes a Dust Cover &amp; Removable Crumb Tray, Red</t>
  </si>
  <si>
    <t>Galanz 复古 2 片烤面包机，1.5 英寸宽槽，适用于百吉饼和厚面包，6 级烘烤级别，包括防尘罩和可拆卸面包屑托盘，红色</t>
  </si>
  <si>
    <t>Home &amp; Kitchen:Kitchen &amp; Dining</t>
  </si>
  <si>
    <t>2021-10-13</t>
  </si>
  <si>
    <t>2.9 Pounds</t>
  </si>
  <si>
    <t>11.81"D x 7.08"W x 7.56"H</t>
  </si>
  <si>
    <t>B07G4SMDMD</t>
  </si>
  <si>
    <t>B07YRZYJ4D</t>
  </si>
  <si>
    <t>https://www.amazon.com/dp/B07G4SMDMD?psc=1</t>
  </si>
  <si>
    <t>https://images-na.ssl-images-amazon.com/images/I/41qDdqQ3qvL._AC_US600_.jpg</t>
  </si>
  <si>
    <t>KEEMO</t>
  </si>
  <si>
    <t>Toaster 2 Slice, Retro Small Toaster with Bagel, Cancel, Defrost Function, Extra Wide Slot Compact Stainless Steel Toasters for Bread Waffles, Blue</t>
  </si>
  <si>
    <t>烤面包机 2 片，带百吉饼的复古小型烤面包机，取消，解冻功能，超宽槽紧凑型不锈钢烤面包机，适用于面包华夫饼，蓝色</t>
  </si>
  <si>
    <t>2018-08-17</t>
  </si>
  <si>
    <t>Keemo</t>
  </si>
  <si>
    <t xml:space="preserve">公司名称：VITERS LIMITED
办公地址：
UNIT 04, 7/F BRIGHT WAY TOWER
NO.33 MONG KOK RD
KLN
999077
HK
</t>
  </si>
  <si>
    <t>2.76 Pounds</t>
  </si>
  <si>
    <t>6.3"D x 10.24"W x 7.09"H</t>
  </si>
  <si>
    <t>B00PQZVKGW</t>
  </si>
  <si>
    <t>https://www.amazon.com/dp/B00PQZVKGW?psc=1</t>
  </si>
  <si>
    <t>https://images-na.ssl-images-amazon.com/images/I/518y+C6UAdL._AC_US600_.jpg</t>
  </si>
  <si>
    <t>Disney</t>
  </si>
  <si>
    <t>Disney DCM-21 Mickey Mouse 2 Slice Toaster, Red/Black, 1</t>
  </si>
  <si>
    <t>Disney DCM-21 米老鼠 2 片烤面包机，红色/黑色，1</t>
  </si>
  <si>
    <t>95</t>
  </si>
  <si>
    <t>115W</t>
  </si>
  <si>
    <t>2014-11-17</t>
  </si>
  <si>
    <t xml:space="preserve">公司名称：Tiki's Shave Ice and Bar, LLC
办公地址：
10327 W. Granger Ave
Boise
ID
83704
US
</t>
  </si>
  <si>
    <t>2.01 pounds</t>
  </si>
  <si>
    <t>5.9"D x 9.8"W x 5.6"H</t>
  </si>
  <si>
    <t>B0763ZK56Q</t>
  </si>
  <si>
    <t>B0BWJL4CCL</t>
  </si>
  <si>
    <t>https://www.amazon.com/dp/B0763ZK56Q?psc=1</t>
  </si>
  <si>
    <t>https://images-na.ssl-images-amazon.com/images/I/31M94eDASbL._AC_US600_.jpg</t>
  </si>
  <si>
    <t>Elite Gourmet ECT-4829 Long Slot 4 Slice Toaster, 6 Toast Settings Toaster Defrost, Reheat, Cancel Functions, Slide Out Crumb Tray, Extra Wide Slots for Bagels Waffles, White</t>
  </si>
  <si>
    <t>Elite Gourmet ECT-4829 长槽 4 片烤面包机，6 种吐司设置烤面包机除霜、再加热、取消功能，滑出面包屑托盘，用于百吉饼华夫饼的超宽槽，白色</t>
  </si>
  <si>
    <t>2017-10-02</t>
  </si>
  <si>
    <t xml:space="preserve">公司名称：Crazy Roosters Online LLC
办公地址：
16265 Carlton Adams Rd
FORT PIERCE
FL
34945
US
</t>
  </si>
  <si>
    <t>6.5"D x 15.5"W x 7.25"H</t>
  </si>
  <si>
    <t>B0083VCY16</t>
  </si>
  <si>
    <t>B0BSSNF4CN</t>
  </si>
  <si>
    <t>Style: Self-centering slots</t>
  </si>
  <si>
    <t>https://www.amazon.com/dp/B0083VCY16?psc=1</t>
  </si>
  <si>
    <t>https://images-na.ssl-images-amazon.com/images/I/41WjBCxGEiL._AC_US600_.jpg</t>
  </si>
  <si>
    <t>KRUPS</t>
  </si>
  <si>
    <t>KRUPS KH734D Breakfast Toaster with Brushed and Chrome Stainless Steel Housing, 4-Slices with Dual Independent Control Panel, 6-browning levels, Silver</t>
  </si>
  <si>
    <t>KRUPS KH734D 早餐烤面包机，带拉丝和镀铬不锈钢外壳，4 片，带双独立控制面板，6 级褐变，银色</t>
  </si>
  <si>
    <t>97</t>
  </si>
  <si>
    <t>2012-08-23</t>
  </si>
  <si>
    <t>5.28 Pounds</t>
  </si>
  <si>
    <t>13.34"D x 13.5"W x 8.58"H</t>
  </si>
  <si>
    <t>B0964CN2XN</t>
  </si>
  <si>
    <t>B09J24C3WY</t>
  </si>
  <si>
    <t>Size: 2-Slice | Color: Stainless Steel</t>
  </si>
  <si>
    <t>https://www.amazon.com/dp/B0964CN2XN?psc=1</t>
  </si>
  <si>
    <t>https://m.media-amazon.com/images/I/41UBU7UON+L._AC_US600_.jpg</t>
  </si>
  <si>
    <t>Cafe</t>
  </si>
  <si>
    <t>Café Express Finish 2-Slice Toaster | Extra-Wide Slots, Extra Lift for Waffles, Pastries, Texas Toast &amp; More | 4 Pre-Set Functions, 8 Shade Options | Countertop Kitchen Essentials | Stainless Steel</t>
  </si>
  <si>
    <t xml:space="preserve"> Café Express Finish 2 片式烤面包机 | 超宽槽，额外提升华夫饼、糕点、德州吐司等 |  4 种预设功能，8 种色调选项 | 台面厨房必备品 | 不锈钢</t>
  </si>
  <si>
    <t>8档</t>
  </si>
  <si>
    <t>2021-05-28</t>
  </si>
  <si>
    <t>8 Pounds</t>
  </si>
  <si>
    <t>7"D x 12.28"W x 8"H</t>
  </si>
  <si>
    <t>B09298DT37</t>
  </si>
  <si>
    <t>B09SGLWS8B</t>
  </si>
  <si>
    <t>Style: R180B</t>
  </si>
  <si>
    <t>https://www.amazon.com/dp/B09298DT37?psc=1</t>
  </si>
  <si>
    <t>https://images-na.ssl-images-amazon.com/images/I/41t57YssGAL._AC_US600_.jpg</t>
  </si>
  <si>
    <t>Revolution</t>
  </si>
  <si>
    <t>Revolution InstaGLO R180B – NEW! 2-Slice, Matte Black/Chrome Touchscreen Toaster with high-speed smart settings for perfect toasting – Compatible with Revolution Panini Press accessory for crispy, melty sandwiches and quesadillas in your toaster!</t>
  </si>
  <si>
    <t xml:space="preserve"> Revolution InstaGLO R180B – 新品！  2 片哑光黑色/镀铬触摸屏烤面包机，具有高速智能设置，可实现完美烘烤 - 与 Revolution Panini Press 配件兼容，可在烤面包机中制作松脆、融化的三明治和玉米饼！</t>
  </si>
  <si>
    <t>Life Hacks
Unique Kitchen
Toasters</t>
  </si>
  <si>
    <t>77
94
99</t>
  </si>
  <si>
    <t>自定义</t>
  </si>
  <si>
    <t>2021-12-09</t>
  </si>
  <si>
    <t>Revolution Cooking, LLC</t>
  </si>
  <si>
    <t xml:space="preserve">公司名称：Revolution Cooking, LLC
电话号码：800-301-7386
办公地址：
100 Tradecenter Dr
Suite G-700
Woburn
MA
01801
US
</t>
  </si>
  <si>
    <t>6.96 pounds</t>
  </si>
  <si>
    <t>11.6"D x 6.1"W x 8.4"H</t>
  </si>
  <si>
    <t>B08PQ693HQ</t>
  </si>
  <si>
    <t>B09FKGH8CG</t>
  </si>
  <si>
    <t>Color: Teal</t>
  </si>
  <si>
    <t>https://www.amazon.com/dp/B08PQ693HQ?psc=1</t>
  </si>
  <si>
    <t>https://images-na.ssl-images-amazon.com/images/I/41jg9pofJhL._AC_US600_.jpg</t>
  </si>
  <si>
    <t>Holstein Housewares</t>
  </si>
  <si>
    <t>Holstein Housewares - 2-Slice Toaster with 7 Browning Control Settings, Teal/Stainless Steel - Great to Toast Bread, Bagels and Waffles</t>
  </si>
  <si>
    <t>Holstein Housewares - 带 7 种褐变控制设置的 2 片烤面包机，蓝绿色/不锈钢 - 非常适合烤面包、百吉饼和华夫饼</t>
  </si>
  <si>
    <t>2020-12-04</t>
  </si>
  <si>
    <t>5.5"D x 9.4"W x 7.1"H</t>
  </si>
  <si>
    <t>B08RMT399S</t>
  </si>
  <si>
    <t>B0BWQR4K97</t>
  </si>
  <si>
    <t>https://www.amazon.com/dp/B08RMT399S?psc=1</t>
  </si>
  <si>
    <t>https://images-na.ssl-images-amazon.com/images/I/41FWowc-2aL._AC_US600_.jpg</t>
  </si>
  <si>
    <t>Ultrean Toaster 2 Slice with Extra-Wide Slot for Toasting Bagels, Breads, Waffles &amp; More, Stainless Steel Material with Removable Crumb Tray, 6 Browning Settings</t>
  </si>
  <si>
    <t>Ultrean 烤面包机 2 片，带超宽槽，用于烘烤百吉饼、面包、华夫饼等，不锈钢材料，带可拆卸面包屑托盘，6 种烘烤设置</t>
  </si>
  <si>
    <t xml:space="preserve">公司名称：Ultrean, Inc.
办公地址：
848 N RAINBOW BLVD STE 9027
LAS VEGAS
NV
89107-1103
US
</t>
  </si>
  <si>
    <t>3.98 Pounds</t>
  </si>
  <si>
    <t>7.1"D x 11.8"W x 7.6"H</t>
  </si>
  <si>
    <t>B0B8CCG5KF</t>
  </si>
  <si>
    <t>B0B8CDHLM5</t>
  </si>
  <si>
    <t>https://www.amazon.com/dp/B0B8CCG5KF?psc=1</t>
  </si>
  <si>
    <t>https://images-na.ssl-images-amazon.com/images/I/41CTIOPuXeL._AC_US600_.jpg</t>
  </si>
  <si>
    <t>Kikiwell</t>
  </si>
  <si>
    <t>Kikiwell Toaster 2 Slice, Stainless Steel Bread Toasters, Extra Wide Slots, 6 Bread Shade Settings, Bagel/Defrost/Cancel Function, Removable Crumb Tray, 120V/850W (2 Slice)</t>
  </si>
  <si>
    <t>Kikiwell 烤面包机 2 片，不锈钢面包烤面包机，超宽槽，6 种面包色调设置，百吉饼/解冻/取消功能，可拆卸面包屑托盘，120V/850W（2 片）</t>
  </si>
  <si>
    <t>103</t>
  </si>
  <si>
    <t>2022-08-02</t>
  </si>
  <si>
    <t>DaFangKeJi</t>
  </si>
  <si>
    <t xml:space="preserve">公司名称：DaFangKeJiYouXianGongSi
办公地址：
正兴路和兴园商住楼15号店
梅江区
梅州市
广东省
514000
CN
</t>
  </si>
  <si>
    <t>3.2 Pounds</t>
  </si>
  <si>
    <t>11.1"D x 6.2"W x 7.1"H</t>
  </si>
  <si>
    <t>B09L3HGZLS</t>
  </si>
  <si>
    <t>B0BWJLTHF5</t>
  </si>
  <si>
    <t>https://www.amazon.com/dp/B09L3HGZLS?psc=1</t>
  </si>
  <si>
    <t>https://images-na.ssl-images-amazon.com/images/I/51fjvS1mjCL._AC_US600_.jpg</t>
  </si>
  <si>
    <t>Elite Gourmet ECT-3100# Long Slot 4 Slice Toaster, Reheat, 6 Toast Settings, Defrost, Cancel Functions, Built-in Warming Rack, Extra Wide Slots for Bagels Waffles, Stainless Steel &amp; Black</t>
  </si>
  <si>
    <t>Elite Gourmet ECT-3100# 长槽 4 片烤面包机，再加热，6 种吐司设置，解冻，取消功能，内置加热架，用于百吉饼华夫饼的超宽槽，不锈钢和黑色</t>
  </si>
  <si>
    <t>104</t>
  </si>
  <si>
    <t>2021-11-04</t>
  </si>
  <si>
    <t>5.33 pounds</t>
  </si>
  <si>
    <t>16.34"D x 7.48"W x 8.19"H</t>
  </si>
  <si>
    <t>B07D38Q9N7</t>
  </si>
  <si>
    <t>B09YD2H355</t>
  </si>
  <si>
    <t>https://www.amazon.com/dp/B07D38Q9N7?psc=1</t>
  </si>
  <si>
    <t>https://images-na.ssl-images-amazon.com/images/I/41UVr9ilUVL._AC_US600_.jpg</t>
  </si>
  <si>
    <t>Gohyo</t>
  </si>
  <si>
    <t>Gohyo 4 Slice Toaster 100% Stainless Steel with Wide Slots &amp; Removable Crumb Tray for Bread &amp; Bagels（4 Slice,Black）</t>
  </si>
  <si>
    <t>Gohyo 4 片烤面包机 100% 不锈钢，带宽槽和可拆卸面包屑托盘，适用于面包和百吉饼（4 片，黑色）</t>
  </si>
  <si>
    <t>2018-06-05</t>
  </si>
  <si>
    <t>IZENE US INC</t>
  </si>
  <si>
    <t xml:space="preserve">公司名称：IZENE US INC
办公地址：
金田路2030号卓越世纪中心4号楼501-505室
深圳
福田
广东
518173
CN
</t>
  </si>
  <si>
    <t>5.66 pounds</t>
  </si>
  <si>
    <t>6.8"D x 11.2"W x 9.3"H</t>
  </si>
  <si>
    <t>B00140SC64</t>
  </si>
  <si>
    <t>https://www.amazon.com/dp/B00140SC64?psc=1</t>
  </si>
  <si>
    <t>https://images-na.ssl-images-amazon.com/images/I/31cNU6IsXzL._AC_US600_.jpg</t>
  </si>
  <si>
    <t>Breville BTA820XL Die-Cast 2-Slice Smart Toaster, Brushed Stainless Steel</t>
  </si>
  <si>
    <t>Breville BTA820XL 压铸 2 片式智能烤面包机，拉丝不锈钢</t>
  </si>
  <si>
    <t>百吉饼+加热+解冻+取消+松脆饼</t>
  </si>
  <si>
    <t>K&amp;C LLC</t>
  </si>
  <si>
    <t xml:space="preserve">公司名称：CH Houseware &amp; Hardware
办公地址：
390 Kingston Ave
Brooklyn
New York
11225
US
</t>
  </si>
  <si>
    <t>7"D x 11.25"W x 7.75"H</t>
  </si>
  <si>
    <t>B0BJKVK3F8</t>
  </si>
  <si>
    <t>B0BVD3CMTP</t>
  </si>
  <si>
    <t>Style: 4 slice stainless steel （classic）</t>
  </si>
  <si>
    <t>https://www.amazon.com/dp/B0BJKVK3F8?psc=1</t>
  </si>
  <si>
    <t>https://images-na.ssl-images-amazon.com/images/I/51CSYZOz7gL._AC_US600_.jpg</t>
  </si>
  <si>
    <t>Geek Chef 4 Slice toaster, Best Rated Prime Retro Bagel Toaster with 6 Bread Shade Settings, 4 Extra Wide Slots, Defrost/Bagel/Cancel Function, Removable Crumb Tray, Stainless Steel Toaster (4 slice stainless steel （classic）)</t>
  </si>
  <si>
    <t>Geek Chef 4 片烤面包机，最佳评级 Prime 复古百吉饼烤面包机，带 6 种面包色调设置，4 个超宽槽，解冻/百吉饼/取消功能，可拆卸面包屑托盘，不锈钢烤面包机（4 片不锈钢（经典））</t>
  </si>
  <si>
    <t>2022-10-18</t>
  </si>
  <si>
    <t xml:space="preserve">公司名称：FoShanShi ChengQiWuJinZhiPin YouXianGongSi
电话号码：1-844-801-8880
办公地址：
桂城街道简平路1号
天安南海数码新城2栋1605室之五
佛山市
南海区
广东省
528200
CN
</t>
  </si>
  <si>
    <t>5.55 pounds</t>
  </si>
  <si>
    <t>10.45"D x 11.5"W x 7.09"H</t>
  </si>
  <si>
    <t>B08NCG29SH</t>
  </si>
  <si>
    <t>B0B676CXM2</t>
  </si>
  <si>
    <t>Size: 2 slot long | Pattern Name: Toaster | Color: Black | Style: Cool touch 4 slice</t>
  </si>
  <si>
    <t>https://www.amazon.com/dp/B08NCG29SH?psc=1</t>
  </si>
  <si>
    <t>https://images-na.ssl-images-amazon.com/images/I/41TIZyF69yL._AC_US600_.jpg</t>
  </si>
  <si>
    <t>ZWILLING</t>
  </si>
  <si>
    <t>ZWILLING Enfinigy Cool Touch 2 Long Slot Toaster, 4 Slices with Extra Wide 1.5" Slots for Bagels, 7 Toast Settings, Even Toasting, Reheat, Cancel, Defrost, Black</t>
  </si>
  <si>
    <t>ZWILLING Enfinigy Cool Touch 2 长槽烤面包机，4 片带有超宽 1.5 英寸槽的百吉饼，7 种吐司设置，均匀烘烤、再加热、取消、解冻，黑色</t>
  </si>
  <si>
    <t>1710W</t>
  </si>
  <si>
    <t>2020-12-11</t>
  </si>
  <si>
    <t xml:space="preserve">公司名称：DASALLA TRADING CO., INC
电话号码：818-897-0888
办公地址：
10310 Norris Avenue
Los Angeles
CA
91331
US
</t>
  </si>
  <si>
    <t>2.8 Kilograms</t>
  </si>
  <si>
    <t>6.6"D x 16.75"W x 8.2"H</t>
  </si>
  <si>
    <t>B0BF3X44WR</t>
  </si>
  <si>
    <t>B0BK96Y3FL</t>
  </si>
  <si>
    <t>https://www.amazon.com/dp/B0BF3X44WR?psc=1</t>
  </si>
  <si>
    <t>https://m.media-amazon.com/images/I/41miFuP8rIL._AC_US600_.jpg</t>
  </si>
  <si>
    <t>Toasters 2 Slice Best Rated Prime, whall Stainless Steel,Bagel Toaster - 6 Bread Shade Settings,Bagel/Defrost/Cancel Function,1.5in Wide Slots,Removable Crumb Tray,for Various Bread Types (850W）</t>
  </si>
  <si>
    <t>烤面包机 2 片 Best Rated Prime，whall 不锈钢，百吉饼烤面包机 - 6 种面包色调设置，百吉饼/解冻/取消功能，1.5 英寸宽槽，可拆卸面包屑托盘，适用于各种面包类型 (850W）</t>
  </si>
  <si>
    <t>111</t>
  </si>
  <si>
    <t>USHOW WZS</t>
  </si>
  <si>
    <t xml:space="preserve">公司名称：USHOW GLOBAL BUSINESS CO.,LIMITED
办公地址：
Room 1302, Cheong K Building，84-86 Des Voeux Road Central
HONG KONG
HONG KONG
999077
HK
</t>
  </si>
  <si>
    <t>4.22 pounds</t>
  </si>
  <si>
    <t>13.03 x 9.06 x 7.64 inches</t>
  </si>
  <si>
    <t>B08JHZPB5S</t>
  </si>
  <si>
    <t>https://www.amazon.com/dp/B08JHZPB5S?psc=1</t>
  </si>
  <si>
    <t>https://images-na.ssl-images-amazon.com/images/I/41k1tziGoAS._AC_US600_.jpg</t>
  </si>
  <si>
    <t>Cotomier</t>
  </si>
  <si>
    <t>Cotomier Toaster 2 Slice, Rose Gold Stainless Steel Retro Toaster with Defrost Bagel Cancel Function &amp; 6 Shade Settings</t>
  </si>
  <si>
    <t>Cotomier 烤面包机 2 片，玫瑰金不锈钢复古烤面包机，带解冻百吉饼取消功能和 6 种阴影设置</t>
  </si>
  <si>
    <t>玫瑰金</t>
  </si>
  <si>
    <t>2020-09-19</t>
  </si>
  <si>
    <t>Cotomier US</t>
  </si>
  <si>
    <t xml:space="preserve">公司名称：wenlingshilongxianglvyouyongpinyouxiangongsi
办公地址：
东部新区晨光路318号
市工业转型升级示范园6幢
台州
温岭
浙江
317500
CN
</t>
  </si>
  <si>
    <t>3.34 Pounds</t>
  </si>
  <si>
    <t>5.9"D x 10.6"W x 7.3"H</t>
  </si>
  <si>
    <t>竞品分析</t>
  </si>
  <si>
    <t>奇点类型</t>
  </si>
  <si>
    <t>4QT</t>
  </si>
  <si>
    <t>5QT</t>
  </si>
  <si>
    <t>6QT</t>
  </si>
  <si>
    <t>7QT</t>
  </si>
  <si>
    <t>8QT</t>
  </si>
  <si>
    <t>10QT</t>
  </si>
  <si>
    <t>12QT</t>
  </si>
  <si>
    <t>基础参数</t>
  </si>
  <si>
    <t>B07VHFMZHJ</t>
  </si>
  <si>
    <t>亚马逊链接</t>
  </si>
  <si>
    <t>https://www.amazon.com/Ninja-AF101-Fryer-Black-gray/dp/B07FDJMC9Q</t>
  </si>
  <si>
    <t>https://www.amazon.com/Fabuletta-Customizable-Programs-Reminder-Dishwasher-Safe/dp/B0B6ZXKNJN</t>
  </si>
  <si>
    <t>https://www.amazon.com/COSORI-Airfryer-Dishwasher-Safe-freidora-Exclusive/dp/B0936FGLQS/ref=zg_bs_17659096011_sccl_3/131-7353464-5516810?th=1</t>
  </si>
  <si>
    <t>https://www.amazon.com/COSORI-1700-Watt-Cookbook-One-Touchscreen-Customizable/dp/B085W3GN5J</t>
  </si>
  <si>
    <t>https://www.amazon.com/GoWISE-USA-5-8-Quarts-Electric-Recipes/dp/B0777RJG6D/ref=zg_bs_17659096011_sccl_12/131-7353464-5516810?psc=1</t>
  </si>
  <si>
    <t>https://www.amazon.com/Instant-Vortex-Plus-Air-Fryer/dp/B07VHFMZHJ</t>
  </si>
  <si>
    <t>https://www.amazon.com/Instant-Vortex-ClearCook-Reheat-Dehydrate/dp/B096N3FTZP</t>
  </si>
  <si>
    <t>https://www.amazon.com/Gourmia-GAF686-Digital-Guided-Cooking/dp/B09MR49K1D/ref=zg_bs_17659096011_sccl_20/131-7353464-5516810?th=1</t>
  </si>
  <si>
    <t>https://www.amazon.com/CROWNFUL-Electric-Functions-Temperature-Listed-White/dp/B092PY8F5J/</t>
  </si>
  <si>
    <t>https://www.amazon.com/7-25-Qt-One-Touch-Controls-Temperature-Increments/dp/B075X3287P</t>
  </si>
  <si>
    <t>https://www.amazon.com/Chefman-TurboFry-Air-Fryer-Dishwasher/dp/B08DKYBTPH</t>
  </si>
  <si>
    <t>https://www.amazon.com/Ninja-DZ201-2-Basket-Technology-Stainless/dp/B089TQWJKK/ref=zg_bs_17659096011_sccl_4/131-7353464-5516810?th=1</t>
  </si>
  <si>
    <t>https://www.amazon.com/Ninja-DZ401-Independent-Dehydrate-Family-Sized/dp/B096X9LGJ1/ref=zg_bs_17659096011_sccl_8/131-7353464-5516810?th=1</t>
  </si>
  <si>
    <t xml:space="preserve"> Instant Pot</t>
  </si>
  <si>
    <t xml:space="preserve"> Gourmia</t>
  </si>
  <si>
    <t xml:space="preserve"> CROWNFUL</t>
  </si>
  <si>
    <t xml:space="preserve"> Nuwave</t>
  </si>
  <si>
    <t xml:space="preserve"> Chefman</t>
  </si>
  <si>
    <t xml:space="preserve"> Ninja</t>
  </si>
  <si>
    <t>卖家</t>
  </si>
  <si>
    <t>amazon自营</t>
  </si>
  <si>
    <t>Amazon自营</t>
  </si>
  <si>
    <t xml:space="preserve"> Amazon.com</t>
  </si>
  <si>
    <t>卖家类型</t>
  </si>
  <si>
    <t>中国</t>
  </si>
  <si>
    <t>美国</t>
  </si>
  <si>
    <t>加拿大</t>
  </si>
  <si>
    <t>卖家名称</t>
  </si>
  <si>
    <t>尚科宁家（中国）科技有限公司</t>
  </si>
  <si>
    <t>深圳市科目科技</t>
  </si>
  <si>
    <t>晨北科技</t>
  </si>
  <si>
    <t>中山高通电器</t>
  </si>
  <si>
    <t>深圳远睿信息</t>
  </si>
  <si>
    <t>佛山市纽维福</t>
  </si>
  <si>
    <t>RJ 品牌有限责任公司</t>
  </si>
  <si>
    <t>大类/大类排名</t>
  </si>
  <si>
    <t>小类/小类排名</t>
  </si>
  <si>
    <t>MAX</t>
  </si>
  <si>
    <t>MIN</t>
  </si>
  <si>
    <t>NOW</t>
  </si>
  <si>
    <t>价格浮动</t>
  </si>
  <si>
    <t>尺寸（产品）L</t>
  </si>
  <si>
    <t>尺寸（产品）W</t>
  </si>
  <si>
    <t>尺寸（产品）H</t>
  </si>
  <si>
    <t>长(cm)</t>
  </si>
  <si>
    <t>宽(cm)</t>
  </si>
  <si>
    <t>高(cm)</t>
  </si>
  <si>
    <t>净重（磅）</t>
  </si>
  <si>
    <t>净重（KG）</t>
  </si>
  <si>
    <t>毛重（KG)</t>
  </si>
  <si>
    <t>日销量</t>
  </si>
  <si>
    <t>月销售额</t>
  </si>
  <si>
    <t>评论数/评论星级</t>
  </si>
  <si>
    <t>49112/4.8</t>
  </si>
  <si>
    <t>474/4.3</t>
  </si>
  <si>
    <t>16134/4.7</t>
  </si>
  <si>
    <t>12356/4.7</t>
  </si>
  <si>
    <t>33058/4.3</t>
  </si>
  <si>
    <t>60521/4.6</t>
  </si>
  <si>
    <t>13901/4.7</t>
  </si>
  <si>
    <t>940/4.6</t>
  </si>
  <si>
    <t>2452/4.7</t>
  </si>
  <si>
    <t>8569/4.5</t>
  </si>
  <si>
    <t>8708/4.6</t>
  </si>
  <si>
    <t>18259/4.8</t>
  </si>
  <si>
    <t>5588/4.8</t>
  </si>
  <si>
    <t>变体数量</t>
  </si>
  <si>
    <t>FBA运费</t>
  </si>
  <si>
    <t>颜色</t>
  </si>
  <si>
    <t>鼠尾草绿</t>
  </si>
  <si>
    <t>材质</t>
  </si>
  <si>
    <t>不粘陶瓷+塑料</t>
  </si>
  <si>
    <t>不粘陶瓷+塑料+钢化玻璃</t>
  </si>
  <si>
    <t>铝+塑料+不锈钢+不粘陶瓷</t>
  </si>
  <si>
    <t>不沾陶瓷+不锈钢+塑料</t>
  </si>
  <si>
    <t>不锈钢+铝+塑料</t>
  </si>
  <si>
    <t>性能参数</t>
  </si>
  <si>
    <t>容量</t>
  </si>
  <si>
    <t>电压</t>
  </si>
  <si>
    <t>120V</t>
  </si>
  <si>
    <t>工作模式</t>
  </si>
  <si>
    <t>温度区间</t>
  </si>
  <si>
    <t>37~205℃</t>
  </si>
  <si>
    <t>150~230℃</t>
  </si>
  <si>
    <t xml:space="preserve"> 77°–230°C</t>
  </si>
  <si>
    <t>77°C –205°C</t>
  </si>
  <si>
    <t>82~205℃</t>
  </si>
  <si>
    <t>32~205℃</t>
  </si>
  <si>
    <t>35~205℃</t>
  </si>
  <si>
    <t>10~205℃</t>
  </si>
  <si>
    <t>37~207℃</t>
  </si>
  <si>
    <t>37~208℃</t>
  </si>
  <si>
    <t>时间区间</t>
  </si>
  <si>
    <t>0~60minutes</t>
  </si>
  <si>
    <t>0~30minutes</t>
  </si>
  <si>
    <t>0~62minutes</t>
  </si>
  <si>
    <t>0~63minutes</t>
  </si>
  <si>
    <t>是否有不粘涂层</t>
  </si>
  <si>
    <t>触控+app+旋钮控制</t>
  </si>
  <si>
    <t>触控+APP控制</t>
  </si>
  <si>
    <t>产品尺寸</t>
  </si>
  <si>
    <t>8.5"D x 12.1"W x 11"H</t>
  </si>
  <si>
    <t>12.68 x 12.68 x 13.78 英寸</t>
  </si>
  <si>
    <t>12 x 10.8 x 14.4 英寸</t>
  </si>
  <si>
    <t xml:space="preserve"> 11.78"D x 13.87"W x 12"H</t>
  </si>
  <si>
    <t>12.5"D x 13.5"W x 11.5"H</t>
  </si>
  <si>
    <t xml:space="preserve"> 12.36 x 14.92 x 12.83 英寸</t>
  </si>
  <si>
    <t>12.8"D x 11.8"W x 14.9"H</t>
  </si>
  <si>
    <t xml:space="preserve"> 13.58 x 11.54 x 13.2 英寸</t>
  </si>
  <si>
    <t>14.56 x 12.99 x 11.02 英寸</t>
  </si>
  <si>
    <t>9"深 x 9"宽 x 12.5"高</t>
  </si>
  <si>
    <t xml:space="preserve"> 12.75“深 x 13.5”宽 x 10“高</t>
  </si>
  <si>
    <t xml:space="preserve"> 13.86“深 x 15.63”宽 x 12.4“高</t>
  </si>
  <si>
    <t>包装尺寸</t>
  </si>
  <si>
    <t>15.5 inches x 15.25 inches x 12.52 inches</t>
  </si>
  <si>
    <t>14.331 英寸 x 13.071 英寸 x 12.992 英寸</t>
  </si>
  <si>
    <t>13.11 英寸 x 9.84 英寸 x 7.91 英寸</t>
  </si>
  <si>
    <t>16.54 英寸 x 15.12 英寸 x 14.09 英寸</t>
  </si>
  <si>
    <t>16.5 inches x 14.603 inches x 14.45 inches</t>
  </si>
  <si>
    <t>17 英寸 x 15 英寸 x 15 英寸</t>
  </si>
  <si>
    <t>17 英寸 x 14.5 英寸 x 14 英寸</t>
  </si>
  <si>
    <t>15.25 英寸 x 13.25 英寸 x 13.25 英寸</t>
  </si>
  <si>
    <t>17.717 英寸 x 14.921 英寸 x 13.78 英寸</t>
  </si>
  <si>
    <t>13.4 英寸 x 13.2 英寸 x 8 英寸</t>
  </si>
  <si>
    <t>16.4 英寸 x 15.9 英寸 x 14.4 英寸</t>
  </si>
  <si>
    <t>17.72 英寸 x 16.14 英寸 x 14.8 英寸</t>
  </si>
  <si>
    <t>20.25 英寸 x 16.75 英寸 x 16.05 英寸</t>
  </si>
  <si>
    <t>工作模式详细类型</t>
  </si>
  <si>
    <t>空气炸锅+烘烤+在加热+脱水</t>
  </si>
  <si>
    <t xml:space="preserve"> 9 种预设模式（薯条、鸡肉、牛排、甜点、海鲜、培根、蔬菜、脱水、预热</t>
  </si>
  <si>
    <t>9种预设模式，（鸡、炸薯条、冷冻食品、牛排、预先加热、海鲜、蔬菜、培根、保温</t>
  </si>
  <si>
    <t>12种预设模式（牛排、鸡肉、海鲜、虾、培根、冷冻食品、炸薯条、蔬菜、烤面包、烘烤、预热、保温）</t>
  </si>
  <si>
    <t>8种预设模式（炸薯条/薯条、猪肉、鸡肉、牛排、虾、蛋糕、鱼和比萨）</t>
  </si>
  <si>
    <t>6种预设模式（空气炸，烤，烤，脱水，烘烤和再加热）</t>
  </si>
  <si>
    <t>12种预设模式（炸薯条、鸡翅、炸鱼锅、培根、海鲜、蔬菜、烘焙、烘烤、烧烤、脱水、烤面包机、再加热和保温）</t>
  </si>
  <si>
    <t>12种预设模式（即鱼、蛋糕、鸡腿、炸薯条、培根、猪排、鸡肉、牛排、虾、吐司、蔬菜、保温）</t>
  </si>
  <si>
    <t>10种预设模式（烧烤、空气煎炸、烘烤、烧烤、烘烤、脱水、再加热、解冻、烘烤）</t>
  </si>
  <si>
    <t>4种预设模式（炸薯条、鸡肉、鱼和肉）</t>
  </si>
  <si>
    <t>6种预设模式（气炸、气烤、烤、烘烤、再加热和脱水）</t>
  </si>
  <si>
    <t>配件</t>
  </si>
  <si>
    <t>1 x 空气炸锅
1 x20+食谱
1 x 用户手册</t>
  </si>
  <si>
    <t>1 x 空气炸锅
1 x 用户手册</t>
  </si>
  <si>
    <t>1 × 空气炸锅机
1 × 空气炸锅篮
1 × 食谱书
1 × 手册
1 × 保修卡
1 × 快速参考指南</t>
  </si>
  <si>
    <t>1 x 空气炸锅
1*食谱书
1 x 用户手册</t>
  </si>
  <si>
    <t>1 x 空气炸锅
1*空气炸锅篮
1 x 用户手册</t>
  </si>
  <si>
    <t>1×空气炸锅
1×不粘锅 6 夸脱空气炸篮
1×不粘保鲜盒
1×用户手册
1×60 多页带烹饪图表的食谱书</t>
  </si>
  <si>
    <t>1 x空气炸锅
1 x 用户手册
1 x 食谱书</t>
  </si>
  <si>
    <t>1×空气炸锅
1×可拆卸抽屉；
1×食品篮</t>
  </si>
  <si>
    <t>1 x空气炸锅
1 x 用户手册</t>
  </si>
  <si>
    <t>1×空气炸锅
1×用于 8 夸脱容量的 4 夸脱烹饪篮
1×不粘保鲜盘
1×15种烹饪食谱</t>
  </si>
  <si>
    <t>1×空气炸锅
1×用于 10夸脱容量的 5.5夸脱烹饪篮
1×不粘保鲜盘
1×15种烹饪食谱</t>
  </si>
  <si>
    <t>主打场景</t>
  </si>
  <si>
    <t>适合用于个人厨房、宿舍、烘焙房等</t>
  </si>
  <si>
    <t>适合用于个人厨房、宿舍、烘焙房、等等</t>
  </si>
  <si>
    <t>适合用于个人厨房、宿舍、烘焙房、家庭别墅等等</t>
  </si>
  <si>
    <t>主打人群</t>
  </si>
  <si>
    <t>25-34岁家庭主妇，健身美体人士</t>
  </si>
  <si>
    <t>适合家庭</t>
  </si>
  <si>
    <t>2~4人</t>
  </si>
  <si>
    <t>3~5人</t>
  </si>
  <si>
    <t>4~6人</t>
  </si>
  <si>
    <t>5-7人</t>
  </si>
  <si>
    <t>6-8人</t>
  </si>
  <si>
    <t>主要卖点</t>
  </si>
  <si>
    <t>4合一快捷工作模式；
温升范围达；
不粘陶瓷涂层等</t>
  </si>
  <si>
    <t>9种预设工作模式；
温升范围大；
可定时；
Even Crisp 技术</t>
  </si>
  <si>
    <t xml:space="preserve">9种预设工作模式；
温升范围大；
可定时；
钢化触控玻璃面板；
VeSync 应用程序提供 100 多种食谱的随附食谱
</t>
  </si>
  <si>
    <t xml:space="preserve">12种预设模式；
温升范围大；
可定时；
附带100 多种食谱的随附食谱
</t>
  </si>
  <si>
    <t xml:space="preserve">8种预设模式；
温升范围大；
可定时；
附带50多种食谱的随附食谱
</t>
  </si>
  <si>
    <t>6种预设模式；
温升范围大，可定时；
带app控制，操作便携，可远程操控</t>
  </si>
  <si>
    <t>6种预设模式；
温升范围大，可定时；
带app控制，操作便携，可远程操控、内置安全功能，如过热保护、自动关闭</t>
  </si>
  <si>
    <t>12种预设模式；
温升范围大，可定时；
可定时，附带60多页烹饪食谱</t>
  </si>
  <si>
    <t>12种预设模式；
温升范围大，可定时；</t>
  </si>
  <si>
    <t>10种不同工作模式；100种手机食谱编程；温升范围大，可定时；</t>
  </si>
  <si>
    <t>一键式数字显示
四种预设烹饪功能
超大 8 夸脱容量
LED 摇晃提醒，均匀烹饪
温度范围从 200°F 到 400°F
时尚、节省空间的设计
易于清洁的不粘篮
洗碗机安全部件</t>
  </si>
  <si>
    <t>6合一功能，双腔独立栏子8QT，智能完成烹饪。温升范围达，可定时，含食谱</t>
  </si>
  <si>
    <t>6合一功能，双腔独立栏子10QT，智能完成烹饪。温升范围达，可定时，含食谱</t>
  </si>
  <si>
    <t>市场追踪变化</t>
  </si>
  <si>
    <t>keepa曲线</t>
  </si>
  <si>
    <t>LD次数，价格（站内）</t>
  </si>
  <si>
    <t>最近一个月没有LD</t>
  </si>
  <si>
    <t>最近一个月跑了四次LD，LD价格67.99usd</t>
  </si>
  <si>
    <t>最近一个月没走LD</t>
  </si>
  <si>
    <t>最近一个月走了两次LD，LD价格67.99usd</t>
  </si>
  <si>
    <t>最近一个月没有LD BD DOTD</t>
  </si>
  <si>
    <t>价格升降区间，改变价格次数</t>
  </si>
  <si>
    <t>近3个月调价10次以上，价格从98.69usd升至99.99usd</t>
  </si>
  <si>
    <t>近3个月调5次，最初价格与现价一致</t>
  </si>
  <si>
    <t>近三个月内出现4次调价，最初价格与现价一致</t>
  </si>
  <si>
    <t>三个月内出现10次以上调价，价格从105.39usd升至129.99usd</t>
  </si>
  <si>
    <t>近三个月内出现10次以上调价，调价价格从71.04usd降至61.61</t>
  </si>
  <si>
    <t>近三个月内出现7次以上调价，调价价格不变</t>
  </si>
  <si>
    <t>三个月内出现9次以上调价，价格从132.99usd升至139.95usd</t>
  </si>
  <si>
    <t>近三个月内出现10次以上调价，调价价格从89.94usd降至63.43</t>
  </si>
  <si>
    <t>近三个月内出现8次调价，价格从29.99usd升至34.99usd</t>
  </si>
  <si>
    <t>近三个月内出现10次以上调价，价格从93.49usd降至88.09usd</t>
  </si>
  <si>
    <t>近三个月内出现10次以上调价，最初价格与现价基本一致</t>
  </si>
  <si>
    <t>近三个月内出现10次以上调价，价格从180usd降至159.99usd</t>
  </si>
  <si>
    <t>近三个月内出现10次以上调价，价格由209usd降至179.99</t>
  </si>
  <si>
    <t>排名增长/下降/稳定情况</t>
  </si>
  <si>
    <t>近一个月排名持续走高拉升（从45→27</t>
  </si>
  <si>
    <t>近一个月排名持续出下下滑（从723→1989）</t>
  </si>
  <si>
    <t>近一个月排名有小幅上升（从3724→3070</t>
  </si>
  <si>
    <t>近一个月排名持续走高回落（从24→732）</t>
  </si>
  <si>
    <t>近一个月排名持续略下降（从6530→942）</t>
  </si>
  <si>
    <t>近一个月排名略微浮动，浮动产值相差不大（从292→334）</t>
  </si>
  <si>
    <t>近一个月排名略微下滑（从494→604）</t>
  </si>
  <si>
    <t>近一个月排名略微下滑（从575→2041）</t>
  </si>
  <si>
    <t>近一个月排名持续提升至（从5004→3461</t>
  </si>
  <si>
    <t>近一个月排名持续上升（664→490</t>
  </si>
  <si>
    <t>近一个月排名持续略微下降（从1637→3456</t>
  </si>
  <si>
    <t>近一个月排名持续略微上升（从791→296</t>
  </si>
  <si>
    <t>近一个月排名持续略微下降（从324→484</t>
  </si>
  <si>
    <t>断货情况</t>
  </si>
  <si>
    <t>近三个月内无断货</t>
  </si>
  <si>
    <t>近三个月出现两次断货，断货时间2023/1/19~2023/2/6</t>
  </si>
  <si>
    <t>近三个月出现两次断货</t>
  </si>
  <si>
    <t>近三个月无断货</t>
  </si>
  <si>
    <t>评论增长</t>
  </si>
  <si>
    <t>最近三个月评论增长数量从41334到49112</t>
  </si>
  <si>
    <t>最近三个月评论增长数量从136到474</t>
  </si>
  <si>
    <t>最近三个月评论增长数量从597到964</t>
  </si>
  <si>
    <t>最近三个月评论增长数量从25626降至12356，有存在删评现象</t>
  </si>
  <si>
    <t>最近三个月评论增长数量从32599到33058</t>
  </si>
  <si>
    <t>最近三个月评论增长数量从57676至60521</t>
  </si>
  <si>
    <t>最近三个月评论增长数量从12685到13901</t>
  </si>
  <si>
    <t>最近三个月评论增长数量从837到940</t>
  </si>
  <si>
    <t>最近三个月评论数量从2219到2452</t>
  </si>
  <si>
    <t>最近三个月评论增长数量从8125到8569</t>
  </si>
  <si>
    <t>最近三个月评论增长数量从6538到8708</t>
  </si>
  <si>
    <t>最近三个月评论增长数量从16812到18259</t>
  </si>
  <si>
    <t>最近三个月评论增长数量从4689到5588</t>
  </si>
  <si>
    <t>KEEPA曲线</t>
  </si>
  <si>
    <t>竞争对手未来趋势</t>
  </si>
  <si>
    <t>预计未来产品品质稳定，无断货，不跑LDD与PDD，受品牌附加影响坑位会持续稳定，价格会有略微浮动</t>
  </si>
  <si>
    <t>预计未来坑位维持在top20以内，如品质稳定情况下</t>
  </si>
  <si>
    <t>预计未来品质稳定，库存供应充足情况下，会稳定在top3以内</t>
  </si>
  <si>
    <t>预计未来品质稳定，会稳定在top10以内</t>
  </si>
  <si>
    <t>产品欺负较大，排名不太稳定</t>
  </si>
  <si>
    <t>预计小类会稳定在top20之内，保证品质稳定</t>
  </si>
  <si>
    <t>预计小类会稳定在top15之内，品质稳定前提条件下</t>
  </si>
  <si>
    <t>预计小类会稳定在top30之内，品质稳定前提条件下</t>
  </si>
  <si>
    <t>预计小类排名会稳定在top50以内，品质稳定前提条件下</t>
  </si>
  <si>
    <t>预计品质稳定，不断货，后续小类排名维持在top50以内</t>
  </si>
  <si>
    <t>预计品质稳定，不断货，后续小类排名维持在top15以内</t>
  </si>
  <si>
    <t>预计品质稳定，不断货，后续小类排名维持在top20以内</t>
  </si>
  <si>
    <t>站内</t>
  </si>
  <si>
    <t>关键词首页坑位</t>
  </si>
  <si>
    <t>CPC：是否在首页（或长期出现在首页）</t>
  </si>
  <si>
    <t>air fryer在首页
ninja air fryer、airfryer、air fryers、freidora de aire在首页</t>
  </si>
  <si>
    <t>air fryer在第三页
、airfryer、air fryers、small air fryer在第三页</t>
  </si>
  <si>
    <t>air fryer在首页
cosori air fryer、airfryer、air fryers、freidora de aire在首页</t>
  </si>
  <si>
    <t>air fryer在首页
、airfryer、air fryers、freidora de aire在首页</t>
  </si>
  <si>
    <t>air fryer在第二页、
airfryer、instant pot air fryer、instant vortex plus 6 quart air fryer、stainless steel air fryer在第一页</t>
  </si>
  <si>
    <t>airfryer、instant pot air fryer、toshiba air fryer、instant vortex plus 6 quart air fryer等关键词在首页，air fryer、ninja air fryer在第二页</t>
  </si>
  <si>
    <t>gourmia air fryer、air frier、gourmia air fryer accessories在首页，airfryer、air fryers在第二页，air fryer、gourmia air fryer accessories在第三页</t>
  </si>
  <si>
    <t>air fryer、airfryer、white air fryer、air fryer white、air fruer等在首页，air fryers在第三页</t>
  </si>
  <si>
    <t>air fryer、airfryer、large air fryer在第二页，nuwave air fryer、air fryers best rated在首页</t>
  </si>
  <si>
    <t>chefman air fryer、stainless steel air fryer、stainless steel air fryer non toxic、air fryers best rated在首页，air fryer，airfryer在第三页，large air fryer在第二页</t>
  </si>
  <si>
    <t>ninja air fryer、airfryer、ninja foodie air fryer、air fryer ninja、air fryers、freidora de aire在首页，air fryer在第二页</t>
  </si>
  <si>
    <t>ninja air fryer、airfryer、ninja foodie air fryer、air fryers、air fryer ninja、ninja speedi在首页，air fryer、cosori air fryer在第二页</t>
  </si>
  <si>
    <t>Coupon/BD</t>
  </si>
  <si>
    <t>站外</t>
  </si>
  <si>
    <t>Facebook（主页点赞次数、关注人数、视频投放时间和观看次数）</t>
  </si>
  <si>
    <t>Youtube（搜索结果数量、投放时间和观看次数）</t>
  </si>
  <si>
    <t>https://www.youtube.com/watch?v=8K7XiEOx3Fw</t>
  </si>
  <si>
    <t>https://www.youtube.com/watch?v=LXKAn5fCUq4</t>
  </si>
  <si>
    <t>https://www.youtube.com/watch?v=-PEYya_hSnQ</t>
  </si>
  <si>
    <t>https://www.youtube.com/watch?v=fnJhFfbQzGM</t>
  </si>
  <si>
    <t>https://www.youtube.com/watch?v=N410IdpsYDc</t>
  </si>
  <si>
    <t>https://www.youtube.com/watch?v=hOcD0RLLljY&amp;t=2s</t>
  </si>
  <si>
    <t>https://www.youtube.com/watch?v=f4DTH3737ps</t>
  </si>
  <si>
    <t>https://www.youtube.com/watch?v=EDm8ghfXhvM</t>
  </si>
  <si>
    <t>https://www.youtube.com/watch?v=Qg2EN4S3uq0</t>
  </si>
  <si>
    <t>https://www.youtube.com/watch?v=HsGVXujTkDg</t>
  </si>
  <si>
    <t>https://www.youtube.com/watch?v=FcroWxTuudI</t>
  </si>
  <si>
    <t>https://www.youtube.com/watch?v=55aI5rq8CAo</t>
  </si>
  <si>
    <t>https://www.youtube.com/watch?v=JUNm20BVccs</t>
  </si>
  <si>
    <t>youtube上传时间</t>
  </si>
  <si>
    <t>youtube观看/点赞次数</t>
  </si>
  <si>
    <t>2,673,561次观看/4W点赞</t>
  </si>
  <si>
    <r>
      <rPr>
        <u/>
        <sz val="11"/>
        <color rgb="FF0000FF"/>
        <rFont val="宋体"/>
        <charset val="0"/>
        <scheme val="minor"/>
      </rPr>
      <t>340次观看/2</t>
    </r>
    <r>
      <rPr>
        <sz val="11"/>
        <color rgb="FF0000FF"/>
        <rFont val="宋体"/>
        <charset val="0"/>
        <scheme val="minor"/>
      </rPr>
      <t>次点赞</t>
    </r>
  </si>
  <si>
    <r>
      <rPr>
        <u/>
        <sz val="11"/>
        <color rgb="FF0000FF"/>
        <rFont val="宋体"/>
        <charset val="0"/>
        <scheme val="minor"/>
      </rPr>
      <t>52,775次观看 /1075</t>
    </r>
    <r>
      <rPr>
        <sz val="11"/>
        <color rgb="FF0000FF"/>
        <rFont val="宋体"/>
        <charset val="0"/>
        <scheme val="minor"/>
      </rPr>
      <t>次点赞</t>
    </r>
  </si>
  <si>
    <r>
      <rPr>
        <u/>
        <sz val="11"/>
        <color rgb="FF800080"/>
        <rFont val="宋体"/>
        <charset val="0"/>
        <scheme val="minor"/>
      </rPr>
      <t>534,058次观看/8147</t>
    </r>
    <r>
      <rPr>
        <sz val="11"/>
        <color rgb="FF800080"/>
        <rFont val="宋体"/>
        <charset val="0"/>
        <scheme val="minor"/>
      </rPr>
      <t>次点赞</t>
    </r>
  </si>
  <si>
    <r>
      <rPr>
        <u/>
        <sz val="11"/>
        <color rgb="FF800080"/>
        <rFont val="宋体"/>
        <charset val="0"/>
        <scheme val="minor"/>
      </rPr>
      <t>85,621次观看/1327</t>
    </r>
    <r>
      <rPr>
        <sz val="11"/>
        <color rgb="FF800080"/>
        <rFont val="宋体"/>
        <charset val="0"/>
        <scheme val="minor"/>
      </rPr>
      <t>次点赞</t>
    </r>
  </si>
  <si>
    <r>
      <rPr>
        <u/>
        <sz val="11"/>
        <color rgb="FF0000FF"/>
        <rFont val="宋体"/>
        <charset val="0"/>
        <scheme val="minor"/>
      </rPr>
      <t>368,625次观看/5560</t>
    </r>
    <r>
      <rPr>
        <sz val="11"/>
        <color rgb="FF0000FF"/>
        <rFont val="宋体"/>
        <charset val="0"/>
        <scheme val="minor"/>
      </rPr>
      <t>次点赞</t>
    </r>
  </si>
  <si>
    <r>
      <rPr>
        <u/>
        <sz val="11"/>
        <color rgb="FF0000FF"/>
        <rFont val="宋体"/>
        <charset val="0"/>
        <scheme val="minor"/>
      </rPr>
      <t>58,812次观看/1237</t>
    </r>
    <r>
      <rPr>
        <sz val="11"/>
        <color rgb="FF0000FF"/>
        <rFont val="宋体"/>
        <charset val="0"/>
        <scheme val="minor"/>
      </rPr>
      <t>次点赞</t>
    </r>
  </si>
  <si>
    <r>
      <rPr>
        <u/>
        <sz val="11"/>
        <color rgb="FF0000FF"/>
        <rFont val="宋体"/>
        <charset val="0"/>
        <scheme val="minor"/>
      </rPr>
      <t>174,872次观看/1094</t>
    </r>
    <r>
      <rPr>
        <sz val="11"/>
        <color rgb="FF0000FF"/>
        <rFont val="宋体"/>
        <charset val="0"/>
        <scheme val="minor"/>
      </rPr>
      <t>次点赞</t>
    </r>
  </si>
  <si>
    <t>927次观看</t>
  </si>
  <si>
    <r>
      <rPr>
        <u/>
        <sz val="11"/>
        <color rgb="FF0000FF"/>
        <rFont val="宋体"/>
        <charset val="0"/>
        <scheme val="minor"/>
      </rPr>
      <t>18,707次观看/119</t>
    </r>
    <r>
      <rPr>
        <sz val="11"/>
        <color rgb="FF0000FF"/>
        <rFont val="宋体"/>
        <charset val="0"/>
        <scheme val="minor"/>
      </rPr>
      <t>次点赞</t>
    </r>
  </si>
  <si>
    <r>
      <rPr>
        <u/>
        <sz val="11"/>
        <color rgb="FF0000FF"/>
        <rFont val="宋体"/>
        <charset val="0"/>
        <scheme val="minor"/>
      </rPr>
      <t>47,639次观看/816</t>
    </r>
    <r>
      <rPr>
        <sz val="11"/>
        <color rgb="FF0000FF"/>
        <rFont val="宋体"/>
        <charset val="0"/>
        <scheme val="minor"/>
      </rPr>
      <t>次点赞</t>
    </r>
  </si>
  <si>
    <t>343,077次观看/3588次点赞</t>
  </si>
  <si>
    <r>
      <rPr>
        <u/>
        <sz val="11"/>
        <color rgb="FF0000FF"/>
        <rFont val="宋体"/>
        <charset val="0"/>
        <scheme val="minor"/>
      </rPr>
      <t>65,060次观看/1529</t>
    </r>
    <r>
      <rPr>
        <sz val="11"/>
        <color rgb="FF0000FF"/>
        <rFont val="宋体"/>
        <charset val="0"/>
        <scheme val="minor"/>
      </rPr>
      <t>次点赞</t>
    </r>
  </si>
  <si>
    <t>slickdeal/dealplus/
dealnews（促销价格）</t>
  </si>
  <si>
    <t>官网（综合排名）</t>
  </si>
  <si>
    <t>品牌官网</t>
  </si>
  <si>
    <t>https://www.nuwavekitchen.com/</t>
  </si>
  <si>
    <t>QA及评价分析</t>
  </si>
  <si>
    <t>代表性竞争对手基本属性</t>
  </si>
  <si>
    <t>ninja</t>
  </si>
  <si>
    <t>review/星级</t>
  </si>
  <si>
    <t>QA分析（客户关注）</t>
  </si>
  <si>
    <t>评论分析</t>
  </si>
  <si>
    <t>卖家差评图片汇总</t>
  </si>
  <si>
    <t>用户槽点</t>
  </si>
  <si>
    <t>问题归类</t>
  </si>
  <si>
    <t>问题背景</t>
  </si>
  <si>
    <t>我方解决方案</t>
  </si>
  <si>
    <t>手柄断裂</t>
  </si>
  <si>
    <t>1）运输受积压；2）产品结构件不稳固</t>
  </si>
  <si>
    <t>1）出厂加固手柄；加固包装，增加保利龙以及四角防护；2）首单出厂100%全检</t>
  </si>
  <si>
    <t>塑料味浓重</t>
  </si>
  <si>
    <t>1）产品散热系统除味系统过差；2）低廉的塑胶材质，硬度计耐高温较差</t>
  </si>
  <si>
    <t>出厂耐高温可靠性，循环跑机测试，加强耐久性及过载过流过温保护</t>
  </si>
  <si>
    <t>火灾隐患</t>
  </si>
  <si>
    <t>1）产品温升超过发热器温度阈值，过温保护系统较差；2）产品未冷却</t>
  </si>
  <si>
    <t>保证产品在最高程度状况下能持续工作30~60munutes，产品机身不变形，无塑胶等异味产生</t>
  </si>
  <si>
    <t>漏油状况</t>
  </si>
  <si>
    <t>1）底部清洁板未添加吸油纸或者硅胶烤盘</t>
  </si>
  <si>
    <t>增加烤盘或吸油纸搭配主机售卖，及烘烤烹饪菜单食谱</t>
  </si>
  <si>
    <t>售后故障保证</t>
  </si>
  <si>
    <t>缺陷产品/品质问题召回政策，维修政策等</t>
  </si>
  <si>
    <t>1）设定第三方海外仓；临时退换货驻点；2）工厂合作第三方海外驻点维修机构</t>
  </si>
  <si>
    <t>用户爽点</t>
  </si>
  <si>
    <t>易于清洁</t>
  </si>
  <si>
    <t>产品多功能性完备</t>
  </si>
  <si>
    <t>对于烹饪效果比较满意</t>
  </si>
  <si>
    <t>无异味</t>
  </si>
  <si>
    <t>用户关注点</t>
  </si>
  <si>
    <t>尺寸/空间容量/最大烤盘/鸡肉大小</t>
  </si>
  <si>
    <t>功能性问题</t>
  </si>
  <si>
    <t>材料问题</t>
  </si>
  <si>
    <t>温度范围问题</t>
  </si>
  <si>
    <t>清洁问题/气味问题</t>
  </si>
  <si>
    <t>售后服务保证</t>
  </si>
  <si>
    <t>品名</t>
  </si>
  <si>
    <t>市场</t>
  </si>
  <si>
    <t>产品成本</t>
  </si>
  <si>
    <t>售价</t>
  </si>
  <si>
    <t>产品长
（cm）</t>
  </si>
  <si>
    <t>产品宽
（cm）</t>
  </si>
  <si>
    <t>产品高
（cm）</t>
  </si>
  <si>
    <t>包装长
（cm）</t>
  </si>
  <si>
    <t>包装宽
（cm）</t>
  </si>
  <si>
    <t>包装高
（cm）</t>
  </si>
  <si>
    <t>产品净重（KG)</t>
  </si>
  <si>
    <t>产品毛重
（KG)</t>
  </si>
  <si>
    <t>外箱长
（cm）</t>
  </si>
  <si>
    <t>外箱宽
（cm）</t>
  </si>
  <si>
    <t>外箱高
（cm）</t>
  </si>
  <si>
    <t>装箱规格
（pcs）</t>
  </si>
  <si>
    <t>外箱体积重（kg/cm³）</t>
  </si>
  <si>
    <t>单个体积重
（kg/cm³）</t>
  </si>
  <si>
    <t>空气炸锅5L
可视窗</t>
  </si>
  <si>
    <t>0.32*5.46+7.17</t>
  </si>
  <si>
    <t>DE</t>
  </si>
  <si>
    <t>UK</t>
  </si>
  <si>
    <t>项目推荐1</t>
  </si>
  <si>
    <t>利润分析</t>
  </si>
  <si>
    <t>8合一快捷键</t>
  </si>
  <si>
    <t>成本</t>
  </si>
  <si>
    <t>物流费用</t>
  </si>
  <si>
    <t>销售环节</t>
  </si>
  <si>
    <t>利润核算</t>
  </si>
  <si>
    <t>各项费用占比</t>
  </si>
  <si>
    <t>头程价格(不带电）</t>
  </si>
  <si>
    <t>带电</t>
  </si>
  <si>
    <t>时效</t>
  </si>
  <si>
    <t>工厂链接</t>
  </si>
  <si>
    <t>产品功配</t>
  </si>
  <si>
    <t>长宽高（cm）</t>
  </si>
  <si>
    <t>体积重
【KG】</t>
  </si>
  <si>
    <t>包装重量
【KG】</t>
  </si>
  <si>
    <t>成本价
【RMB】</t>
  </si>
  <si>
    <t>成本
【外币】</t>
  </si>
  <si>
    <t>占销售比例</t>
  </si>
  <si>
    <t>汇率</t>
  </si>
  <si>
    <t>头程费用
(按重量)</t>
  </si>
  <si>
    <t>FBA
配送费</t>
  </si>
  <si>
    <t>运费合计</t>
  </si>
  <si>
    <t>佣金 (15%)</t>
  </si>
  <si>
    <t>VAT（20%）</t>
  </si>
  <si>
    <t>秒杀价</t>
  </si>
  <si>
    <t>仓储费占比</t>
  </si>
  <si>
    <t>汇损
0.5%-3%</t>
  </si>
  <si>
    <t>广告费占比</t>
  </si>
  <si>
    <t>退货率</t>
  </si>
  <si>
    <t>实际利润额</t>
  </si>
  <si>
    <t>实际利润率</t>
  </si>
  <si>
    <t>秒杀利润</t>
  </si>
  <si>
    <t>秒杀利润率</t>
  </si>
  <si>
    <t>头程费用占比</t>
  </si>
  <si>
    <t>尾程费用占比</t>
  </si>
  <si>
    <t>采购成本占比</t>
  </si>
  <si>
    <t>广告投入占比</t>
  </si>
  <si>
    <t>宁波曼华电器</t>
  </si>
  <si>
    <t>US-快递</t>
  </si>
  <si>
    <t>7天</t>
  </si>
  <si>
    <t>US-卡派</t>
  </si>
  <si>
    <t>18-23天</t>
  </si>
  <si>
    <t>US-海运</t>
  </si>
  <si>
    <t>23-27天</t>
  </si>
  <si>
    <t>项目推荐2</t>
  </si>
  <si>
    <t>工厂名称</t>
  </si>
  <si>
    <t>宁波惠智宝</t>
  </si>
  <si>
    <t>220-240V 50/60Hz 1500W 
抽拉式设计
LED触摸屏显示，8个预设程序 
无油煎炸和烤。 
煎得快，省时省力。 
蒸汽自动蒸发，使食物酥脆 
可洗碗的抽屉式油炸篮。 
热风循环加热食物。 
60分钟 
温度可调80-200℃。 
具有过热保护。 
始终保持干净整洁。 
带安全开关 
顶部触控钢化玻璃</t>
  </si>
  <si>
    <t>空气炸锅6.5L
可视窗不锈钢</t>
  </si>
  <si>
    <t>项目推荐3</t>
  </si>
  <si>
    <t>宁波灵鸣达科技</t>
  </si>
  <si>
    <t>空气炸锅6L
可视窗</t>
  </si>
  <si>
    <t>项目推荐4</t>
  </si>
  <si>
    <t>中山简一时代电器</t>
  </si>
  <si>
    <t>空气炸锅6L
可视窗不锈钢</t>
  </si>
  <si>
    <t>项目推荐5</t>
  </si>
  <si>
    <t>空气炸锅8L可视窗</t>
  </si>
  <si>
    <t>项目推荐6</t>
  </si>
  <si>
    <t>6合一快捷键</t>
  </si>
  <si>
    <r>
      <rPr>
        <u/>
        <sz val="11"/>
        <color rgb="FF0000FF"/>
        <rFont val="宋体"/>
        <charset val="0"/>
        <scheme val="minor"/>
      </rPr>
      <t>宁波灵鸣达</t>
    </r>
    <r>
      <rPr>
        <sz val="11"/>
        <color rgb="FF0000FF"/>
        <rFont val="宋体"/>
        <charset val="0"/>
        <scheme val="minor"/>
      </rPr>
      <t>电器</t>
    </r>
  </si>
  <si>
    <t>●容量:8L(带机架);
●工作时间:0-60mins
●工作温度:80 - 200°C
●油炸力360°技术，烹饪速度快、均匀，几乎不用油;
●经典的表盘控制，方便调节温度和时间;
●不粘锅和涂层架;
●PVC电源线总长度(0.9m)+VDE插头;</t>
  </si>
  <si>
    <t>项目推荐7</t>
  </si>
  <si>
    <t>10合一快捷键</t>
  </si>
  <si>
    <t>宁波泰腾智能科技有限公司</t>
  </si>
  <si>
    <t>项目推荐8</t>
  </si>
  <si>
    <t>菜单:6个选项(Max脆，空气炸锅烘烤，再加热，脱水，烘烤)*混合搭配2个独立烹饪区
温度设定:40-240摄氏度
烹饪时间:1-240分钟外壳塑料+不锈钢不粘锅底
08M电源线，VDE插头
证书:EMCILVD/RoHs/LFGB/ETL
包装:A5说明书(4页)，A5保修卡(1页)，塑料袋</t>
  </si>
  <si>
    <t>空气炸锅6L可视窗</t>
  </si>
  <si>
    <t>12合一快捷键</t>
  </si>
  <si>
    <t>宁波丁浩智能电器</t>
  </si>
  <si>
    <t>产品盈利分析模型-Amazon</t>
  </si>
  <si>
    <t>SKU:</t>
  </si>
  <si>
    <t>SKUAAA</t>
  </si>
  <si>
    <t>(补充SKU号码)</t>
  </si>
  <si>
    <t>美元汇率：</t>
  </si>
  <si>
    <t>表1.首单采购及销售信息</t>
  </si>
  <si>
    <t>表3.分月盈利预测</t>
  </si>
  <si>
    <t>采购及销售信息</t>
  </si>
  <si>
    <t>字段</t>
  </si>
  <si>
    <t>字段说明</t>
  </si>
  <si>
    <t>竞对价格</t>
  </si>
  <si>
    <t>上市第1月</t>
  </si>
  <si>
    <t>上市第2月</t>
  </si>
  <si>
    <t>上市第3月</t>
  </si>
  <si>
    <t>上市第4月</t>
  </si>
  <si>
    <t>上市第5月</t>
  </si>
  <si>
    <t>上市第6月</t>
  </si>
  <si>
    <t>上市第7月</t>
  </si>
  <si>
    <t>上市第8月</t>
  </si>
  <si>
    <t>上市第9月</t>
  </si>
  <si>
    <t>上市第10月</t>
  </si>
  <si>
    <t>上市第11月</t>
  </si>
  <si>
    <t>上市第12月</t>
  </si>
  <si>
    <t>产品预估定价（＄）：</t>
  </si>
  <si>
    <t>产品预估上市制定的价格</t>
  </si>
  <si>
    <t>23年末节日促销</t>
  </si>
  <si>
    <t>产品预估定价（¥）：</t>
  </si>
  <si>
    <t>单位采购成本（¥）：</t>
  </si>
  <si>
    <t>产品单位采购成本</t>
  </si>
  <si>
    <t>销售数量：</t>
  </si>
  <si>
    <t>预计的12个月的销售数量</t>
  </si>
  <si>
    <t>月销售数量：</t>
  </si>
  <si>
    <t>采购数量：</t>
  </si>
  <si>
    <t>首单采购数量</t>
  </si>
  <si>
    <t>月采购数量：</t>
  </si>
  <si>
    <t>月采购数量：上市当月需要补货返单的采购数量，不包含首单采购量。</t>
  </si>
  <si>
    <t>年经营额</t>
  </si>
  <si>
    <t>表2.产品盈利分析表</t>
  </si>
  <si>
    <t>盈利预测表</t>
  </si>
  <si>
    <t>费用字段解释/公式栏</t>
  </si>
  <si>
    <t>经营数据</t>
  </si>
  <si>
    <t>费用占比</t>
  </si>
  <si>
    <t>成本费用占比</t>
  </si>
  <si>
    <t>备注</t>
  </si>
  <si>
    <t>参考值</t>
  </si>
  <si>
    <t>上市Q1</t>
  </si>
  <si>
    <t>上市Q2</t>
  </si>
  <si>
    <t>上市Q3</t>
  </si>
  <si>
    <t>上市Q4</t>
  </si>
  <si>
    <t>一、营业收入A</t>
  </si>
  <si>
    <t>二、营业成本B=B1+B2</t>
  </si>
  <si>
    <t>2%-5%</t>
  </si>
  <si>
    <t>根据各品类/各产品的退款率标准</t>
  </si>
  <si>
    <r>
      <rPr>
        <b/>
        <i/>
        <sz val="12"/>
        <rFont val="宋体"/>
        <charset val="134"/>
      </rPr>
      <t>►</t>
    </r>
    <r>
      <rPr>
        <b/>
        <i/>
        <sz val="12"/>
        <rFont val="微软雅黑"/>
        <charset val="134"/>
      </rPr>
      <t>平台成本B1</t>
    </r>
  </si>
  <si>
    <t>平台服务费</t>
  </si>
  <si>
    <t>买家运费&amp;发货费</t>
  </si>
  <si>
    <t>28%-32%</t>
  </si>
  <si>
    <t>根据单品尾程派送费用来核算，单个尾程7.69usd</t>
  </si>
  <si>
    <t>促销折扣&amp;优惠券&amp;秒杀费</t>
  </si>
  <si>
    <t>6%-8%</t>
  </si>
  <si>
    <t>需考虑调拨方式不同对调拨成本的影响</t>
  </si>
  <si>
    <t>退款订单&amp;FBA赔偿</t>
  </si>
  <si>
    <t>平台广告费（SP&amp;SB&amp;SD）</t>
  </si>
  <si>
    <t>仓储费&amp;合作承运费&amp;移除费</t>
  </si>
  <si>
    <t>VAT税费</t>
  </si>
  <si>
    <t>12%-13%</t>
  </si>
  <si>
    <t>根据品类的佣金比例填列</t>
  </si>
  <si>
    <r>
      <rPr>
        <b/>
        <i/>
        <sz val="12"/>
        <rFont val="宋体"/>
        <charset val="134"/>
      </rPr>
      <t>►</t>
    </r>
    <r>
      <rPr>
        <b/>
        <i/>
        <sz val="12"/>
        <rFont val="微软雅黑"/>
        <charset val="134"/>
      </rPr>
      <t>产品成本B2</t>
    </r>
  </si>
  <si>
    <t>2%-4%</t>
  </si>
  <si>
    <t>根据预测的平台仓仓储费比例（根据经验或目标）填列</t>
  </si>
  <si>
    <t>商品采购成本</t>
  </si>
  <si>
    <t>物流头程成本</t>
  </si>
  <si>
    <t>取以星慢船5元/kg</t>
  </si>
  <si>
    <t xml:space="preserve">             毛利润（率）</t>
  </si>
  <si>
    <t xml:space="preserve">             销售费用C</t>
  </si>
  <si>
    <t>14%-15%</t>
  </si>
  <si>
    <t>填制表3根据销售的产品分月计算FBA配送费</t>
  </si>
  <si>
    <t xml:space="preserve">             销售费用</t>
  </si>
  <si>
    <r>
      <rPr>
        <i/>
        <sz val="11"/>
        <rFont val="宋体"/>
        <charset val="134"/>
      </rPr>
      <t>►</t>
    </r>
    <r>
      <rPr>
        <i/>
        <sz val="11"/>
        <rFont val="微软雅黑"/>
        <charset val="134"/>
      </rPr>
      <t>工资薪金.</t>
    </r>
  </si>
  <si>
    <t>若为自发货，则根据产品计算自发货配送费比例填列</t>
  </si>
  <si>
    <r>
      <rPr>
        <i/>
        <sz val="11"/>
        <rFont val="宋体"/>
        <charset val="134"/>
      </rPr>
      <t>►</t>
    </r>
    <r>
      <rPr>
        <i/>
        <sz val="11"/>
        <rFont val="微软雅黑"/>
        <charset val="134"/>
      </rPr>
      <t>社保公积金.</t>
    </r>
  </si>
  <si>
    <r>
      <rPr>
        <i/>
        <sz val="11"/>
        <rFont val="宋体"/>
        <charset val="134"/>
      </rPr>
      <t>►</t>
    </r>
    <r>
      <rPr>
        <i/>
        <sz val="11"/>
        <rFont val="微软雅黑"/>
        <charset val="134"/>
      </rPr>
      <t>办公费.</t>
    </r>
  </si>
  <si>
    <r>
      <rPr>
        <i/>
        <sz val="11"/>
        <rFont val="宋体"/>
        <charset val="134"/>
      </rPr>
      <t>►</t>
    </r>
    <r>
      <rPr>
        <i/>
        <sz val="11"/>
        <rFont val="微软雅黑"/>
        <charset val="134"/>
      </rPr>
      <t>服务费.</t>
    </r>
  </si>
  <si>
    <t>暂未收取该费用项</t>
  </si>
  <si>
    <r>
      <rPr>
        <i/>
        <sz val="11"/>
        <rFont val="宋体"/>
        <charset val="134"/>
      </rPr>
      <t>►</t>
    </r>
    <r>
      <rPr>
        <i/>
        <sz val="11"/>
        <rFont val="微软雅黑"/>
        <charset val="134"/>
      </rPr>
      <t>福利费.</t>
    </r>
  </si>
  <si>
    <r>
      <rPr>
        <i/>
        <sz val="11"/>
        <rFont val="宋体"/>
        <charset val="134"/>
      </rPr>
      <t>►</t>
    </r>
    <r>
      <rPr>
        <i/>
        <sz val="11"/>
        <rFont val="微软雅黑"/>
        <charset val="134"/>
      </rPr>
      <t>差旅费.</t>
    </r>
  </si>
  <si>
    <r>
      <rPr>
        <i/>
        <sz val="11"/>
        <rFont val="宋体"/>
        <charset val="134"/>
      </rPr>
      <t>►</t>
    </r>
    <r>
      <rPr>
        <i/>
        <sz val="11"/>
        <rFont val="微软雅黑"/>
        <charset val="134"/>
      </rPr>
      <t>样品费.</t>
    </r>
  </si>
  <si>
    <r>
      <rPr>
        <i/>
        <sz val="11"/>
        <rFont val="宋体"/>
        <charset val="134"/>
      </rPr>
      <t>►</t>
    </r>
    <r>
      <rPr>
        <i/>
        <sz val="11"/>
        <rFont val="微软雅黑"/>
        <charset val="134"/>
      </rPr>
      <t>折旧费.</t>
    </r>
  </si>
  <si>
    <r>
      <rPr>
        <i/>
        <sz val="11"/>
        <rFont val="宋体"/>
        <charset val="134"/>
      </rPr>
      <t>►</t>
    </r>
    <r>
      <rPr>
        <i/>
        <sz val="11"/>
        <rFont val="微软雅黑"/>
        <charset val="134"/>
      </rPr>
      <t>交通费.</t>
    </r>
  </si>
  <si>
    <t>根据推广费占比目标制定</t>
  </si>
  <si>
    <r>
      <rPr>
        <i/>
        <sz val="11"/>
        <rFont val="宋体"/>
        <charset val="134"/>
      </rPr>
      <t>►</t>
    </r>
    <r>
      <rPr>
        <i/>
        <sz val="11"/>
        <rFont val="微软雅黑"/>
        <charset val="134"/>
      </rPr>
      <t>运杂费.</t>
    </r>
  </si>
  <si>
    <r>
      <rPr>
        <i/>
        <sz val="11"/>
        <rFont val="宋体"/>
        <charset val="134"/>
      </rPr>
      <t>►</t>
    </r>
    <r>
      <rPr>
        <i/>
        <sz val="11"/>
        <rFont val="微软雅黑"/>
        <charset val="134"/>
      </rPr>
      <t>通讯费.</t>
    </r>
  </si>
  <si>
    <r>
      <rPr>
        <i/>
        <sz val="11"/>
        <rFont val="宋体"/>
        <charset val="134"/>
      </rPr>
      <t>►</t>
    </r>
    <r>
      <rPr>
        <i/>
        <sz val="11"/>
        <rFont val="微软雅黑"/>
        <charset val="134"/>
      </rPr>
      <t>培训费.</t>
    </r>
  </si>
  <si>
    <r>
      <rPr>
        <i/>
        <sz val="11"/>
        <rFont val="宋体"/>
        <charset val="134"/>
      </rPr>
      <t>►</t>
    </r>
    <r>
      <rPr>
        <i/>
        <sz val="11"/>
        <rFont val="微软雅黑"/>
        <charset val="134"/>
      </rPr>
      <t>租金物管水电费.</t>
    </r>
  </si>
  <si>
    <r>
      <rPr>
        <i/>
        <sz val="11"/>
        <rFont val="宋体"/>
        <charset val="134"/>
      </rPr>
      <t>►</t>
    </r>
    <r>
      <rPr>
        <i/>
        <sz val="11"/>
        <rFont val="微软雅黑"/>
        <charset val="134"/>
      </rPr>
      <t>测评推广费.</t>
    </r>
  </si>
  <si>
    <r>
      <rPr>
        <i/>
        <sz val="11"/>
        <rFont val="宋体"/>
        <charset val="134"/>
      </rPr>
      <t>►</t>
    </r>
    <r>
      <rPr>
        <i/>
        <sz val="11"/>
        <rFont val="微软雅黑"/>
        <charset val="134"/>
      </rPr>
      <t>印刷费.</t>
    </r>
  </si>
  <si>
    <r>
      <rPr>
        <i/>
        <sz val="11"/>
        <rFont val="宋体"/>
        <charset val="134"/>
      </rPr>
      <t>►</t>
    </r>
    <r>
      <rPr>
        <i/>
        <sz val="11"/>
        <rFont val="微软雅黑"/>
        <charset val="134"/>
      </rPr>
      <t>产品拍摄费.</t>
    </r>
  </si>
  <si>
    <r>
      <rPr>
        <i/>
        <sz val="11"/>
        <rFont val="宋体"/>
        <charset val="134"/>
      </rPr>
      <t>►</t>
    </r>
    <r>
      <rPr>
        <i/>
        <sz val="11"/>
        <rFont val="微软雅黑"/>
        <charset val="134"/>
      </rPr>
      <t>VAT税额.</t>
    </r>
  </si>
  <si>
    <t xml:space="preserve">             管理费用D</t>
  </si>
  <si>
    <t xml:space="preserve">             管理费用</t>
  </si>
  <si>
    <r>
      <rPr>
        <i/>
        <sz val="11"/>
        <rFont val="宋体"/>
        <charset val="134"/>
      </rPr>
      <t>►</t>
    </r>
    <r>
      <rPr>
        <i/>
        <sz val="11"/>
        <rFont val="微软雅黑"/>
        <charset val="134"/>
      </rPr>
      <t>工资薪金</t>
    </r>
  </si>
  <si>
    <r>
      <rPr>
        <i/>
        <sz val="11"/>
        <rFont val="宋体"/>
        <charset val="134"/>
      </rPr>
      <t>►</t>
    </r>
    <r>
      <rPr>
        <i/>
        <sz val="11"/>
        <rFont val="微软雅黑"/>
        <charset val="134"/>
      </rPr>
      <t>社保公积金</t>
    </r>
  </si>
  <si>
    <r>
      <rPr>
        <i/>
        <sz val="11"/>
        <rFont val="宋体"/>
        <charset val="134"/>
      </rPr>
      <t>►</t>
    </r>
    <r>
      <rPr>
        <i/>
        <sz val="11"/>
        <rFont val="微软雅黑"/>
        <charset val="134"/>
      </rPr>
      <t>办公费</t>
    </r>
  </si>
  <si>
    <r>
      <rPr>
        <i/>
        <sz val="11"/>
        <rFont val="宋体"/>
        <charset val="134"/>
      </rPr>
      <t>►</t>
    </r>
    <r>
      <rPr>
        <i/>
        <sz val="11"/>
        <rFont val="微软雅黑"/>
        <charset val="134"/>
      </rPr>
      <t>服务费</t>
    </r>
  </si>
  <si>
    <r>
      <rPr>
        <i/>
        <sz val="11"/>
        <rFont val="宋体"/>
        <charset val="134"/>
      </rPr>
      <t>►</t>
    </r>
    <r>
      <rPr>
        <i/>
        <sz val="11"/>
        <rFont val="微软雅黑"/>
        <charset val="134"/>
      </rPr>
      <t>福利费</t>
    </r>
  </si>
  <si>
    <r>
      <rPr>
        <i/>
        <sz val="11"/>
        <rFont val="宋体"/>
        <charset val="134"/>
      </rPr>
      <t>►</t>
    </r>
    <r>
      <rPr>
        <i/>
        <sz val="11"/>
        <rFont val="微软雅黑"/>
        <charset val="134"/>
      </rPr>
      <t>差旅费</t>
    </r>
  </si>
  <si>
    <r>
      <rPr>
        <i/>
        <sz val="11"/>
        <rFont val="宋体"/>
        <charset val="134"/>
      </rPr>
      <t>►</t>
    </r>
    <r>
      <rPr>
        <i/>
        <sz val="11"/>
        <rFont val="微软雅黑"/>
        <charset val="134"/>
      </rPr>
      <t>折旧费</t>
    </r>
  </si>
  <si>
    <r>
      <rPr>
        <i/>
        <sz val="11"/>
        <rFont val="宋体"/>
        <charset val="134"/>
      </rPr>
      <t>►</t>
    </r>
    <r>
      <rPr>
        <i/>
        <sz val="11"/>
        <rFont val="微软雅黑"/>
        <charset val="134"/>
      </rPr>
      <t>样品费</t>
    </r>
  </si>
  <si>
    <r>
      <rPr>
        <i/>
        <sz val="11"/>
        <rFont val="宋体"/>
        <charset val="134"/>
      </rPr>
      <t>►</t>
    </r>
    <r>
      <rPr>
        <i/>
        <sz val="11"/>
        <rFont val="微软雅黑"/>
        <charset val="134"/>
      </rPr>
      <t>交通费</t>
    </r>
  </si>
  <si>
    <r>
      <rPr>
        <i/>
        <sz val="11"/>
        <rFont val="宋体"/>
        <charset val="134"/>
      </rPr>
      <t>►</t>
    </r>
    <r>
      <rPr>
        <i/>
        <sz val="11"/>
        <rFont val="微软雅黑"/>
        <charset val="134"/>
      </rPr>
      <t>运杂费</t>
    </r>
  </si>
  <si>
    <r>
      <rPr>
        <i/>
        <sz val="11"/>
        <rFont val="宋体"/>
        <charset val="134"/>
      </rPr>
      <t>►</t>
    </r>
    <r>
      <rPr>
        <i/>
        <sz val="11"/>
        <rFont val="微软雅黑"/>
        <charset val="134"/>
      </rPr>
      <t>通讯费</t>
    </r>
  </si>
  <si>
    <r>
      <rPr>
        <i/>
        <sz val="11"/>
        <rFont val="宋体"/>
        <charset val="134"/>
      </rPr>
      <t>►</t>
    </r>
    <r>
      <rPr>
        <i/>
        <sz val="11"/>
        <rFont val="微软雅黑"/>
        <charset val="134"/>
      </rPr>
      <t>培训费</t>
    </r>
  </si>
  <si>
    <r>
      <rPr>
        <i/>
        <sz val="11"/>
        <rFont val="宋体"/>
        <charset val="134"/>
      </rPr>
      <t>►</t>
    </r>
    <r>
      <rPr>
        <i/>
        <sz val="11"/>
        <rFont val="微软雅黑"/>
        <charset val="134"/>
      </rPr>
      <t>业务招待费</t>
    </r>
  </si>
  <si>
    <r>
      <rPr>
        <i/>
        <sz val="11"/>
        <rFont val="宋体"/>
        <charset val="134"/>
      </rPr>
      <t>►</t>
    </r>
    <r>
      <rPr>
        <i/>
        <sz val="11"/>
        <rFont val="微软雅黑"/>
        <charset val="134"/>
      </rPr>
      <t>存货盘盈或盘亏</t>
    </r>
  </si>
  <si>
    <r>
      <rPr>
        <i/>
        <sz val="11"/>
        <rFont val="宋体"/>
        <charset val="134"/>
      </rPr>
      <t>►</t>
    </r>
    <r>
      <rPr>
        <i/>
        <sz val="11"/>
        <rFont val="微软雅黑"/>
        <charset val="134"/>
      </rPr>
      <t>租金物管水电费</t>
    </r>
  </si>
  <si>
    <r>
      <rPr>
        <i/>
        <sz val="11"/>
        <rFont val="宋体"/>
        <charset val="134"/>
      </rPr>
      <t>►</t>
    </r>
    <r>
      <rPr>
        <i/>
        <sz val="11"/>
        <rFont val="微软雅黑"/>
        <charset val="134"/>
      </rPr>
      <t>无形资产摊销</t>
    </r>
  </si>
  <si>
    <t xml:space="preserve">             财务费用E</t>
  </si>
  <si>
    <t xml:space="preserve">             财务费用</t>
  </si>
  <si>
    <r>
      <rPr>
        <i/>
        <sz val="11"/>
        <rFont val="宋体"/>
        <charset val="134"/>
      </rPr>
      <t>►</t>
    </r>
    <r>
      <rPr>
        <i/>
        <sz val="11"/>
        <rFont val="微软雅黑"/>
        <charset val="134"/>
      </rPr>
      <t>利息费用</t>
    </r>
  </si>
  <si>
    <r>
      <rPr>
        <i/>
        <sz val="11"/>
        <rFont val="宋体"/>
        <charset val="134"/>
      </rPr>
      <t>►</t>
    </r>
    <r>
      <rPr>
        <i/>
        <sz val="11"/>
        <rFont val="微软雅黑"/>
        <charset val="134"/>
      </rPr>
      <t>利息收入</t>
    </r>
  </si>
  <si>
    <r>
      <rPr>
        <i/>
        <sz val="11"/>
        <rFont val="宋体"/>
        <charset val="134"/>
      </rPr>
      <t>►</t>
    </r>
    <r>
      <rPr>
        <i/>
        <sz val="11"/>
        <rFont val="微软雅黑"/>
        <charset val="134"/>
      </rPr>
      <t>手续费</t>
    </r>
  </si>
  <si>
    <r>
      <rPr>
        <i/>
        <sz val="11"/>
        <rFont val="宋体"/>
        <charset val="134"/>
      </rPr>
      <t>►</t>
    </r>
    <r>
      <rPr>
        <i/>
        <sz val="11"/>
        <rFont val="微软雅黑"/>
        <charset val="134"/>
      </rPr>
      <t>汇兑损益</t>
    </r>
  </si>
  <si>
    <t xml:space="preserve">             资产减值损失</t>
  </si>
  <si>
    <t xml:space="preserve">      加：投资收益（损失以“-”号填列）</t>
  </si>
  <si>
    <t xml:space="preserve">             公允价值变动收益（损失以“-”号填列）</t>
  </si>
  <si>
    <t xml:space="preserve">             其他收益</t>
  </si>
  <si>
    <t>三、专项费用M</t>
  </si>
  <si>
    <t>M=M1+M2+M3</t>
  </si>
  <si>
    <t>非订单相关费用</t>
  </si>
  <si>
    <t>不适用</t>
  </si>
  <si>
    <t>根据实际情况填列，无比例关系</t>
  </si>
  <si>
    <t>十三、专项费用M</t>
  </si>
  <si>
    <t>1、开模费M1</t>
  </si>
  <si>
    <t>根据预测销售数量占比来分摊</t>
  </si>
  <si>
    <t>开模费分摊，若存在多个受益平台，按受益的预测销售数量分摊</t>
  </si>
  <si>
    <t>2、认证费M2</t>
  </si>
  <si>
    <r>
      <rPr>
        <sz val="11"/>
        <color theme="1"/>
        <rFont val="微软雅黑"/>
        <charset val="134"/>
      </rPr>
      <t>3、其他M3</t>
    </r>
    <r>
      <rPr>
        <sz val="11"/>
        <color rgb="FFFF0000"/>
        <rFont val="微软雅黑"/>
        <charset val="134"/>
      </rPr>
      <t>（可根据实际业务修改表述）</t>
    </r>
  </si>
  <si>
    <t>四、经营利润N</t>
  </si>
  <si>
    <t>N=K-L-M</t>
  </si>
  <si>
    <t>十四、经营利润N</t>
  </si>
  <si>
    <t>净利润（率）</t>
  </si>
  <si>
    <t>净利润</t>
  </si>
  <si>
    <t>净现金流</t>
  </si>
  <si>
    <t>专项净现金流（不考虑账期等暂时性差异）</t>
  </si>
  <si>
    <t>采购开单额</t>
  </si>
  <si>
    <t>总库存余额</t>
  </si>
  <si>
    <t>库销比</t>
  </si>
  <si>
    <t>滞销率（90天）</t>
  </si>
  <si>
    <t>填写滞销率目标</t>
  </si>
  <si>
    <t>滞销率（180天）</t>
  </si>
  <si>
    <t>经营利润核对</t>
  </si>
  <si>
    <t xml:space="preserve">空气炸锅8L </t>
  </si>
  <si>
    <t>供应商调查分析A（初、中、后期）</t>
  </si>
  <si>
    <t>供应商调查分析B（初、中、后期）</t>
  </si>
  <si>
    <t>供应商调查分析C（初、中、后期）</t>
  </si>
  <si>
    <t>供应商调查分析D（初、中、后期）</t>
  </si>
  <si>
    <t>前期（新项目初步询盘市调）</t>
  </si>
  <si>
    <t>考察项目</t>
  </si>
  <si>
    <t>结果输出</t>
  </si>
  <si>
    <t>价格</t>
  </si>
  <si>
    <t>按具体项目具体谈</t>
  </si>
  <si>
    <t>MOQ</t>
  </si>
  <si>
    <t>500PCS</t>
  </si>
  <si>
    <t>40HQ</t>
  </si>
  <si>
    <t>1000PCS</t>
  </si>
  <si>
    <t>交期</t>
  </si>
  <si>
    <t>45天</t>
  </si>
  <si>
    <t>包材确认后45天</t>
  </si>
  <si>
    <t>付完定金后的4-5天</t>
  </si>
  <si>
    <t>品质售后保证</t>
  </si>
  <si>
    <t>不良率3%以上赔偿配件或整机</t>
  </si>
  <si>
    <t>一年内包退换</t>
  </si>
  <si>
    <t>中期（行业聚焦）</t>
  </si>
  <si>
    <t>产品产业链所在地</t>
  </si>
  <si>
    <t>佛山顺德</t>
  </si>
  <si>
    <t xml:space="preserve">宁波 </t>
  </si>
  <si>
    <t>行业未来市场洞察方向</t>
  </si>
  <si>
    <t>/</t>
  </si>
  <si>
    <t>行业技术等级水平（所用方案、芯片优劣）</t>
  </si>
  <si>
    <t>行业技术更新速度</t>
  </si>
  <si>
    <t>半年~1年一更新</t>
  </si>
  <si>
    <t>行业工厂主营产品业务线</t>
  </si>
  <si>
    <t>空气炸锅，多士炉，台式消毒柜，烤箱</t>
  </si>
  <si>
    <t>空气炸锅，三明治机，烤肉机，空气烤箱</t>
  </si>
  <si>
    <t>行业供应链生产工艺规模</t>
  </si>
  <si>
    <t>行业上游供应链洞察</t>
  </si>
  <si>
    <t>行业下游供应链洞察</t>
  </si>
  <si>
    <t>后期（目标产品供应商风险聚焦）</t>
  </si>
  <si>
    <t>考察项</t>
  </si>
  <si>
    <t>公司名称</t>
  </si>
  <si>
    <t>公司官网</t>
  </si>
  <si>
    <t>联系人</t>
  </si>
  <si>
    <t>公司1688链接/alibaba链接</t>
  </si>
  <si>
    <t>电话</t>
  </si>
  <si>
    <t>传真</t>
  </si>
  <si>
    <t>地址</t>
  </si>
  <si>
    <t>成立时间</t>
  </si>
  <si>
    <t>注册资金</t>
  </si>
  <si>
    <t>员工数量</t>
  </si>
  <si>
    <t>工厂面积</t>
  </si>
  <si>
    <t>生产能力</t>
  </si>
  <si>
    <t>去年销售额</t>
  </si>
  <si>
    <t>销量</t>
  </si>
  <si>
    <t>去年出口额</t>
  </si>
  <si>
    <t>主出口市场</t>
  </si>
  <si>
    <t>认证</t>
  </si>
  <si>
    <t>生产设备</t>
  </si>
  <si>
    <t>预合作项目</t>
  </si>
  <si>
    <t>工厂质量管控</t>
  </si>
  <si>
    <t>出口数据</t>
  </si>
  <si>
    <t>主要出口产品</t>
  </si>
  <si>
    <t>产品名称</t>
  </si>
  <si>
    <t>规格型号</t>
  </si>
  <si>
    <t>出口量</t>
  </si>
  <si>
    <t>出口额</t>
  </si>
  <si>
    <t>出口市场</t>
  </si>
  <si>
    <t>红酒柜</t>
  </si>
  <si>
    <t>所有</t>
  </si>
  <si>
    <t>3万台</t>
  </si>
  <si>
    <t>1亿人民币</t>
  </si>
  <si>
    <t>欧洲、美国、澳大利亚</t>
  </si>
  <si>
    <t>8L</t>
  </si>
  <si>
    <t>欧洲、英国、澳大利亚等</t>
  </si>
  <si>
    <t>全欧，北美为主，澳洲，拉美，东南亚其次</t>
  </si>
  <si>
    <t>烤箱</t>
  </si>
  <si>
    <t>80万台</t>
  </si>
  <si>
    <t>3.2亿人民币</t>
  </si>
  <si>
    <t>欧洲、东南亚</t>
  </si>
  <si>
    <t>6.5L</t>
  </si>
  <si>
    <t>欧洲等地</t>
  </si>
  <si>
    <t>15L，6L,8L</t>
  </si>
  <si>
    <t>10万台</t>
  </si>
  <si>
    <t>6千万</t>
  </si>
  <si>
    <t>欧洲，东南亚</t>
  </si>
  <si>
    <t>2L-5L</t>
  </si>
  <si>
    <t>客户数据</t>
  </si>
  <si>
    <t>主要客户
规格型号</t>
  </si>
  <si>
    <t>客户名称</t>
  </si>
  <si>
    <t>贸易方式</t>
  </si>
  <si>
    <t>PANASONIC,SHARP,BLACK&amp;DECKER</t>
  </si>
  <si>
    <t>40万台</t>
  </si>
  <si>
    <t>1.4亿</t>
  </si>
  <si>
    <t>T/T，LC</t>
  </si>
  <si>
    <t>UP</t>
  </si>
  <si>
    <t>6.5L 8L</t>
  </si>
  <si>
    <t>FOB</t>
  </si>
  <si>
    <t>TEFAL</t>
  </si>
  <si>
    <t>DAEWOO</t>
  </si>
  <si>
    <t>现结</t>
  </si>
  <si>
    <t>小米</t>
  </si>
  <si>
    <t>硬件设备</t>
  </si>
  <si>
    <t>生产线/主要机器设备（列举）</t>
  </si>
  <si>
    <t>老化设备，高低温测试柜，盐雾测试仪、恒温测试仪、高压测试、震动测试机，跌落测试机</t>
  </si>
  <si>
    <t>老化设备，高低温测试柜，盐雾测试仪、恒温测试仪、高压测试、模拟汽车运输振动台、耐压电测试仪,多功能电参数测试仪,接地电阻测试仪,交流变频电源,多路温度记录仪,三合一测试仪等</t>
  </si>
  <si>
    <t xml:space="preserve">注塑机及智能配料传输系统，自动化冲压生产线和喷涂线，静电喷涂线，磷化处理线， 老化实验室室，安规实验室，化学实验室，形式实验室，可靠性实验室，EMC实验室， 噪音，气味，性能等实验室，全新智能 物流 系统
</t>
  </si>
  <si>
    <t>工艺流程</t>
  </si>
  <si>
    <t>生产工艺流程</t>
  </si>
  <si>
    <t>注塑，冲压自己生产，元器件采购，组装生产出货</t>
  </si>
  <si>
    <t>加工下机芯-夹热保护-锁弹轴-锁电机 装配散热风扇-锁NTC探头-锁风道板 发热管支架-锁发热管 主风扇-锁上机芯 出风口盖 灯泡-固定线路板，插端子 -接线， 扎扎带-加工PCB板面板-加工上壳-锁上壳 微动开关-插端子 锁底盖 -插端子 锁底盖 -锁压线码 线盒盖 贴线符号-加工锅-打包</t>
  </si>
  <si>
    <t>从电子料采购，五金加工，塑料件制作，商标丝印，组装生产、包装成品入仓，验货出货。</t>
  </si>
  <si>
    <t>账期</t>
  </si>
  <si>
    <t>售后</t>
  </si>
  <si>
    <t>一年内不良超3%部份，赔偿配件或整机</t>
  </si>
  <si>
    <t>一年保修期</t>
  </si>
  <si>
    <t>行业发展</t>
  </si>
  <si>
    <t>烤箱15年生产经验，红酒柜10年生产经验，空气烤箱炸锅5年生产经验</t>
  </si>
  <si>
    <t>专注小家电生产20余年</t>
  </si>
  <si>
    <t>专注空气炸锅10多年</t>
  </si>
  <si>
    <t>研发人数</t>
  </si>
  <si>
    <t>20人</t>
  </si>
  <si>
    <t>8人</t>
  </si>
  <si>
    <t>80人</t>
  </si>
  <si>
    <t>新品推出时间以及频率</t>
  </si>
  <si>
    <t>一年10款以上</t>
  </si>
  <si>
    <t>一年8-10款</t>
  </si>
  <si>
    <t>一年60款</t>
  </si>
  <si>
    <t>对现有的产品价格有没有优化</t>
  </si>
  <si>
    <t>合作条款</t>
  </si>
  <si>
    <t>付款方式</t>
  </si>
  <si>
    <t>定金30%，出货前付清尾款</t>
  </si>
  <si>
    <t>定金30%出货前付清尾款</t>
  </si>
  <si>
    <t>品控质检</t>
  </si>
  <si>
    <t>IQC来料检验，成品车间客户抽检；</t>
  </si>
  <si>
    <t>全检</t>
  </si>
  <si>
    <t>全检，按照AQL 标准</t>
  </si>
  <si>
    <t>认证情况</t>
  </si>
  <si>
    <t xml:space="preserve">CE  CB  GS  ETL  ROHS  FCC  LFGB </t>
  </si>
  <si>
    <t>CE  CB  GS  ETL UKCA  ROHS     ERP   FDA   LFGB REACH SAA 等</t>
  </si>
  <si>
    <t>CE  CB  GS  UL  ROHS   REACH   FDA    LFGB   等</t>
  </si>
  <si>
    <t>专利情况</t>
  </si>
  <si>
    <t>外观专利78个，实用性专利17个，发明专利6个</t>
  </si>
  <si>
    <t>支持验厂时提供</t>
  </si>
  <si>
    <t>8 发明专利
137 实用新型专利
368 外观专利</t>
  </si>
  <si>
    <t>本款产品日产能情况/月产能情况</t>
  </si>
  <si>
    <t>30000PCS/日</t>
  </si>
  <si>
    <t>6000PCS/日</t>
  </si>
  <si>
    <t>50000PCS/日</t>
  </si>
  <si>
    <t>目标产品未来出新情况（工厂迭代）</t>
  </si>
  <si>
    <t>每年都有新产品上</t>
  </si>
  <si>
    <t>后续可支持的模式（ODM/合作研发）</t>
  </si>
  <si>
    <t>支持</t>
  </si>
  <si>
    <t>可</t>
  </si>
  <si>
    <t>目标款式包销的条件</t>
  </si>
  <si>
    <t>看市场情况包销。</t>
  </si>
  <si>
    <t>单款部分国家年销售6-8万台，具体项目具体谈</t>
  </si>
  <si>
    <t>年销售20万台</t>
  </si>
  <si>
    <t>是否支持退税等等</t>
  </si>
  <si>
    <t>软硬件支持/服务器支持等等</t>
  </si>
  <si>
    <t>产品规格书</t>
  </si>
  <si>
    <t>中文名</t>
  </si>
  <si>
    <t>英文名（核心关键词）</t>
  </si>
  <si>
    <t>6L智能冰箱</t>
  </si>
  <si>
    <t>塑料+不沾陶瓷+钢化玻璃</t>
  </si>
  <si>
    <t>表面做工工艺</t>
  </si>
  <si>
    <t>金属CNC</t>
  </si>
  <si>
    <t>工作用途</t>
  </si>
  <si>
    <t>烘烤面包</t>
  </si>
  <si>
    <t>工作原理</t>
  </si>
  <si>
    <t>第一步: 是使空气通过顶部烘烤装置快速加热
第二步: 通过大功率风扇在食物篮内部急速循环的热流
第三步:食物篮内侧部特制的纹路形成旋涡热流，全方位360度接触食材表面，快速带走加热产生的水汽三大功效协同起效，从而在表面形成金黄酥脆的表层，达到煎炸的外观和口感；</t>
  </si>
  <si>
    <t>制程工艺（加工制造流程）</t>
  </si>
  <si>
    <t>HS code</t>
  </si>
  <si>
    <t>产品基本功能/主要卖点（5点描述）</t>
  </si>
  <si>
    <t>8合一预设编程程序；
0~60分钟时长设定；
80-200℃温度可调；
顶部钢护触控玻璃开关，触控更灵敏及时；
抽拉式设计保持腔内干净整洁。</t>
  </si>
  <si>
    <t>6合一预设编程程序；
0~60分钟时长设定；
80-200℃温度可调；
顶部钢护触控玻璃开关，触控更灵敏及时；
抽拉式设计保持腔内干净整洁。</t>
  </si>
  <si>
    <t>产品参数信息</t>
  </si>
  <si>
    <t>220-240V 50/60Hz 1500W 
抽拉式设计
LED触摸屏显示，8个预设程序 
无油煎炸和烤。 
煎得快，省时省力。 
蒸汽自动蒸发，使食物酥脆 
可洗碗的抽屉式油炸篮。 
热风循环加热食物。 
60分钟 
温度可调80-200℃。 
具有过热保护。 
始终保持干净整洁。 
带安全开关 
顶部触控钢化玻璃
包装内含：
1×5L空气炸锅
1×说明书
1×炸篮
1×空气炸锅食谱</t>
  </si>
  <si>
    <t>●容量:8L(带机架);
●工作时间:0-60mins
●工作温度:80 - 200°C
●油炸力360°技术，烹饪速度快、均匀，几乎不用油;
●经典的表盘控制，方便调节温度和时间;
●不粘锅和涂层架;
●PVC电源线总长度(0.9m)+VDE插头;
包装内含：
1×8L空气炸锅
1×说明书
1×炸篮
1×空气炸锅食谱</t>
  </si>
  <si>
    <t>市场竞争</t>
  </si>
  <si>
    <t>【Insight】
1）top3品牌市场份额占比68.2%，其中top1 Ninja品牌销量占比与销售额占比分别为24.29%与32.82%左右；第二大品牌cosori市场份额占比19.86%，市占比23.56%；
2）top5品牌市场份额占比布局listing数分别为9/8/4/9/3；
3）市场top10品牌垄断程度较高，达82.93%，listing前10垄断率为49.58%，listing前20垄断率为64.42%，listing前30垄断率为77.93%</t>
  </si>
  <si>
    <t>使用场景：</t>
  </si>
  <si>
    <t>目标人群：</t>
  </si>
  <si>
    <t>使用这个产品的人群所有的特点</t>
  </si>
  <si>
    <t>1）空气炸锅用户画像男性女性比例接近1:1持平，其中男性平均占比47%女性占比53%；
2）购物偏向线上视频/社交种草购物或引流购物；
3）年龄带宽分布，普遍集中在25~34岁之间，占比为25%，其次就是第二年龄象限，在35~44岁之间，占比为22%，第三年龄象限为45~54岁，占比为17%；
4）用户购买偏好前五大属性分别为：容量＞功能＞使用方式＞材质＞产品兼容性食物等</t>
  </si>
  <si>
    <t>市场细分和定位：</t>
  </si>
  <si>
    <t>基础跑量款，定价69.99usd左右</t>
  </si>
  <si>
    <t>品牌情况/专利情况</t>
  </si>
  <si>
    <t>无发明专利，目标产品有申请外观专利</t>
  </si>
  <si>
    <t>行业状况分析/产业链分析：</t>
  </si>
  <si>
    <t>产业链主要聚集在中山、佛山、宁波、慈溪等一带</t>
  </si>
  <si>
    <t>样品测试情况：</t>
  </si>
  <si>
    <t xml:space="preserve">测试结束总结问题：                                                         </t>
  </si>
  <si>
    <t xml:space="preserve">改善空间： </t>
  </si>
  <si>
    <t>最终方案：</t>
  </si>
  <si>
    <t>空气炸锅5L产品立项表</t>
  </si>
  <si>
    <t>空气炸锅8L产品立项表</t>
  </si>
  <si>
    <t>申请部门</t>
  </si>
  <si>
    <t>产品开发二部</t>
  </si>
  <si>
    <t>申  请  人</t>
  </si>
  <si>
    <t>产品类别</t>
  </si>
  <si>
    <t>OEM</t>
  </si>
  <si>
    <t>日      期</t>
  </si>
  <si>
    <t>5L空气炸锅</t>
  </si>
  <si>
    <t>销售经理/销售员</t>
  </si>
  <si>
    <t>产品经理</t>
  </si>
  <si>
    <t>预计完成日期</t>
  </si>
  <si>
    <t>8L空气炸锅双腔款</t>
  </si>
  <si>
    <r>
      <rPr>
        <b/>
        <sz val="9"/>
        <color theme="1"/>
        <rFont val="微软雅黑"/>
        <charset val="134"/>
      </rPr>
      <t>【产品定位】：</t>
    </r>
    <r>
      <rPr>
        <sz val="9"/>
        <color theme="1"/>
        <rFont val="微软雅黑"/>
        <charset val="134"/>
      </rPr>
      <t xml:space="preserve">
前期布局三款：市场定位分别为5L空气炸锅与8L空气炸锅
</t>
    </r>
    <r>
      <rPr>
        <b/>
        <sz val="9"/>
        <color theme="1"/>
        <rFont val="微软雅黑"/>
        <charset val="134"/>
      </rPr>
      <t>【产品定级】：A</t>
    </r>
    <r>
      <rPr>
        <sz val="9"/>
        <color theme="1"/>
        <rFont val="微软雅黑"/>
        <charset val="134"/>
      </rPr>
      <t xml:space="preserve">级
</t>
    </r>
    <r>
      <rPr>
        <b/>
        <sz val="9"/>
        <color theme="1"/>
        <rFont val="微软雅黑"/>
        <charset val="134"/>
      </rPr>
      <t>【价格定位】：69.99</t>
    </r>
    <r>
      <rPr>
        <sz val="9"/>
        <color theme="1"/>
        <rFont val="微软雅黑"/>
        <charset val="134"/>
      </rPr>
      <t xml:space="preserve">usd
</t>
    </r>
    <r>
      <rPr>
        <b/>
        <sz val="9"/>
        <color theme="1"/>
        <rFont val="微软雅黑"/>
        <charset val="134"/>
      </rPr>
      <t>【外观】：可视窗设计、大屏数显触控、8合一；环保安全，经过ETL认证</t>
    </r>
    <r>
      <rPr>
        <sz val="9"/>
        <color theme="1"/>
        <rFont val="微软雅黑"/>
        <charset val="134"/>
      </rPr>
      <t xml:space="preserve">
</t>
    </r>
    <r>
      <rPr>
        <b/>
        <sz val="9"/>
        <color theme="1"/>
        <rFont val="微软雅黑"/>
        <charset val="134"/>
      </rPr>
      <t>【用途】：烘烤食物</t>
    </r>
    <r>
      <rPr>
        <sz val="9"/>
        <color theme="1"/>
        <rFont val="微软雅黑"/>
        <charset val="134"/>
      </rPr>
      <t xml:space="preserve">
</t>
    </r>
    <r>
      <rPr>
        <b/>
        <sz val="9"/>
        <color theme="1"/>
        <rFont val="微软雅黑"/>
        <charset val="134"/>
      </rPr>
      <t>【好评集中】：烘烤效果好，功能多元化，易于清洁，便于使用等</t>
    </r>
    <r>
      <rPr>
        <sz val="9"/>
        <color theme="1"/>
        <rFont val="微软雅黑"/>
        <charset val="134"/>
      </rPr>
      <t xml:space="preserve">
【</t>
    </r>
    <r>
      <rPr>
        <b/>
        <sz val="9"/>
        <color theme="1"/>
        <rFont val="微软雅黑"/>
        <charset val="134"/>
      </rPr>
      <t>差评集中】：火灾隐患、塑料味浓重、手柄断裂、漏油状况、售后无保障</t>
    </r>
  </si>
  <si>
    <r>
      <rPr>
        <b/>
        <sz val="9"/>
        <color theme="1"/>
        <rFont val="微软雅黑"/>
        <charset val="134"/>
      </rPr>
      <t>【产品定位】：</t>
    </r>
    <r>
      <rPr>
        <sz val="9"/>
        <color theme="1"/>
        <rFont val="微软雅黑"/>
        <charset val="134"/>
      </rPr>
      <t xml:space="preserve">
前期布局三款：市场定位分别为5L空气炸锅与8L空气炸锅
</t>
    </r>
    <r>
      <rPr>
        <b/>
        <sz val="9"/>
        <color theme="1"/>
        <rFont val="微软雅黑"/>
        <charset val="134"/>
      </rPr>
      <t>【产品定级】：B</t>
    </r>
    <r>
      <rPr>
        <sz val="9"/>
        <color theme="1"/>
        <rFont val="微软雅黑"/>
        <charset val="134"/>
      </rPr>
      <t xml:space="preserve">级
</t>
    </r>
    <r>
      <rPr>
        <b/>
        <sz val="9"/>
        <color theme="1"/>
        <rFont val="微软雅黑"/>
        <charset val="134"/>
      </rPr>
      <t>【价格定位】：129.99</t>
    </r>
    <r>
      <rPr>
        <sz val="9"/>
        <color theme="1"/>
        <rFont val="微软雅黑"/>
        <charset val="134"/>
      </rPr>
      <t xml:space="preserve">usd
</t>
    </r>
    <r>
      <rPr>
        <b/>
        <sz val="9"/>
        <color theme="1"/>
        <rFont val="微软雅黑"/>
        <charset val="134"/>
      </rPr>
      <t>【外观】：可视窗设计、大屏数显触控、6合一；环保安全，经过ETL认证</t>
    </r>
    <r>
      <rPr>
        <sz val="9"/>
        <color theme="1"/>
        <rFont val="微软雅黑"/>
        <charset val="134"/>
      </rPr>
      <t xml:space="preserve">
</t>
    </r>
    <r>
      <rPr>
        <b/>
        <sz val="9"/>
        <color theme="1"/>
        <rFont val="微软雅黑"/>
        <charset val="134"/>
      </rPr>
      <t>【用途】：烘烤食物</t>
    </r>
    <r>
      <rPr>
        <sz val="9"/>
        <color theme="1"/>
        <rFont val="微软雅黑"/>
        <charset val="134"/>
      </rPr>
      <t xml:space="preserve">
</t>
    </r>
    <r>
      <rPr>
        <b/>
        <sz val="9"/>
        <color theme="1"/>
        <rFont val="微软雅黑"/>
        <charset val="134"/>
      </rPr>
      <t>【好评集中】：烘烤效果好，功能多元化，易于清洁，便于使用等</t>
    </r>
    <r>
      <rPr>
        <sz val="9"/>
        <color theme="1"/>
        <rFont val="微软雅黑"/>
        <charset val="134"/>
      </rPr>
      <t xml:space="preserve">
【</t>
    </r>
    <r>
      <rPr>
        <b/>
        <sz val="9"/>
        <color theme="1"/>
        <rFont val="微软雅黑"/>
        <charset val="134"/>
      </rPr>
      <t>差评集中】：火灾隐患、塑料味浓重、手柄断裂、漏油状况、售后无保障</t>
    </r>
  </si>
  <si>
    <t>评估项目与要点</t>
  </si>
  <si>
    <t>项目</t>
  </si>
  <si>
    <t>描述</t>
  </si>
  <si>
    <t>可行性</t>
  </si>
  <si>
    <t>市场容量</t>
  </si>
  <si>
    <t>空气炸锅月销量306466pcs，月GMV可达$34949298.31</t>
  </si>
  <si>
    <t>发展趋势</t>
  </si>
  <si>
    <t>1）空气炸锅从20年12月份开始，热度较20年初及19年之前，扩大2倍以上，20年12月份之后，稳定市容在20W以上至今，其中20年12月与22年11月出发两次市容峰值，市容峰值分别为512082pcs、501381pcs；
2）自20年1月份之后，整体体量持续领先于往年18/19年速度，20年增长加速，22年/23年增长回落；
3）22年较21年合计稳定增长-5.11%，其中22年上半年较21年持续负增长，这与疫情局势有关，俄乌战争影响、美国持续7次加息整层等；22年下半年较21年持续正增长，下半年月平均复合增长率42.90%；
4）平均卖家数在18年达到历史峰值，达65家，21年22年稍有回落，其中22年萎缩量较5年前18年达40~45%左右；
5）平均品牌数在18年迎来空前高涨，峰值品牌在18年11月出现，达65个，，近一年品牌数量回落至40左右；</t>
  </si>
  <si>
    <t>市场集中度</t>
  </si>
  <si>
    <t>21年全年Amazon自营销售额占比是三方销售额的2.5倍以上，22年开始，三方销售额自同比21年上半年出现萎缩即出现负增长，负增长比例平均达25%以上；Amazon自营销售额同比21年1~9月份出现正增长，22年末Q4季度出现负增长，负增长比例达30%以上。综合来看，三方销售额22年较21年有所提升，自营销售额22年较21年有所下滑（这给新品卖家一定入驻的机会），三方销售额与自营销售额在出现峰值的时间分别为23年1月与21年12月，峰值月GMV分别为$15233240.23、$47559315.53；</t>
  </si>
  <si>
    <t>竞争强度</t>
  </si>
  <si>
    <t>1）top3品牌市场份额占比68.2%，其中top1 Ninja品牌销量占比与销售额占比分别为24.29%与32.82%左右；第二大品牌cosori市场份额占比19.86%，市占比23.56%；
2）top5品牌市场份额占比布局listing数分别为9/8/4/9/3；
3）市场top10品牌垄断程度较高，达82.93%，listing前10垄断率为49.58%，listing前20垄断率为64.42%，listing前30垄断率为77.93%</t>
  </si>
  <si>
    <t>主要竞争者</t>
  </si>
  <si>
    <t>名称</t>
  </si>
  <si>
    <t>当前售价</t>
  </si>
  <si>
    <t>一级类目排名</t>
  </si>
  <si>
    <t>Review数/星级</t>
  </si>
  <si>
    <t>日均销量</t>
  </si>
  <si>
    <t>月均销量</t>
  </si>
  <si>
    <t>月均销售额</t>
  </si>
  <si>
    <t>有无变体</t>
  </si>
  <si>
    <t>主打属性</t>
  </si>
  <si>
    <t>空气炸锅5L</t>
  </si>
  <si>
    <t>空气炸锅8L</t>
  </si>
  <si>
    <t>产品端建议初期推广策略</t>
  </si>
  <si>
    <r>
      <rPr>
        <sz val="9"/>
        <color rgb="FF000000"/>
        <rFont val="微软雅黑"/>
        <charset val="134"/>
      </rPr>
      <t>前期建议以vine计划累评（搭配变体菜单食谱或者硅胶烤盘等）；0-1个月根据自然单表现优化站内广告；1-3个月报站内/站外DEAL拉升排名；3-6个月维护评价控评守坑，产品稳定后需频繁走pdd或7dd</t>
    </r>
    <r>
      <rPr>
        <b/>
        <sz val="9"/>
        <color rgb="FF000000"/>
        <rFont val="微软雅黑"/>
        <charset val="134"/>
      </rPr>
      <t>（最终以运营端营销计划表为准）</t>
    </r>
  </si>
  <si>
    <t>价格策略（定价策略）</t>
  </si>
  <si>
    <t>按照同配置竞对最低价 最高价 日常销售价格灵活调控上架时期不同时间段的价格呈现</t>
  </si>
  <si>
    <t>按照同配置竞对最低价 最高价 日常销售价格灵活调控上架示时期不同时间段的价格呈现</t>
  </si>
  <si>
    <t>资金预算</t>
  </si>
  <si>
    <t>项目首单预计单规格1K，采购成本预计127000元</t>
  </si>
  <si>
    <t>项目首单预计1k，采购成本预计15W</t>
  </si>
  <si>
    <t>预计收益分析</t>
  </si>
  <si>
    <t>单品利润测算均27%单品毛利率，预计年度平均广告预算8%，年度净ROI为1：1.10（非毛利，这里已扣除房租水电，人工公摊，社保等）</t>
  </si>
  <si>
    <t>单品利润测算均有25.49%单品毛利率，预计年度平均广告预算8%，年度净ROI为1：1.08（非毛利，这里已扣除房租水电，人工公摊，社保等）</t>
  </si>
  <si>
    <t>专利风险</t>
  </si>
  <si>
    <t>无专利风险，工厂私模，认证专利齐全</t>
  </si>
  <si>
    <t>无专利风险，均为工厂私模，具备欧盟&amp;美国专利认证</t>
  </si>
  <si>
    <t>认证相关</t>
  </si>
  <si>
    <t>CE  Fcc ETL</t>
  </si>
  <si>
    <t>其      他</t>
  </si>
  <si>
    <t>产品经理意见</t>
  </si>
  <si>
    <t xml:space="preserve">                     同意/驳回</t>
  </si>
  <si>
    <t>意见与签名：</t>
  </si>
  <si>
    <t>运营负责人意见</t>
  </si>
  <si>
    <t>意见与签名</t>
  </si>
  <si>
    <t>供应链负责人意见</t>
  </si>
  <si>
    <t>品质负责人意见</t>
  </si>
  <si>
    <t>设计负责人意见</t>
  </si>
  <si>
    <t>财务负责人意见</t>
  </si>
  <si>
    <t>物流负责人意见</t>
  </si>
  <si>
    <t>CEO意见</t>
  </si>
  <si>
    <t>产品定位</t>
  </si>
  <si>
    <t>优先级</t>
  </si>
  <si>
    <t>开发模式</t>
  </si>
  <si>
    <t>3月</t>
  </si>
  <si>
    <t>4月</t>
  </si>
  <si>
    <t>5月</t>
  </si>
  <si>
    <t>6月</t>
  </si>
  <si>
    <t>7月</t>
  </si>
  <si>
    <t>8月</t>
  </si>
  <si>
    <t>9月</t>
  </si>
  <si>
    <t>10月</t>
  </si>
  <si>
    <t>11月</t>
  </si>
  <si>
    <t>12月</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</si>
  <si>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</si>
  <si>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</si>
  <si>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</si>
  <si>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</si>
  <si>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</si>
  <si>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</si>
  <si>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</si>
  <si>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</si>
  <si>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</si>
  <si>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</si>
  <si>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</si>
  <si>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</si>
  <si>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</si>
  <si>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</si>
  <si>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</si>
  <si>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</si>
  <si>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</si>
  <si>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</si>
  <si>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</si>
  <si>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</si>
  <si>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</si>
  <si>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</si>
  <si>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</si>
  <si>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</si>
  <si>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</si>
  <si>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</si>
  <si>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</si>
  <si>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</si>
  <si>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</si>
  <si>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</si>
  <si>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</si>
  <si>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</si>
  <si>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</si>
  <si>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</si>
  <si>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</si>
  <si>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</si>
  <si>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</si>
  <si>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</si>
  <si>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</si>
  <si>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</si>
  <si>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基础</t>
  </si>
  <si>
    <t>P0</t>
  </si>
  <si>
    <t>选品</t>
  </si>
  <si>
    <t>前期准备</t>
  </si>
  <si>
    <t>调研</t>
  </si>
  <si>
    <t>立项</t>
  </si>
  <si>
    <t>打样</t>
  </si>
  <si>
    <t>测试</t>
  </si>
  <si>
    <t>封样</t>
  </si>
  <si>
    <t>下单</t>
  </si>
  <si>
    <t>产前样封样</t>
  </si>
  <si>
    <t>交付</t>
  </si>
  <si>
    <t>出货</t>
  </si>
  <si>
    <t>到货/入仓</t>
  </si>
  <si>
    <t>上架</t>
  </si>
  <si>
    <t>中端溢价</t>
  </si>
  <si>
    <t>外观专利简述：智慧芽检索暂未发现目标款式同ID相撞情况，外观差异度50%以上</t>
  </si>
  <si>
    <t>发明专利简述：智慧芽检索暂未发现目标款式与目前现有已公开的发明专利同样技术层面的状况，发明专利侵权的概率性较小。不会触犯已公开的发明专利。</t>
  </si>
  <si>
    <t>供电类型</t>
  </si>
  <si>
    <t>B01G7IL3BS</t>
  </si>
  <si>
    <t>B07L1MWB74</t>
  </si>
  <si>
    <t>Color: White</t>
  </si>
  <si>
    <t>https://www.amazon.com/dp/B01G7IL3BS?psc=1</t>
  </si>
  <si>
    <t>https://m.media-amazon.com/images/I/31vl3dU0i5L._AC_US600_.jpg</t>
  </si>
  <si>
    <t>Cooluli</t>
  </si>
  <si>
    <t>Cooluli Skincare Mini Fridge for Bedroom - Car, Office Desk &amp; Dorm Room - Portable 4L/6 Can Electric Plug In Cooler &amp; Warmer for Food, Drinks, Beauty &amp; Makeup - 12v AC/DC &amp; Exclusive USB Option, White</t>
  </si>
  <si>
    <t>适用于卧室的 Cooluli Skincare 迷你冰箱 - 汽车、办公桌和宿舍 - 便携式 4 升/6 罐电冰箱和加热器，适用于食物、饮料、美容和化妆品 - 12 伏交流/直流和专用 USB 选项，白色</t>
  </si>
  <si>
    <t>Home &amp; Kitchen:Kitchen &amp; Dining:Small Appliances:Compact Refrigerators</t>
  </si>
  <si>
    <t>Compact Refrigerators</t>
  </si>
  <si>
    <t>4L</t>
  </si>
  <si>
    <t>AC/DC</t>
  </si>
  <si>
    <t>2016-06-29</t>
  </si>
  <si>
    <t>4.18 pounds</t>
  </si>
  <si>
    <t>10.2 x 7.7 x 10.5 inches</t>
  </si>
  <si>
    <t>B08NQ5CPPG</t>
  </si>
  <si>
    <t>B09YSM87GS</t>
  </si>
  <si>
    <t>Color: PINK | Style: Refrigerator</t>
  </si>
  <si>
    <t>https://www.amazon.com/dp/B08NQ5CPPG?psc=1</t>
  </si>
  <si>
    <t>https://images-na.ssl-images-amazon.com/images/I/31wYF43uHtL._AC_US600_.jpg</t>
  </si>
  <si>
    <t>Frigidaire EFMIS175-PINK Portable Mini Fridge-Retro Extra Large 9-Can Travel Compact Refrigerator, Pink</t>
  </si>
  <si>
    <t>Frigidaire EFMIS175-PINK 便携式迷你冰箱-复古超大 9 罐旅行紧凑型冰箱，粉色</t>
  </si>
  <si>
    <t>6L</t>
  </si>
  <si>
    <t>2020-11-17</t>
  </si>
  <si>
    <t>2.89 ounces</t>
  </si>
  <si>
    <t>11.81 x 7.08 x 10.4 inches</t>
  </si>
  <si>
    <t>B07KZLJ7PB</t>
  </si>
  <si>
    <t>B09YZ31HFJ</t>
  </si>
  <si>
    <t>Color: RED | Style: Cooler</t>
  </si>
  <si>
    <t>https://www.amazon.com/dp/B07KZLJ7PB?psc=1</t>
  </si>
  <si>
    <t>https://images-na.ssl-images-amazon.com/images/I/41tMsAM-k9L._AC_US600_.jpg</t>
  </si>
  <si>
    <t>Frigidaire EFMIS129-RED Mini Portable Compact Personal Fridge Cooler, 6 Cans</t>
  </si>
  <si>
    <t>Frigidaire EFMIS129-RED 迷你便携式紧凑型个人冰箱冷藏箱，6 罐</t>
  </si>
  <si>
    <t>Industrial &amp; Scientific</t>
  </si>
  <si>
    <t>Commercial Refrigeration Equipment
Beverage Refrigerators
Compact Refrigerators</t>
  </si>
  <si>
    <t>1
1
3</t>
  </si>
  <si>
    <t>2018-11-29</t>
  </si>
  <si>
    <t>10 x 7 x 10 inches</t>
  </si>
  <si>
    <t>B076X7HF7F</t>
  </si>
  <si>
    <t>B0BN5DVHM5</t>
  </si>
  <si>
    <t>Color: Black | Style: Portable Mini Fridge</t>
  </si>
  <si>
    <t>https://www.amazon.com/dp/B076X7HF7F?psc=1</t>
  </si>
  <si>
    <t>https://images-na.ssl-images-amazon.com/images/I/31zvudif4zL._AC_US600_.jpg</t>
  </si>
  <si>
    <t>Chefman Mini Portable Black Personal Fridge Cools Or Heats and Provides Compact Storage For Skincare, Snacks, Or 6 12oz Cans W/A Lightweight 4-liter Capacity To Take On The Go</t>
  </si>
  <si>
    <t>Chefman 迷你便携式黑色个人冰箱可冷却或加热，并提供紧凑的存储空间，可存放护肤品、零食或 6 罐 12 盎司带轻质 4 升容量，可随身携带</t>
  </si>
  <si>
    <t>2017-10-27</t>
  </si>
  <si>
    <t>4.4 pounds</t>
  </si>
  <si>
    <t>7 x 9.13 x 10 inches</t>
  </si>
  <si>
    <t>B07S2RBCT5</t>
  </si>
  <si>
    <t>B08PF5SJHS</t>
  </si>
  <si>
    <t>https://www.amazon.com/dp/B07S2RBCT5?psc=1</t>
  </si>
  <si>
    <t>https://images-na.ssl-images-amazon.com/images/I/31X8FFcg9aL._AC_US600_.jpg</t>
  </si>
  <si>
    <t>AstroAI</t>
  </si>
  <si>
    <t>AstroAI Mini Fridge, 4 Liter/6 Can AC/DC Portable Thermoelectric Cooler and Warmer Refrigerators for Christmas Gift, Skincare, Beverage, Home, Office and Car, ETL Listed (White</t>
  </si>
  <si>
    <t>AstroAI 迷你冰箱，4 升/6 罐 AC/DC 便携式热电冷藏箱和保温箱，适用于圣诞礼物、护肤品、饮料、家庭、办公室和汽车，ETL 认证（白色</t>
  </si>
  <si>
    <t>Beverage Refrigerators
Compact Refrigerators</t>
  </si>
  <si>
    <t>2
5</t>
  </si>
  <si>
    <t>2019-07-23</t>
  </si>
  <si>
    <t>AstroAI Corporation</t>
  </si>
  <si>
    <t xml:space="preserve">公司名称：ASTROAI CORPORATION
电话号码：+1 877 278 7624
办公地址：
7423 Doig Dr
Garden Grove
CA
92841
US
</t>
  </si>
  <si>
    <t>4.53 pounds</t>
  </si>
  <si>
    <t>9.65 x 7.28 x 10.63 inches</t>
  </si>
  <si>
    <t>B07Y8TM6SW</t>
  </si>
  <si>
    <t>B07Y8SYYB2</t>
  </si>
  <si>
    <t>Size: 10 Liter | Color: Black</t>
  </si>
  <si>
    <t>https://www.amazon.com/dp/B07Y8TM6SW?psc=1</t>
  </si>
  <si>
    <t>https://images-na.ssl-images-amazon.com/images/I/31DVc5msIiL._AC_US600_.jpg</t>
  </si>
  <si>
    <t>Cooluli 10L Mini Fridge for Bedroom - Car, Office Desk &amp; College Dorm Room - 12v Portable Cooler &amp; Warmer for Food, Drinks, Skincare, Beauty &amp; Makeup - AC/DC Small Refrigerator with Glass Front, Black</t>
  </si>
  <si>
    <t>Cooluli 10 升迷你冰箱，适用于卧室 - 汽车、办公桌和大学宿舍 - 12 伏便携式冷藏和取暖器，适用于食品、饮料、护肤品、美容和化妆品 - AC/DC 小型冰箱，带玻璃面板，黑色</t>
  </si>
  <si>
    <t>10L</t>
  </si>
  <si>
    <t>75~80usd</t>
  </si>
  <si>
    <t>7.9 pounds</t>
  </si>
  <si>
    <t>11.4 x 10 x 13.4 inches</t>
  </si>
  <si>
    <t>B087Z2MLN2</t>
  </si>
  <si>
    <t>B0999QTXXT</t>
  </si>
  <si>
    <t>https://www.amazon.com/dp/B087Z2MLN2?psc=1</t>
  </si>
  <si>
    <t>https://images-na.ssl-images-amazon.com/images/I/31GxgiNY49S._AC_US600_.jpg</t>
  </si>
  <si>
    <t>CROWNFUL Mini Fridge, 4 Liter/6 Can Portable Cooler and Warmer Personal Refrigerator for Skin Care, Cosmetics, Beverage, Food,Great for Bedroom, Office, Car, Dorm, ETL Listed (White)</t>
  </si>
  <si>
    <t>CROWNFUL 迷你冰箱，4 升/6 罐便携式冷藏和保温个人冰箱，适用于护肤、化妆品、饮料、食品，非常适合卧室、办公室、汽车、宿舍，ETL 认证（白色）</t>
  </si>
  <si>
    <t>2
3
7</t>
  </si>
  <si>
    <t>2020-05-01</t>
  </si>
  <si>
    <t xml:space="preserve">公司名称：Nekteck, Inc.
办公地址：
556 Vanguard Way D
Brea
CA
92821
US
</t>
  </si>
  <si>
    <t>4.64 pounds</t>
  </si>
  <si>
    <t>7.48 x 9.85 x 10.83 inches</t>
  </si>
  <si>
    <t>B0B4CJD575</t>
  </si>
  <si>
    <t>B0BJ5HVND4</t>
  </si>
  <si>
    <t>Color: Glass</t>
  </si>
  <si>
    <t>https://www.amazon.com/dp/B0B4CJD575?psc=1</t>
  </si>
  <si>
    <t>https://images-na.ssl-images-amazon.com/images/I/41cQkNo5a+L._AC_US600_.jpg</t>
  </si>
  <si>
    <t>Frigidaire Portable 9-Can Mini Cooler Fridge Brushed Stainless Rugged, Window, EFMIS189-SS, Clear Door, Glass</t>
  </si>
  <si>
    <t>Frigidaire 便携式 9 罐迷你冷却器冰箱拉丝不锈钢坚固耐用，带窗，EFMIS189-SS，透明门，玻璃</t>
  </si>
  <si>
    <t>8</t>
  </si>
  <si>
    <t>不锈钢+玻璃</t>
  </si>
  <si>
    <t>2022-06-16</t>
  </si>
  <si>
    <t>4 pounds</t>
  </si>
  <si>
    <t>11 x 15 x 16 inches</t>
  </si>
  <si>
    <t>B0BBZFPQRL</t>
  </si>
  <si>
    <t>B0BHZ6F83C</t>
  </si>
  <si>
    <t>Style: WRE110</t>
  </si>
  <si>
    <t>https://www.amazon.com/dp/B0BBZFPQRL?psc=1</t>
  </si>
  <si>
    <t>https://images-na.ssl-images-amazon.com/images/I/41uP68XaHdL._AC_US600_.jpg</t>
  </si>
  <si>
    <t>Ecowell</t>
  </si>
  <si>
    <t>Ecowell WRE110 Mini Bedroom, 4L/6 Can Skincare Fridge with LED Mirror, AC/DC 12V Small Refrigerator for Skin Care Cosmetic Makeup Beauty Office Dorm Desk, White</t>
  </si>
  <si>
    <t>Ecowell WRE110 迷你卧室，4 升/6 罐带 LED 镜子的护肤冰箱，AC/DC 12V 小冰箱，用于护肤化妆品美容办公室宿舍桌，白色</t>
  </si>
  <si>
    <t>塑料+玻璃</t>
  </si>
  <si>
    <t>2022-08-26</t>
  </si>
  <si>
    <t>9.7 x 9.6 x 6.9 inches</t>
  </si>
  <si>
    <t>B07LDWLNVF</t>
  </si>
  <si>
    <t>B084HQGTZL</t>
  </si>
  <si>
    <t>Pattern Name: Fridge | Color: BLACK | Style: Single Door</t>
  </si>
  <si>
    <t>https://www.amazon.com/dp/B07LDWLNVF?psc=1</t>
  </si>
  <si>
    <t>https://m.media-amazon.com/images/I/31PEAf-CcSL._AC_SR600,600_.jpg</t>
  </si>
  <si>
    <t>FRIGIDAIRE EFR376-BLACK 3.1 Cu Ft Black Retro Bar Fridge with Side Bottle Opener</t>
  </si>
  <si>
    <t>FRIGIDAIRE EFR376-BLACK 3.1 立方英尺黑色复古酒吧冰箱带侧开瓶器</t>
  </si>
  <si>
    <t>12L</t>
  </si>
  <si>
    <t>金属+塑料</t>
  </si>
  <si>
    <t>160~180usd</t>
  </si>
  <si>
    <t>2019-03-24</t>
  </si>
  <si>
    <t>43.6 pounds</t>
  </si>
  <si>
    <t>16.5 x 19 x 31 inches</t>
  </si>
  <si>
    <t>B01MRUXFJT</t>
  </si>
  <si>
    <t>B0921YDP9F</t>
  </si>
  <si>
    <t>Pattern Name: Refrigerator | Color: Black</t>
  </si>
  <si>
    <t>https://www.amazon.com/dp/B01MRUXFJT?psc=1</t>
  </si>
  <si>
    <t>https://m.media-amazon.com/images/I/411-G+Av1-L._AC_SR600,600_.jpg</t>
  </si>
  <si>
    <t>RCA</t>
  </si>
  <si>
    <t>RCA Mini Retro 6 Can Beverage Refrigerator-Black, RMIS129-BLACK</t>
  </si>
  <si>
    <t>RCA Mini Retro 6 罐饮料冰箱-黑色, RMIS129-黑色</t>
  </si>
  <si>
    <t>2016-12-07</t>
  </si>
  <si>
    <t>4.51 pounds</t>
  </si>
  <si>
    <t>10.35 x 7.09 x 9.84 inches</t>
  </si>
  <si>
    <t>B08BFKSVRG</t>
  </si>
  <si>
    <t>B0B3LW9H9C</t>
  </si>
  <si>
    <t>Color: BLUE</t>
  </si>
  <si>
    <t>https://www.amazon.com/dp/B08BFKSVRG?psc=1</t>
  </si>
  <si>
    <t>https://m.media-amazon.com/images/I/31anMONExKS._AC_SR600,600_.jpg</t>
  </si>
  <si>
    <t>CURTIS</t>
  </si>
  <si>
    <t>CURTIS Pepsi 6-can Mini Fridge, BLUE</t>
  </si>
  <si>
    <t>CURTIS 百事可乐 6 罐迷你冰箱，蓝色</t>
  </si>
  <si>
    <t>2020-06-18</t>
  </si>
  <si>
    <t>3.8 pounds</t>
  </si>
  <si>
    <t>10 x 7 x 8 inches</t>
  </si>
  <si>
    <t>B00MVVI1FC</t>
  </si>
  <si>
    <t>B0B832ZHTF</t>
  </si>
  <si>
    <t>Size: 1.6 Cubic Feet | Pattern Name: Refrigerator | Color: Black</t>
  </si>
  <si>
    <t>https://www.amazon.com/dp/B00MVVI1FC?psc=1</t>
  </si>
  <si>
    <t>https://images-na.ssl-images-amazon.com/images/I/21xyPR63J1L._AC_US600_.jpg</t>
  </si>
  <si>
    <t>Midea</t>
  </si>
  <si>
    <t>Midea WHS-65LB1 Compact Single Reversible Door Refrigerator, 1.6 Cubic Feet(0.045 Cubic Meter), Black</t>
  </si>
  <si>
    <t>Midea WHS-65LB1 紧凑型单开门冰箱，1.6 立方英尺（0.045 立方米），黑色</t>
  </si>
  <si>
    <t>45L</t>
  </si>
  <si>
    <t>120~140usd</t>
  </si>
  <si>
    <t>2014-08-20</t>
  </si>
  <si>
    <t>30 pounds</t>
  </si>
  <si>
    <t>17.72 x 18.58 x 18.19 inches</t>
  </si>
  <si>
    <t>B08F2X9FBQ</t>
  </si>
  <si>
    <t>B08GB47RXW</t>
  </si>
  <si>
    <t>https://www.amazon.com/dp/B08F2X9FBQ?psc=1</t>
  </si>
  <si>
    <t>https://images-na.ssl-images-amazon.com/images/I/31r6T79Gn5L._AC_US600_.jpg</t>
  </si>
  <si>
    <t>Frigidaire Mini Portable Compact Personal Fridge Cooler, 4 Liter Capacity Chills Six 12 oz Cans, 100% Freon-Free &amp; Eco Friendly, Includes Plugs for Home Outlet &amp; 12V Car Charger - White</t>
  </si>
  <si>
    <t>Frigidaire Mini 便携式紧凑型个人冰箱冷却器，4 升容量冷藏六罐 12 盎司，100% 不含氟利昂且环保，包括家用插座插头和 12V 车载充电器 - 白色</t>
  </si>
  <si>
    <t>2018-11-05</t>
  </si>
  <si>
    <t>10 x 7 x 10.5 inches</t>
  </si>
  <si>
    <t>B0B2KYL4MB</t>
  </si>
  <si>
    <t>B0BQRQS3QF</t>
  </si>
  <si>
    <t>Size: Mini | Color: Pink</t>
  </si>
  <si>
    <t>https://www.amazon.com/dp/B0B2KYL4MB?psc=1</t>
  </si>
  <si>
    <t>https://images-na.ssl-images-amazon.com/images/I/31rUnR+wYyL._AC_US600_.jpg</t>
  </si>
  <si>
    <t>Paris Hilton</t>
  </si>
  <si>
    <t>Paris Hilton Mini Refrigerator, Pink</t>
  </si>
  <si>
    <t>Paris Hilton 迷你冰箱，粉色</t>
  </si>
  <si>
    <t>美妆款</t>
  </si>
  <si>
    <t>2022-10-20</t>
  </si>
  <si>
    <t>5.39 pounds</t>
  </si>
  <si>
    <t>12 x 12 x 9 inches</t>
  </si>
  <si>
    <t>B08X6SLGXK</t>
  </si>
  <si>
    <t>B09227GNK4</t>
  </si>
  <si>
    <t>Pattern Name: Cooler | Color: Yellow</t>
  </si>
  <si>
    <t>https://www.amazon.com/dp/B08X6SLGXK?psc=1</t>
  </si>
  <si>
    <t>https://images-na.ssl-images-amazon.com/images/I/41Mbkz41tsL._AC_US600_.jpg</t>
  </si>
  <si>
    <t>Frigidaire EFMIS151 Mini Portable Compact Personal Home Office Fridge Cooler BUILT IN SPEAKER, 4L Capacity, Chills Six 12 oz Cans, 100% Freon-Free &amp; Eco Friendly, Includes Bonus Car Charger</t>
  </si>
  <si>
    <t>Frigidaire EFMIS151 迷你便携式紧凑型个人家庭办公室冰箱冷却器内置扬声器，4 升容量，冷藏六罐 12 盎司，100% 不含氟利昂且环保，包括附赠的车载充电器</t>
  </si>
  <si>
    <t>2021-02-22</t>
  </si>
  <si>
    <t>8 x 10 x 8 inches</t>
  </si>
  <si>
    <t>B089PYWXSC</t>
  </si>
  <si>
    <t>B0BFQML4YX</t>
  </si>
  <si>
    <t>Color: Green | Style: Temperature Control</t>
  </si>
  <si>
    <t>https://www.amazon.com/dp/B089PYWXSC?psc=1</t>
  </si>
  <si>
    <t>https://images-na.ssl-images-amazon.com/images/I/41XxivVYOuL._AC_US600_.jpg</t>
  </si>
  <si>
    <t>AstroAI Mini Fridge 6 Liter/8 Can Skincare Fridge for Bedroom - with Upgraded Temperature Control Panel - AC/12V DC Thermoelectric Portable Cooler and Warmer for Skin Care, Foods (Green)</t>
  </si>
  <si>
    <t>AstroAI Mini Fridge 6 升/8 罐卧室护肤品冰箱 - 带升级温度控制面板 - AC/12V DC 热电便携式皮肤护理、食品冷藏箱和保温箱（绿色）</t>
  </si>
  <si>
    <t>5
17</t>
  </si>
  <si>
    <t>2020-08-31</t>
  </si>
  <si>
    <t>6.72 pounds</t>
  </si>
  <si>
    <t>7.67 x 10.43 x 11.3 inches</t>
  </si>
  <si>
    <t>B0083H1INK</t>
  </si>
  <si>
    <t>B0BLBD1Q3L</t>
  </si>
  <si>
    <t>Color: Black,Silver | Style: Cooler</t>
  </si>
  <si>
    <t>https://www.amazon.com/dp/B0083H1INK?psc=1</t>
  </si>
  <si>
    <t>https://images-na.ssl-images-amazon.com/images/I/418L-SzzbNL._AC_US600_.jpg</t>
  </si>
  <si>
    <t>NewAir</t>
  </si>
  <si>
    <t>NewAir Beverage Refrigerator Cooler, Free Standing with Right Hinge Glass Door Holds Up To 126 Cans, Cools Down to 37 Degrees Perfect Beverage Organizer For Beer, Wine, Soda, And Cooler Drinks AB-1200</t>
  </si>
  <si>
    <t>NewAir 饮料冰箱冷却器，独立式，右铰链玻璃门可容纳多达 126 罐，冷却至 37 度完美的饮料收纳盒，适合啤酒、葡萄酒、苏打水和冰镇饮料 AB-1200</t>
  </si>
  <si>
    <t>Appliances:Refrigerators, Freezers &amp; Ice Makers:Beverage Refrigerators</t>
  </si>
  <si>
    <t>4
6
18</t>
  </si>
  <si>
    <t>84L</t>
  </si>
  <si>
    <t>280~300usd</t>
  </si>
  <si>
    <t>2012-06-12</t>
  </si>
  <si>
    <t>62.8 pounds</t>
  </si>
  <si>
    <t>18.9 x 18.4 x 32.4 inches</t>
  </si>
  <si>
    <t>B07SW7F6D3</t>
  </si>
  <si>
    <t>B0B7NWVF29</t>
  </si>
  <si>
    <t>https://www.amazon.com/dp/B07SW7F6D3?psc=1</t>
  </si>
  <si>
    <t>https://images-na.ssl-images-amazon.com/images/I/41-16oK8eiL._AC_US600_.jpg</t>
  </si>
  <si>
    <t>Nostalgia RF6RRBK Retro 6-Can Personal Cooling and Heating Mini Refrigerator with Eraser Board Door Carry Handle and Display Window for Home, Office, Car, Boat or Dorm Room, Black</t>
  </si>
  <si>
    <t>Nostalgia RF6RRBK 复古 6 罐个人制冷和制热迷你冰箱带橡皮板门提手和展示窗适用于家庭、办公室、汽车、船或宿舍，黑色</t>
  </si>
  <si>
    <t>2019-06-11</t>
  </si>
  <si>
    <t>4.41 pounds</t>
  </si>
  <si>
    <t>9.84 x 7.09 x 10.43 inches</t>
  </si>
  <si>
    <t>B07LDVXK4Q</t>
  </si>
  <si>
    <t>B09GKYTKS4</t>
  </si>
  <si>
    <t>https://www.amazon.com/dp/B07LDVXK4Q?psc=1</t>
  </si>
  <si>
    <t>https://images-na.ssl-images-amazon.com/images/I/31m1rcaMLZL._AC_US600_.jpg</t>
  </si>
  <si>
    <t>Frigidaire EFR176-BLUE 1.6 cu ft Blue Retro Fridge with Side Bottle Opener. for The Office, Dorm Room or Cabin</t>
  </si>
  <si>
    <t xml:space="preserve"> Frigidaire EFR176-BLUE 1.6 立方英尺蓝色复古冰箱带侧开瓶器。 适用于办公室、宿舍或小屋</t>
  </si>
  <si>
    <t>100~120us</t>
  </si>
  <si>
    <t>31 pounds</t>
  </si>
  <si>
    <t>16 x 18 x 18.5 inches</t>
  </si>
  <si>
    <t>B09N9LD7ZN</t>
  </si>
  <si>
    <t>B0BMPD38P2</t>
  </si>
  <si>
    <t>https://www.amazon.com/dp/B09N9LD7ZN?psc=1</t>
  </si>
  <si>
    <t>https://images-na.ssl-images-amazon.com/images/I/41zt-9aNaHL._AC_US600_.jpg</t>
  </si>
  <si>
    <t>NXONE</t>
  </si>
  <si>
    <t>NXONE Mini Fridge,6 Liter/8 Can AC/DC Small Refrigerator,Portable Thermometric Cooler and Warmer Freezer Skincare fridge for Foods,Beverage,Medications, Home,Bedroom,Dorm,Office and Car Black</t>
  </si>
  <si>
    <t>NXONE 迷你冰箱，6 升/8 罐 AC/DC 小型冰箱，便携式测温冷藏和保温冷冻护肤冰箱，适用于食品、饮料、药物、家庭、卧室、宿舍、办公室和汽车 黑色</t>
  </si>
  <si>
    <t>6
7
21</t>
  </si>
  <si>
    <t>2021-02-05</t>
  </si>
  <si>
    <t>HAOTENG LIMITED</t>
  </si>
  <si>
    <t xml:space="preserve">公司名称：HAOTENG INDUSTRIAL LIMITED
办公地址：
264-298 CASTLE PEAK RD
19/F NAN FUNG CTR
TSUEN WAN NT
HONGKONG
999077
HK
</t>
  </si>
  <si>
    <t>5.7 pounds</t>
  </si>
  <si>
    <t>13.43 x 12.09 x 7.76 inches</t>
  </si>
  <si>
    <t>B08146P11G</t>
  </si>
  <si>
    <t>B08595WV2B</t>
  </si>
  <si>
    <t>https://www.amazon.com/dp/B08146P11G?psc=1</t>
  </si>
  <si>
    <t>https://images-na.ssl-images-amazon.com/images/I/31oXIvJ3InL._AC_US600_.jpg</t>
  </si>
  <si>
    <t>CAYNEL</t>
  </si>
  <si>
    <t>CAYNEL Mini Fridge Cooler and Warmer, (4Liter / 6Can) Portable Compact Personal Fridge, AC/DC Thermoelectric System, 100% Freon-Free Eco Friendly for Home, Office and Car</t>
  </si>
  <si>
    <t>CAYNEL 迷你冰箱冷却器和加热器，（4 升/6 罐）便携式紧凑型个人冰箱，AC/DC 热电系统，100% 无氟利昂环保，适用于家庭、办公室和汽车</t>
  </si>
  <si>
    <t>MyCAYNEL</t>
  </si>
  <si>
    <t>9 x 7 x 10 inches</t>
  </si>
  <si>
    <t>B07K6YVF49</t>
  </si>
  <si>
    <t>B089N2D2SZ</t>
  </si>
  <si>
    <t>Color: Blue | Style: Cooler</t>
  </si>
  <si>
    <t>https://www.amazon.com/dp/B07K6YVF49?psc=1</t>
  </si>
  <si>
    <t>https://m.media-amazon.com/images/I/51nEc5AoIzL._AC_SR600,600_.jpg</t>
  </si>
  <si>
    <t>Frigidaire Retro Mini Fridge, 12/ 9 liters Cans Beverage Cooler, 100% Freon-Free &amp; Eco Friendly Perfect for Home, Office, or Cars. Includes Plugs for Home Outlet &amp; 12V Car Charger - Blue</t>
  </si>
  <si>
    <t xml:space="preserve"> Frigidaire 复古迷你冰箱，12/ 9 升罐装饮料冷却器，100% 不含氟利昂且环保，非常适合家庭、办公室或汽车。 包括家用插座插头和 12V 车载充电器 - 蓝色</t>
  </si>
  <si>
    <t>9L</t>
  </si>
  <si>
    <t>B09Y9FZP4Z</t>
  </si>
  <si>
    <t>B09Y9H1YNN</t>
  </si>
  <si>
    <t>https://www.amazon.com/dp/B09Y9FZP4Z?psc=1</t>
  </si>
  <si>
    <t>https://images-na.ssl-images-amazon.com/images/I/31NenFpJSyL._AC_US600_.jpg</t>
  </si>
  <si>
    <t>BERLIN GEAR</t>
  </si>
  <si>
    <t>BERLIN GEAR Hot or Cold Mini Fridge for Office – 6 Liter Portable Mini Fridge for Makeup, Skincare, Snacks, &amp; More – Mini Mini Fridge for Bedroom or Vanity with Lighted Glass Surface, White</t>
  </si>
  <si>
    <t>BERLIN GEAR 办公室冷热迷你冰箱 – 6 升便携式迷你冰箱，适用于化妆品、护肤品、零食等 – 卧室或梳妆台的迷你迷你冰箱，带发光玻璃表面，白色</t>
  </si>
  <si>
    <t>2022-04-19</t>
  </si>
  <si>
    <t>Accessory Discounts</t>
  </si>
  <si>
    <t xml:space="preserve">公司名称：Letronics, Inc.
办公地址：
2200 Big Town Blvd. Ste 180
Mesquite
TX
75149
US
</t>
  </si>
  <si>
    <t>6.54 pounds</t>
  </si>
  <si>
    <t>12.5 x 12.2 x 9.5 inches</t>
  </si>
  <si>
    <t>B09TW9SZLP</t>
  </si>
  <si>
    <t>B0B6G4T6D6</t>
  </si>
  <si>
    <t>https://www.amazon.com/dp/B09TW9SZLP?psc=1</t>
  </si>
  <si>
    <t>https://images-na.ssl-images-amazon.com/images/I/310LydzyT1L._AC_US600_.jpg</t>
  </si>
  <si>
    <t>AstroAI Mini Fridge 2.0, 6 Liter/8 Cans Skincare Fridge 110V AC/ 12V DC Portable Thermoelectric Cooler and Warmer Refrigerators for Christmas Gift, Bedroom, Beverage, Cosmetics (Black)</t>
  </si>
  <si>
    <t>AstroAI Mini Fridge 2.0，6 升/8 罐护肤品冰箱 110V AC/12V DC 便携式热电冷藏箱和保温箱，适用于圣诞礼物、卧室、饮料、化妆品（黑色）</t>
  </si>
  <si>
    <t>9
25</t>
  </si>
  <si>
    <t>70~75usd</t>
  </si>
  <si>
    <t>2022-07-12</t>
  </si>
  <si>
    <t>5.61 pounds</t>
  </si>
  <si>
    <t>9.84 x 7.28 x 12.2 inches</t>
  </si>
  <si>
    <t>B07T1MKP41</t>
  </si>
  <si>
    <t>B0BNRV7Q83</t>
  </si>
  <si>
    <t>Size: 4 Liter | Color: Red</t>
  </si>
  <si>
    <t>https://www.amazon.com/dp/B07T1MKP41?psc=1</t>
  </si>
  <si>
    <t>https://images-na.ssl-images-amazon.com/images/I/41BHj72fx2L._AC_US600_.jpg</t>
  </si>
  <si>
    <t>Cooluli Retro Coca-Cola Mini Fridge for Bedroom - Car, Office Desk &amp; College Dorm Room - 4L/6 Can 12V Portable Cooler &amp; Warmer for Food, Drinks &amp; Skincare - AC/DC and Exclusive USB Option (Coke, Red)</t>
  </si>
  <si>
    <t>Cooluli 复古可口可乐卧室迷你冰箱 - 汽车、办公桌和大学宿舍 - 4 升/6 罐 12 伏便携式冷藏箱和保温箱，适用于食品、饮料和护肤品 - AC/DC 和专用 USB 选项（可乐，红色）</t>
  </si>
  <si>
    <t>2019-05-18</t>
  </si>
  <si>
    <t>B08RJKSGSH</t>
  </si>
  <si>
    <t>https://www.amazon.com/dp/B08RJKSGSH?psc=1</t>
  </si>
  <si>
    <t>https://images-na.ssl-images-amazon.com/images/I/21aU0HdbrhL._AC_US600_.jpg</t>
  </si>
  <si>
    <t>Finishing Touch</t>
  </si>
  <si>
    <t>Finishing Touch Flawless Mini Beauty Cooler for Makeup and Skincare, 4 Liter</t>
  </si>
  <si>
    <t>Finishing Touch 无瑕迷你美容冷藏箱，适用于彩妆和护肤品，4 升</t>
  </si>
  <si>
    <t>TorrezEzcomm</t>
  </si>
  <si>
    <t xml:space="preserve">公司名称：Abraham Torres
办公地址：
2057 S 44TH DR
YUMA
AZ
85364-5887
US
</t>
  </si>
  <si>
    <t>5.95 Pounds</t>
  </si>
  <si>
    <t>11.5 x 11.5 x 8.5 inches</t>
  </si>
  <si>
    <t>B07JCBG524</t>
  </si>
  <si>
    <t>B07JB9J4TZ</t>
  </si>
  <si>
    <t>Size: 20 Liter | Color: White</t>
  </si>
  <si>
    <t>https://www.amazon.com/dp/B07JCBG524?psc=1</t>
  </si>
  <si>
    <t>https://images-na.ssl-images-amazon.com/images/I/31YqdW5BqJL._AC_US600_.jpg</t>
  </si>
  <si>
    <t>Cooluli 20L Mini Fridge For Bedroom - Car, Office Desk &amp; College Dorm Room - Glass Front &amp; Digital Temperature Control - 12v Small Refrigerator for Food, Drinks, Skincare, Beauty &amp; Breast Milk (White)</t>
  </si>
  <si>
    <t>Cooluli 20 升卧室迷你冰箱 - 汽车、办公桌和大学宿舍 - 玻璃面板和数字温度控制 - 12 伏小型冰箱，用于食品、饮料、护肤品、美容和母乳（白色）</t>
  </si>
  <si>
    <t>20L</t>
  </si>
  <si>
    <t>140~160usd</t>
  </si>
  <si>
    <t>2018-10-24</t>
  </si>
  <si>
    <t>13.6 pounds</t>
  </si>
  <si>
    <t>13.8 x 11.4 x 16 inches</t>
  </si>
  <si>
    <t>B0B9Y4NK4Y</t>
  </si>
  <si>
    <t>B0BM6B4L2N</t>
  </si>
  <si>
    <t>Color: Pearl Black</t>
  </si>
  <si>
    <t>https://www.amazon.com/dp/B0B9Y4NK4Y?psc=1</t>
  </si>
  <si>
    <t>https://images-na.ssl-images-amazon.com/images/I/31hndm3ucxL._AC_US600_.jpg</t>
  </si>
  <si>
    <t>Aidek</t>
  </si>
  <si>
    <t>Aidek Cosmetic Mini Fridge for Skin Care/Makeup, 4L Portable Beauty Fridges DIY Shelves for Bedroom, Dorm, Office, Small Refrigerator, AC/DC12v Car Cooler for Desktop and Travel (Pearl Black)</t>
  </si>
  <si>
    <t>Aidek 化妆品迷你护肤/化妆冰箱，4 升便携式美容冰箱 DIY 搁板，适用于卧室、宿舍、办公室、小型冰箱、AC/DC12v 车载冷却器，适用于桌面和旅行（珍珠黑）</t>
  </si>
  <si>
    <t>2022-08-17</t>
  </si>
  <si>
    <t>AIDEK TECH</t>
  </si>
  <si>
    <t xml:space="preserve">公司名称：qingdao yaboluo Intelligent Technology Co., Ltd.
办公地址：
澳门路483号
河滨华庭南苑小区2号楼3单元501
青岛市
胶州市
山东省
266300
CN
</t>
  </si>
  <si>
    <t>4.09 pounds</t>
  </si>
  <si>
    <t>9.8 x 7.3 x 9.64 inches</t>
  </si>
  <si>
    <t>B08QDSL3Z8</t>
  </si>
  <si>
    <t>B0B2YKKRV7</t>
  </si>
  <si>
    <t>Color: MAROON</t>
  </si>
  <si>
    <t>https://www.amazon.com/dp/B08QDSL3Z8?psc=1</t>
  </si>
  <si>
    <t>https://images-na.ssl-images-amazon.com/images/I/41QMc8k3i9S._AC_US600_.jpg</t>
  </si>
  <si>
    <t>CURTIS MIS135DRP DR. Pepper Mini Portable Compact Personal Fridge Cooler, 4 Liter Capacity, 6 Cans, Makeup, Skincare, Freon-Free &amp; Eco Friendly, Maroon</t>
  </si>
  <si>
    <t>柯蒂斯 MIS135DRP 博士。  Pepper Mini 便携式紧凑型个人冰箱，4 升容量，6 罐，化妆品，护肤品，无氟利昂且环保，栗色</t>
  </si>
  <si>
    <t>2020-07-17</t>
  </si>
  <si>
    <t>8 x 6 x 10 inches</t>
  </si>
  <si>
    <t>B08G5575X6</t>
  </si>
  <si>
    <t>B0BM4MMV9F</t>
  </si>
  <si>
    <t>https://www.amazon.com/dp/B08G5575X6?psc=1</t>
  </si>
  <si>
    <t>https://images-na.ssl-images-amazon.com/images/I/41ubFfpzPHL._AC_US600_.jpg</t>
  </si>
  <si>
    <t>Living Enrichment</t>
  </si>
  <si>
    <t>Living Enrichment Mini Fridge 4 Liter 6 Can Skincare Fridge, AC 120V DC 12V Portable Small Refrigerator Cooler and Warmer for Skincare, Foods, Medications, Bedroom, Travel and Car - Black</t>
  </si>
  <si>
    <t>Living Enrichment 迷你冰箱 4 升 6 罐护肤冰箱，AC 120V DC 12V 便携式小型冰箱冷藏器和保温器，适用于护肤、食品、药物、卧室、旅行和汽车 - 黑色</t>
  </si>
  <si>
    <t>Our Brands</t>
  </si>
  <si>
    <t>2020-11-02</t>
  </si>
  <si>
    <t>KELL ELECTRONICS</t>
  </si>
  <si>
    <t>4.38 pounds</t>
  </si>
  <si>
    <t>7 x 9.57 x 10.67 inches</t>
  </si>
  <si>
    <t>B00Q477Z5Q</t>
  </si>
  <si>
    <t>B076THNYJW</t>
  </si>
  <si>
    <t>Color: Black | Style: Fridge</t>
  </si>
  <si>
    <t>https://www.amazon.com/dp/B00Q477Z5Q?psc=1</t>
  </si>
  <si>
    <t>https://images-na.ssl-images-amazon.com/images/I/31+T9l0EHXS._AC_US600_.jpg</t>
  </si>
  <si>
    <t>RCA - 2-Door - Compact Refrigerator/Freezer - Reversible Doors - Adjustable Thermostat - 3.2 Cu. Ft. - Black,</t>
  </si>
  <si>
    <t xml:space="preserve"> RCA - 2 门 - 紧凑型冰箱/冰柜 - 可翻转门 - 可调节恒温器 - 3.2 Cu。 英尺。  - 黑色的，</t>
  </si>
  <si>
    <t>90L</t>
  </si>
  <si>
    <t>180~200usd</t>
  </si>
  <si>
    <t>2014-11-25</t>
  </si>
  <si>
    <t>57 pounds</t>
  </si>
  <si>
    <t>22 x 20 x 34 inches</t>
  </si>
  <si>
    <t>B01DZQI6YW</t>
  </si>
  <si>
    <t>B077NZ1NDB</t>
  </si>
  <si>
    <t>Color: Black | Style: Mini Fridge</t>
  </si>
  <si>
    <t>https://www.amazon.com/dp/B01DZQI6YW?psc=1</t>
  </si>
  <si>
    <t>https://images-na.ssl-images-amazon.com/images/I/31ruuRp2JhL._AC_US600_.jpg</t>
  </si>
  <si>
    <t>BLACK+DECKER BCRK17B Compact Refrigerator Energy Star Single Door Mini Fridge with Freezer, 1.7 Cubic Feet, Black</t>
  </si>
  <si>
    <t>BLACK+DECKER BCRK17B 紧凑型冰箱能源之星单门迷你冰箱带冰柜，1.7 立方英尺，黑色</t>
  </si>
  <si>
    <t>48L</t>
  </si>
  <si>
    <t>2016-04-08</t>
  </si>
  <si>
    <t>33.1 pounds</t>
  </si>
  <si>
    <t>18.5 x 17.52 x 19.72 inches</t>
  </si>
  <si>
    <t>B0934YSY7C</t>
  </si>
  <si>
    <t>B0969FT5DJ</t>
  </si>
  <si>
    <t>Size: 6L | Color: White</t>
  </si>
  <si>
    <t>https://www.amazon.com/dp/B0934YSY7C?psc=1</t>
  </si>
  <si>
    <t>https://m.media-amazon.com/images/W/WEBP_402378-T2/images/I/314WdtoHNvL._AC_SR600,600_.jpg</t>
  </si>
  <si>
    <t>Potiry</t>
  </si>
  <si>
    <t>Potiry Mini Fridge, 6 Liter AC/DC Portable Thermoelectric Cooler and Warmer Mini Fridge for Bedroom Car Home Travel Mini Refrigerator for Skin Care Foods Medications</t>
  </si>
  <si>
    <t>Potiry 迷你冰箱，6 升交流/直流便携式热电冷却器和加热器迷你冰箱适用于卧室汽车家庭旅行迷你冰箱适用于护肤食品药物</t>
  </si>
  <si>
    <t>8
10
34</t>
  </si>
  <si>
    <t>2021-06-14</t>
  </si>
  <si>
    <t>Potiry-fridge</t>
  </si>
  <si>
    <t xml:space="preserve">公司名称：Shenzhenshi Jiuhengkeji youxiangongsi
办公地址：
前湾一路1号
A栋201室（入驻深圳市前海商务秘书有限公司）
深圳市
前海深港合作区
广东省
518000
CN
</t>
  </si>
  <si>
    <t>5.44 pounds</t>
  </si>
  <si>
    <t>9.5 x 7.1 x 11.2 inches</t>
  </si>
  <si>
    <t>B07VGP5787</t>
  </si>
  <si>
    <t>B0BJ2Q7MNN</t>
  </si>
  <si>
    <t>https://www.amazon.com/dp/B07VGP5787?psc=1</t>
  </si>
  <si>
    <t>https://m.media-amazon.com/images/I/41lMNyXxDYL._AC_SR600,600_.jpg</t>
  </si>
  <si>
    <t>Koolatron</t>
  </si>
  <si>
    <t>Koolatron retro Mini Portable Fridge, 4L Compact Refrigerator for Skincare, Beauty Serum, Face Mask, Personal Cooler, Includes 12V and AC Cords, Desktop Accessory for Home Office Dorm Travel, Black</t>
  </si>
  <si>
    <t>Koolatron 复古迷你便携式冰箱，4 升紧凑型冰箱，适用于护肤品、美容液、面膜、个人冷却器，包括 12 伏和交流电源线，适用于家庭办公室宿舍旅行的桌面配件，黑色</t>
  </si>
  <si>
    <t>2019-07-17</t>
  </si>
  <si>
    <t>4.1 pounds</t>
  </si>
  <si>
    <t>5.5 x 5.5 x 8 inches</t>
  </si>
  <si>
    <t>B08GS23VJV</t>
  </si>
  <si>
    <t>B098PHZPBJ</t>
  </si>
  <si>
    <t>https://www.amazon.com/dp/B08GS23VJV?psc=1</t>
  </si>
  <si>
    <t>https://m.media-amazon.com/images/I/41Vzf6e8V5L._AC_SR600,600_.jpg</t>
  </si>
  <si>
    <t>CROWNFUL Multifunctional Mini Fridge, 10 Liter/12 Can Portable Cooler and Warmer Personal Fridge for Skin Care, Food, Medications, Plugs for Home Outlet &amp; 12V Car Charger Included, ETL Listed</t>
  </si>
  <si>
    <t>CROWNFUL 多功能迷你冰箱，10 升/12 罐便携式冷藏和保温个人冰箱，适用于护肤、食品、药物、家用插座插头和 12V 车载充电器，ETL 认证</t>
  </si>
  <si>
    <t>2020-08-27</t>
  </si>
  <si>
    <t>9.3 pounds</t>
  </si>
  <si>
    <t>136.8 x 115.8 x 160.8 inches</t>
  </si>
  <si>
    <t>B01DZQI70K</t>
  </si>
  <si>
    <t>B0BQ4W4XRQ</t>
  </si>
  <si>
    <t>https://www.amazon.com/dp/B01DZQI70K?psc=1</t>
  </si>
  <si>
    <t>https://images-na.ssl-images-amazon.com/images/I/31nmE6OEZ4L._AC_US600_.jpg</t>
  </si>
  <si>
    <t>BLACK+DECKER BCRK25B Compact Refrigerator Energy Star Single Door Mini Fridge with Freezer, 2.5 Cubic Feet, Black</t>
  </si>
  <si>
    <t>BLACK+DECKER BCRK25B 紧凑型冰箱能源之星单门迷你冰箱带冰柜，2.5 立方英尺，黑色</t>
  </si>
  <si>
    <t>43.2 pounds</t>
  </si>
  <si>
    <t>17.5 x 18.5 x 26.6 inches</t>
  </si>
  <si>
    <t>B00IR8H55A</t>
  </si>
  <si>
    <t>B08M5D5JZS</t>
  </si>
  <si>
    <t>Color: Stainless</t>
  </si>
  <si>
    <t>https://www.amazon.com/dp/B00IR8H55A?psc=1</t>
  </si>
  <si>
    <t>https://images-na.ssl-images-amazon.com/images/I/21qojl5cDfL._AC_US600_.jpg</t>
  </si>
  <si>
    <t>RCA RFR322 Mini Refrigerator, Compact Freezer Compartment, Adjustable Thermostat Control, Reversible Door, Ideal Fridge for Dorm, Office, Apartment, Platinum Stainless, 3.2 Cubic Feet</t>
  </si>
  <si>
    <t>RCA RFR322 迷你冰箱，紧凑型冷冻室，可调节恒温器控制，可翻转门，宿舍、办公室、公寓的理想冰箱，铂金不锈钢，3.2 立方英尺</t>
  </si>
  <si>
    <t>240~260usd</t>
  </si>
  <si>
    <t>2014-02-21</t>
  </si>
  <si>
    <t>45.9 pounds</t>
  </si>
  <si>
    <t>17.7 x 18.5 x 32.8 inches</t>
  </si>
  <si>
    <t>B07DQSWT42</t>
  </si>
  <si>
    <t>B0BQ2VLFJ7</t>
  </si>
  <si>
    <t>Size: 3.1 Cu FT | Color: Blue</t>
  </si>
  <si>
    <t>https://www.amazon.com/dp/B07DQSWT42?psc=1</t>
  </si>
  <si>
    <t>https://images-na.ssl-images-amazon.com/images/I/31wtjtUOH5L._AC_US600_.jpg</t>
  </si>
  <si>
    <t>Galanz GLR31TBEER Retro Compact Refrigerator, Mini Fridge with Dual Doors, Adjustable Mechanical Thermostat with True Freezer, 3.1 Cu FT, Blue</t>
  </si>
  <si>
    <t>Galanz GLR31TBEER 复古紧凑型冰箱，带双门的迷你冰箱，带真正冰柜的可调节机械恒温器，3.1 立方英尺，蓝色</t>
  </si>
  <si>
    <t>87L</t>
  </si>
  <si>
    <t>塑料+不锈钢+玻璃</t>
  </si>
  <si>
    <t>2018-06-14</t>
  </si>
  <si>
    <t>58.4 pounds</t>
  </si>
  <si>
    <t>19.17 x 23.31 x 35.16 inches</t>
  </si>
  <si>
    <t>B07Y8TT7N5</t>
  </si>
  <si>
    <t>B097TTVKSR</t>
  </si>
  <si>
    <t>Size: 10 Liter | Color: White</t>
  </si>
  <si>
    <t>https://www.amazon.com/dp/B07Y8TT7N5?psc=1</t>
  </si>
  <si>
    <t>https://images-na.ssl-images-amazon.com/images/I/31PNhs+t3HL._AC_US600_.jpg</t>
  </si>
  <si>
    <t>Cooluli 10L Mini Fridge for Bedroom - Car, Office Desk &amp; College Dorm Room - 12V Portable Cooler &amp; Warmer for Food, Drinks, Skincare, Beauty, Makeup &amp; Cosmetics - AC/DC Small Refrigerator (White)</t>
  </si>
  <si>
    <t>Cooluli 10 升卧室迷你冰箱 - 汽车、办公桌和大学宿舍 - 12 伏便携式冷藏和保温器，适用于食品、饮料、护肤品、美容、化妆品和化妆品 - AC/DC 小型冰箱（白色）</t>
  </si>
  <si>
    <t>7.3 pounds</t>
  </si>
  <si>
    <t>11.25 x 10 x 13 inches</t>
  </si>
  <si>
    <t>B091FYKBP5</t>
  </si>
  <si>
    <t>https://www.amazon.com/dp/B091FYKBP5?psc=1</t>
  </si>
  <si>
    <t>https://images-na.ssl-images-amazon.com/images/I/31idqqAQJCL._AC_US600_.jpg</t>
  </si>
  <si>
    <t>Frigidaire EFMIS567_AMZ 18 Can OR 4 Wine Bottle Retro Beverage Fridge, Temperature Control, Thermoelectric, FreonFree, Stainless</t>
  </si>
  <si>
    <t>Frigidaire EFMIS567_AMZ 18 罐或 4 瓶酒瓶复古饮料冰箱，温度控制，热电，无氟，不锈钢</t>
  </si>
  <si>
    <t>80~100usd</t>
  </si>
  <si>
    <t>2021-03-31</t>
  </si>
  <si>
    <t>12.97 pounds</t>
  </si>
  <si>
    <t>12 x 12 x 20 inches</t>
  </si>
  <si>
    <t>B0832WZ8K8</t>
  </si>
  <si>
    <t>https://www.amazon.com/dp/B0832WZ8K8?psc=1</t>
  </si>
  <si>
    <t>https://m.media-amazon.com/images/I/41QNXHPtXgL._AC_SR600,600_.jpg</t>
  </si>
  <si>
    <t>AstroAI Mini Fridge Portable AC/DC Powered Thermoelectric System Cooler and Warmer 4 Liter/6 Can for Cars, Homes, Offices, and Dorms,White (Renewed)</t>
  </si>
  <si>
    <t>AstroAI 迷你冰箱便携式交流/直流供电热电系统冷却器和加热器 4 升/6 罐适用于汽车、家庭、办公室和宿舍，白色（已更新）</t>
  </si>
  <si>
    <t>2019-12-24</t>
  </si>
  <si>
    <t>AstroAI Deals</t>
  </si>
  <si>
    <t xml:space="preserve">公司名称：Chen, Miyoshi, &amp; Song LLC
办公地址：
7423 Doig Dr.
Graden Grove
California
92841
US
</t>
  </si>
  <si>
    <t>4.47 pounds</t>
  </si>
  <si>
    <t>5.3 x 5.5 x 7.85 inches</t>
  </si>
  <si>
    <t>B0B51Q8CY1</t>
  </si>
  <si>
    <t>B0B5MHL2FC</t>
  </si>
  <si>
    <t>https://www.amazon.com/dp/B0B51Q8CY1?psc=1</t>
  </si>
  <si>
    <t>https://m.media-amazon.com/images/I/3146ZDQgFxL._AC_SR600,600_.jpg</t>
  </si>
  <si>
    <t>Silonn</t>
  </si>
  <si>
    <t>Silonn Mini Fridge, Portable Skin Care Fridge, 4 L/6 Can Cooler and Warmer Small Refrigerator with Eco Friendly for Home, Office and Car, Compact Refrigerator and Pink</t>
  </si>
  <si>
    <t>Silonn 迷你冰箱，便携式护肤冰箱，4 升/6 罐冷藏和保温小型冰箱，适用于家庭、办公室和汽车，紧凑型冰箱和粉色</t>
  </si>
  <si>
    <t>5.3 x 5.5 x 8.07 inches</t>
  </si>
  <si>
    <t>B0BFH9KX59</t>
  </si>
  <si>
    <t>https://www.amazon.com/dp/B0BFH9KX59?psc=1</t>
  </si>
  <si>
    <t>https://images-na.ssl-images-amazon.com/images/I/31w+Xx7fZHL._AC_US600_.jpg</t>
  </si>
  <si>
    <t>PERSONAL CHILLER</t>
  </si>
  <si>
    <t>PERSONAL CHILLER Portable Mini Fridge Cooler and Warmer, 4 Liter Capacity Chills Six 12 oz Cans, Snacks, and Skincare Products, A/C Operation, 100% Freon-Free</t>
  </si>
  <si>
    <t>PERSONAL CHILLER 便携式迷你冰箱冷却器和加热器，4 升容量，可冷藏 6 个 12 盎司罐头、零食和护肤品，空调运行，100% 不含氟利昂</t>
  </si>
  <si>
    <t>2022-09-16</t>
  </si>
  <si>
    <t>VIEW FORCE DIRECT STORE</t>
  </si>
  <si>
    <t xml:space="preserve">公司名称：VIEW FORCE LIMITED
办公地址：
YUE XIU BUILDING, 160 LOCKHART ROAD
FLAT/RM 2201 22/F
WANCHAI
HONGKONG
999077
HK
</t>
  </si>
  <si>
    <t>4.13 pounds</t>
  </si>
  <si>
    <t>9.6 x 10.7 x 7 inches</t>
  </si>
  <si>
    <t>B09LYVDN7Y</t>
  </si>
  <si>
    <t>B0BHNXYSTP</t>
  </si>
  <si>
    <t>https://www.amazon.com/dp/B09LYVDN7Y?psc=1</t>
  </si>
  <si>
    <t>https://images-na.ssl-images-amazon.com/images/I/31yzIfGFp3L._AC_US600_.jpg</t>
  </si>
  <si>
    <t>BANGSON</t>
  </si>
  <si>
    <t>BANGSON Mini Fridge with Freezer, 3.2 Cu.Ft, Low Noise, Energy Saving, 5 Settings Temperature Adjustable, 2 Door Mini Fridge for Bedroom Office and Dorm, Black for Christmas Decorations Indoor.</t>
  </si>
  <si>
    <t>BANGSON 带冰柜的迷你冰箱，3.2 立方英尺，低噪音，节能，5 档温度可调，2 门迷你冰箱，适用于卧室办公室和宿舍，黑色，适合室内圣诞装饰。</t>
  </si>
  <si>
    <t>2021-11-17</t>
  </si>
  <si>
    <t xml:space="preserve">公司名称：ningbojinrongwangluokejiyouxiangongsi
办公地址：
jiangbeiqu, changxinglu 715, 12-1-2
ningbo
zhejiang
315020
CN
</t>
  </si>
  <si>
    <t>50.7 pounds</t>
  </si>
  <si>
    <t>19.68 x 17.9 x 34.01 inches</t>
  </si>
  <si>
    <t>B00MWXSFM8</t>
  </si>
  <si>
    <t>B07PSZKMVX</t>
  </si>
  <si>
    <t>Pattern Name: Refrigerator | Color: Stainless Steel | Style: Double Door</t>
  </si>
  <si>
    <t>https://www.amazon.com/dp/B00MWXSFM8?psc=1</t>
  </si>
  <si>
    <t>https://images-na.ssl-images-amazon.com/images/I/31D1tYQslbL._AC_US600_.jpg</t>
  </si>
  <si>
    <t>Midea WHD-113FSS1 Compact Refrigerator, 3.1 cu ft, Stainless Steel</t>
  </si>
  <si>
    <t>Midea WHD-113FSS1 紧凑型冰箱，3.1 立方英尺，不锈钢</t>
  </si>
  <si>
    <t>220~240usd</t>
  </si>
  <si>
    <t>2014-08-21</t>
  </si>
  <si>
    <t>52.2 pounds</t>
  </si>
  <si>
    <t>18.5 x 19.37 x 32.95 inches</t>
  </si>
  <si>
    <t>B09MF5CFFD</t>
  </si>
  <si>
    <t>https://www.amazon.com/dp/B09MF5CFFD?psc=1</t>
  </si>
  <si>
    <t>https://images-na.ssl-images-amazon.com/images/I/31fnpyJnhcL._AC_US600_.jpg</t>
  </si>
  <si>
    <t>BANGSON Small Refrigerator, 1.6 Cu.Ft mini fridge with freezer, Adjustable Temperature and Leveling Leg, Reversible Single Door, Compact Refrigerator Dorm, Office, Bar and Outdoors</t>
  </si>
  <si>
    <t>BANGSON 小型冰箱，带冰柜的 1.6 立方英尺迷你冰箱，可调节温度和调平脚，可翻转单门，紧凑型冰箱宿舍、办公室、酒吧和户外</t>
  </si>
  <si>
    <t>2021-11-22</t>
  </si>
  <si>
    <t>18.91 x 17.73 x 19.3 inches</t>
  </si>
  <si>
    <t>B07Y8VCFMR</t>
  </si>
  <si>
    <t>B07Y8T78PY</t>
  </si>
  <si>
    <t>https://www.amazon.com/dp/B07Y8VCFMR?psc=1</t>
  </si>
  <si>
    <t>https://m.media-amazon.com/images/I/31HLPsI7ThL._AC_US600_.jpg</t>
  </si>
  <si>
    <t>Cooluli Vibe Mini Fridge for Bedroom - With Cool Front Magnetic Whiteboard - 15L Portable Small Refrigerator for Travel, Car &amp; Office Desk - Plug In Cooler &amp; Warmer for Food, Drinks &amp; Skincare (White)</t>
  </si>
  <si>
    <t>卧室 Cooluli Vibe 迷你冰箱 - 带凉爽的前部磁性白板 - 15 升便携式小型冰箱，适用于旅行、汽车和办公桌 - 用于食物、饮料和护肤品的插入式冷却器和加热器（白色）</t>
  </si>
  <si>
    <t>35L</t>
  </si>
  <si>
    <t>9.1 pounds</t>
  </si>
  <si>
    <t>12.75 x 10.5 x 14.75 inches</t>
  </si>
  <si>
    <t>B0BGKGV1NF</t>
  </si>
  <si>
    <t>B09PYGXP3C</t>
  </si>
  <si>
    <t>Size: 4L+white+ sponge set</t>
  </si>
  <si>
    <t>https://www.amazon.com/dp/B0BGKGV1NF?psc=1</t>
  </si>
  <si>
    <t>https://images-na.ssl-images-amazon.com/images/I/41k31Oq2r9L._AC_US600_.jpg</t>
  </si>
  <si>
    <t>COOSEON</t>
  </si>
  <si>
    <t>COOSEON 4 Liter/6 Can Mini Skincare Fridge with Mirror, AC/DC Thermoelectric Cooler Beauty Fridge, Warmer Refrigerators for Skin Care Makeup, Cosmetics, Beverage, Babyfood, Bedroom, Car use</t>
  </si>
  <si>
    <t>COOSEON 4 升/6 罐迷你护肤冰箱带镜子，AC/DC 热电冷却器美容冰箱，用于护肤化妆品、化妆品、饮料、婴儿食品、卧室、汽车的保暖冰箱</t>
  </si>
  <si>
    <t>16
52</t>
  </si>
  <si>
    <t>2022-11-19</t>
  </si>
  <si>
    <t>GKANGYI</t>
  </si>
  <si>
    <t>8 ounces</t>
  </si>
  <si>
    <t>13 x 11 x 8 inches</t>
  </si>
  <si>
    <t>B07P66567C</t>
  </si>
  <si>
    <t>B0B8CGKBQY</t>
  </si>
  <si>
    <t>https://www.amazon.com/dp/B07P66567C?psc=1</t>
  </si>
  <si>
    <t>https://m.media-amazon.com/images/I/31i-20pW5FL._AC_SR600,600_.jpg</t>
  </si>
  <si>
    <t>Antarctic Star</t>
  </si>
  <si>
    <t>Antarctic Star Compact Mini Refrigerator Separate Freezer, Small Fridge Double 2-Door Adjustable Removable Retro Stainless Steel Shelves Garage Camper Basement/Dorm/Office 3.2 cu ft.Black</t>
  </si>
  <si>
    <t>南极之星紧凑型迷你冰箱独立冰柜，小冰箱双 2 门可调节可拆卸复古不锈钢搁板车库露营地下室/宿舍/办公室 3.2 立方英尺。黑色</t>
  </si>
  <si>
    <t>2019-03-05</t>
  </si>
  <si>
    <t>INSS</t>
  </si>
  <si>
    <t xml:space="preserve">公司名称：Ningbo Inye Imp&amp;Exp Co.,Ltd
办公地址：
R726, South Yinzhoushanghui, No.1299 Yinxian Road
No.1299 Yinxiandadao
Ningbo
Zhejiang
315100
CN
</t>
  </si>
  <si>
    <t>52.9 pounds</t>
  </si>
  <si>
    <t>19.69 x 18.9 x 33.46 inches</t>
  </si>
  <si>
    <t>B01DZQI9TE</t>
  </si>
  <si>
    <t>B0BQ5BDTMW</t>
  </si>
  <si>
    <t>https://www.amazon.com/dp/B01DZQI9TE?psc=1</t>
  </si>
  <si>
    <t>https://images-na.ssl-images-amazon.com/images/I/311ar7NHxlL._AC_US600_.jpg</t>
  </si>
  <si>
    <t>BLACK+DECKER BCRK32V Compact Refrigerator Energy Star Single Door Mini Fridge with Freezer, 3.2 Cubic Ft., VCM</t>
  </si>
  <si>
    <t>BLACK+DECKER BCRK32V 紧凑型冰箱能源之星单门迷你冰箱带冰柜，3.2 立方英尺，VCM</t>
  </si>
  <si>
    <t>塑料+不锈钢</t>
  </si>
  <si>
    <t>19.29 x 17.52 x 32.72 inches</t>
  </si>
  <si>
    <t>B09W9M5RCQ</t>
  </si>
  <si>
    <t>B0BGJG49ZR</t>
  </si>
  <si>
    <t>https://www.amazon.com/dp/B09W9M5RCQ?psc=1</t>
  </si>
  <si>
    <t>https://images-na.ssl-images-amazon.com/images/I/41xkfAcNUdL._AC_US600_.jpg</t>
  </si>
  <si>
    <t>Living Enrichment Mini Fridge 6L Capacity, Portable Small Refrigerator Cooler or Warmer, AC DC Powered, Skincare Fridge with Mirror Door, for Food, Cosmetics, Home, Office and Car - White</t>
  </si>
  <si>
    <t>Living Enrichment 迷你冰箱 6 升容量，便携式小型冰箱冷却器或加热器，AC DC 供电，带镜门的护肤品冰箱，适用于食品、化妆品、家庭、办公室和汽车 - 白色</t>
  </si>
  <si>
    <t>5.51 pounds</t>
  </si>
  <si>
    <t>11.2 x 7.4 x 11.8 inches</t>
  </si>
  <si>
    <t>B09XVGTVH1</t>
  </si>
  <si>
    <t>B0BHJQ8XHS</t>
  </si>
  <si>
    <t>https://www.amazon.com/dp/B09XVGTVH1?psc=1</t>
  </si>
  <si>
    <t>https://m.media-amazon.com/images/I/31eJy1+sCRL._AC_SR600,600_.jpg</t>
  </si>
  <si>
    <t>Subcold</t>
  </si>
  <si>
    <t>Subcold Pro4 Luxury Mini Fridge Cooler 4 Litre / 6 Cans AC &amp; Exclusive USB ECO Power Option | Portable Small Refrigerator For The Office, Bedroom, Car, Travel, Skincare &amp; Cosmetic (Gray)</t>
  </si>
  <si>
    <t xml:space="preserve"> Subcold Pro4 豪华迷你冰箱冷藏箱 4 升/6 罐交流电和独家 USB ECO 电源选项 | 适用于办公室、卧室、汽车、旅行、护肤和化妆品的便携式小冰箱（灰色）</t>
  </si>
  <si>
    <t>2022-09-30</t>
  </si>
  <si>
    <t>Subcold US</t>
  </si>
  <si>
    <t>GB</t>
  </si>
  <si>
    <t xml:space="preserve">公司名称：Subcold Ltd
办公地址：
1 Drummond Square
LIVINGSTON
West Lothian
EH54 9DH
GB
</t>
  </si>
  <si>
    <t>7.56 x 10.04 x 10.55 inches</t>
  </si>
  <si>
    <t>B09HTWGHYG</t>
  </si>
  <si>
    <t>B0BLC7VZFJ</t>
  </si>
  <si>
    <t>Color: white smart</t>
  </si>
  <si>
    <t>https://www.amazon.com/dp/B09HTWGHYG?psc=1</t>
  </si>
  <si>
    <t>https://m.media-amazon.com/images/I/31giNA064NL._AC_SR600,600_.jpg</t>
  </si>
  <si>
    <t>LVARA</t>
  </si>
  <si>
    <t>LVARA Professional Smart Mini Skincare Fridge 9 Liter - Portable Makeup Refrigerator for Skin Care with 'Smart Life' App - Cosmetic Beauty Fridge for Bedroom Desktop, Gift for Women, White</t>
  </si>
  <si>
    <t>LVARA Professional Smart Mini Skincare Fridge 9 升 - 用于护肤的便携式化妆冰箱，带“Smart Life”应用程序 - 卧室桌面化妆品美容冰箱，女士礼物，白色</t>
  </si>
  <si>
    <t>Beauty &amp; Personal Care:Tools &amp; Accessories:Bags &amp; Cases:Cosmetic Bags</t>
  </si>
  <si>
    <t>Amazon Launchpad</t>
  </si>
  <si>
    <t>Compact Refrigerators
Amazon Launchpad Electronics
Amazon Launchpad All Gifts</t>
  </si>
  <si>
    <t>58
167
172</t>
  </si>
  <si>
    <t>智能款</t>
  </si>
  <si>
    <t>2021-10-06</t>
  </si>
  <si>
    <t>11.46 pounds</t>
  </si>
  <si>
    <t>5.3 x 5.9 x 12.6 inches</t>
  </si>
  <si>
    <t>B0983ZB3JF</t>
  </si>
  <si>
    <t>B0BLSSXTCK</t>
  </si>
  <si>
    <t>Pattern Name: Thermostats | Color: Black</t>
  </si>
  <si>
    <t>https://www.amazon.com/dp/B0983ZB3JF?psc=1</t>
  </si>
  <si>
    <t>https://images-na.ssl-images-amazon.com/images/I/21gKEloeTzL._AC_US600_.jpg</t>
  </si>
  <si>
    <t>COMFEE' 1.7 Cubic Feet All Refrigerator Flawless Appearance/Energy Saving/Adjustale Legs/Adjustable Thermostats for home/dorm/garage [black]</t>
  </si>
  <si>
    <t>COMFEE&amp;#39; 1.7 立方英尺全冰箱完美外观/节能/可调节支腿/可调节恒温器适用于家庭/宿舍/车库 [黑色]</t>
  </si>
  <si>
    <t>2021-06-28</t>
  </si>
  <si>
    <t>29.8 pounds</t>
  </si>
  <si>
    <t>18.6 x 17.6 x 19.3 inches</t>
  </si>
  <si>
    <t>B07TM75HF3</t>
  </si>
  <si>
    <t>B09FCBJFTK</t>
  </si>
  <si>
    <t>https://www.amazon.com/dp/B07TM75HF3?psc=1</t>
  </si>
  <si>
    <t>https://images-na.ssl-images-amazon.com/images/I/31ANZYGoBAL._AC_US600_.jpg</t>
  </si>
  <si>
    <t>Danby</t>
  </si>
  <si>
    <t>Danby Designer DAR044A4BDD-6 4.4 Cu.Ft. Mini Fridge, Compact Refrigerator for Bedroom, Living Room, Bar, Dorm, Kitchen, Office, E-Star in Black</t>
  </si>
  <si>
    <t>丹比设计师 DAR044A4BDD-6 4.4 立方英尺。 迷你冰箱，适用于卧室、客厅、酒吧、宿舍、厨房、办公室的紧凑型冰箱，黑色 E-Star</t>
  </si>
  <si>
    <t>124L</t>
  </si>
  <si>
    <t>2019-06-25</t>
  </si>
  <si>
    <t>54 pounds</t>
  </si>
  <si>
    <t>20.16 x 20.16 x 33.16 inches</t>
  </si>
  <si>
    <t>B08T8ZL97X</t>
  </si>
  <si>
    <t>B0B8NBZSSR</t>
  </si>
  <si>
    <t>Size: 3.3 Cubic Feet | Pattern Name: Refrigerator | Color: Black</t>
  </si>
  <si>
    <t>https://www.amazon.com/dp/B08T8ZL97X?psc=1</t>
  </si>
  <si>
    <t>https://images-na.ssl-images-amazon.com/images/I/21Mq+NFTTbL._AC_US600_.jpg</t>
  </si>
  <si>
    <t>Comfee</t>
  </si>
  <si>
    <t>COMFEE 3.3 Cubic Feet Solo Series Retro Refrigerator Sleek Appearance HIPS Interior, Energy Saving, Adjustable Legs, Temperature Thermostat Dial, Removable Shelf, Perfect for Home/Dorm/Garage [Black]</t>
  </si>
  <si>
    <t>COMFEE 3.3 立方英尺 Solo 系列复古冰箱外观时尚 HIPS 内饰，节能，可调节支腿，温度恒温器表盘，可拆卸搁板，非常适合家庭/宿舍/车库 [黑色]</t>
  </si>
  <si>
    <t>93L</t>
  </si>
  <si>
    <t>HIPS塑胶+玻璃</t>
  </si>
  <si>
    <t>2021-03-20</t>
  </si>
  <si>
    <t>44.5 pounds</t>
  </si>
  <si>
    <t>17.3 x 19.2 x 32.9 inches</t>
  </si>
  <si>
    <t>B0BMQ33V2J</t>
  </si>
  <si>
    <t>https://www.amazon.com/dp/B0BMQ33V2J?psc=1</t>
  </si>
  <si>
    <t>https://images-na.ssl-images-amazon.com/images/I/41+NQ6YFaWL._AC_US600_.jpg</t>
  </si>
  <si>
    <t>Upstreman</t>
  </si>
  <si>
    <t>Upstreman TF06 6 Liter Portable Mirrored Fridge for Beauty Makeup with LED Lights, Cooler for Creams &amp; Moisturizers, Fragrance and Face Masks, Skincare, Makeup, in Bedroom, Dorm and Office, White.</t>
  </si>
  <si>
    <t>Upstreman TF06 6 升便携式镜面冰箱，适用于带 LED 灯的美容化妆品、面霜和保湿霜、香水和面膜、护肤品、化妆品的冷藏箱，适用于卧室、宿舍和办公室，白色。</t>
  </si>
  <si>
    <t>2~3</t>
  </si>
  <si>
    <t>2022-11-17</t>
  </si>
  <si>
    <t>Upstreman Direct</t>
  </si>
  <si>
    <t xml:space="preserve">公司名称：SHENZHENSHILANBIAOYIKEJIYOUXIANGONGSI
办公地址：
园岭街道华林社区八卦四路52号安吉尔大厦1438F
深圳市
福田区
广东省
518000
CN
</t>
  </si>
  <si>
    <t>6.82 pounds</t>
  </si>
  <si>
    <t>9.8 x 8.66 x 12.2 inches</t>
  </si>
  <si>
    <t>B09HX1X2BN</t>
  </si>
  <si>
    <t>B09HWTCK3K</t>
  </si>
  <si>
    <t>https://www.amazon.com/dp/B09HX1X2BN?psc=1</t>
  </si>
  <si>
    <t>https://m.media-amazon.com/images/W/WEBP_402378-T1/images/I/41cO+k5QzFL._AC_SR600,600_.jpg</t>
  </si>
  <si>
    <t>COOSEON LED Mirrored Beauty Fridge, Mini Fridge 6 Liters/8 Can With Makeup Sponge, AC/DC Thermoelectric Cooler and Heater, Suitable for Bedroom, Car, Used for Skin care, Makeup (Black)</t>
  </si>
  <si>
    <t>COOSEON LED 镜面美容冰箱，迷你冰箱 6 升/8 罐带化妆海绵，AC/DC 热电冷却器和加热器，适用于卧室、汽车、用于护肤、化妆（黑色）</t>
  </si>
  <si>
    <t>2021-10-07</t>
  </si>
  <si>
    <t>GXGYI</t>
  </si>
  <si>
    <t xml:space="preserve">公司名称：DONGGUANSHIXIANGYIDIANZISHANGWUYOUXIANGONGSI
办公地址：
莲子湖路
3号309室
东莞市
企石镇
广东省
523500
CN
</t>
  </si>
  <si>
    <t>B09YMCGFRJ</t>
  </si>
  <si>
    <t>B0BGC685CL</t>
  </si>
  <si>
    <t>https://www.amazon.com/dp/B09YMCGFRJ?psc=1</t>
  </si>
  <si>
    <t>https://images-na.ssl-images-amazon.com/images/I/314jzi0ez8L._AC_US600_.jpg</t>
  </si>
  <si>
    <t>Frestec</t>
  </si>
  <si>
    <t>Frestec 1.7 Cu.Ft Mini Fridge for Bedroom, Mini Refrigerator with freezer, Dorm Fridge with Freezer, Reversible Door Perfect for Room and Office, Adjustable Temperature (no Handle, Black)</t>
  </si>
  <si>
    <t>Frestec 1.7 立方英尺卧室迷你冰箱、带冰柜的迷你冰箱、带冰柜的宿舍冰箱、双开门非常适合房间和办公室、可调温度（无把手，黑色）</t>
  </si>
  <si>
    <t>Appliances:Refrigerators, Freezers &amp; Ice Makers:Refrigerators</t>
  </si>
  <si>
    <t>2022-04-23</t>
  </si>
  <si>
    <t>Frestec Direct Store</t>
  </si>
  <si>
    <t xml:space="preserve">公司名称：Ningbo Huacai Electric Appliances Co., Ltd.
办公地址：
yinzhou binhaitouzichuangyezhongxin
Ningbo
Zhejiang
315100
CN
</t>
  </si>
  <si>
    <t>37 pounds</t>
  </si>
  <si>
    <t>17.83 x 18.05 x 19.8 inches</t>
  </si>
  <si>
    <t>B08WZH3TS8</t>
  </si>
  <si>
    <t>B08WYS2WR6</t>
  </si>
  <si>
    <t>https://www.amazon.com/dp/B08WZH3TS8?psc=1</t>
  </si>
  <si>
    <t>https://images-na.ssl-images-amazon.com/images/I/210cZoEkfxS._AC_US600_.jpg</t>
  </si>
  <si>
    <t>HAILANG</t>
  </si>
  <si>
    <t>HAILANG Mini Fridge With Freezer,3.2 Cu.Ft Compact Refrigerator With 2 Doors For Bedroom,Office,Kitchen,Apartment,Dorm(Brushed Silver)</t>
  </si>
  <si>
    <t>HAILANG 迷你冰箱带冰柜，3.2 立方英尺紧凑型冰箱带 2 门适用于卧室、办公室、厨房、公寓、宿舍（拉丝银）</t>
  </si>
  <si>
    <t>71</t>
  </si>
  <si>
    <t>200~220usd</t>
  </si>
  <si>
    <t>HAILANG DIRECT</t>
  </si>
  <si>
    <t>18.31 x 17.68 x 33.9 inches</t>
  </si>
  <si>
    <t>B09W9JMS6D</t>
  </si>
  <si>
    <t>B0BM4G1M6N</t>
  </si>
  <si>
    <t>https://www.amazon.com/dp/B09W9JMS6D?psc=1</t>
  </si>
  <si>
    <t>https://images-na.ssl-images-amazon.com/images/I/41eAhRtzl3L._AC_US600_.jpg</t>
  </si>
  <si>
    <t>Living Enrichment Mini Fridge 6 Liters, Small Skincare Fridge, Low Noise and Lightweight, Portable Refrigerator for Beauty Products Cosmetics Beverage Food Home Office - Stone White</t>
  </si>
  <si>
    <t>Living Enrichment 迷你冰箱 6 升小型护肤冰箱低噪音轻便便携式冰箱适用于美容产品化妆品饮料食品家庭办公室 - 石白色</t>
  </si>
  <si>
    <t>3.3 pounds</t>
  </si>
  <si>
    <t>9.34 x 13.39 x 7.62 inches</t>
  </si>
  <si>
    <t>B0BPTPCY6Q</t>
  </si>
  <si>
    <t>https://www.amazon.com/dp/B0BPTPCY6Q?psc=1</t>
  </si>
  <si>
    <t>https://images-na.ssl-images-amazon.com/images/I/31o1oVFNohL._AC_US600_.jpg</t>
  </si>
  <si>
    <t>Honeywell</t>
  </si>
  <si>
    <t>Honeywell 4 Liter Personal Fridge Cools Or Heats &amp; Provides Compact Storage For Skincare, Snacks, Or 6 12oz Cans</t>
  </si>
  <si>
    <t>霍尼韦尔 4 升个人冰箱可冷却或加热，并为护肤品、零食或 6 罐 12 盎司罐装提供紧凑的存储空间</t>
  </si>
  <si>
    <t>2022-12-12</t>
  </si>
  <si>
    <t>7 x 6.97 x 7.7 inches</t>
  </si>
  <si>
    <t>B08P4TC5XV</t>
  </si>
  <si>
    <t>B0BP2GLC4H</t>
  </si>
  <si>
    <t>Color: Black | Style: Portable Fridge</t>
  </si>
  <si>
    <t>https://www.amazon.com/dp/B08P4TC5XV?psc=1</t>
  </si>
  <si>
    <t>https://images-na.ssl-images-amazon.com/images/I/41hZ3-HRzeL._AC_US600_.jpg</t>
  </si>
  <si>
    <t>AstroAI Mini Fridge,15 Can 10 Liter Coolers &amp; Refrigerators Mini Cooler Warmer, 110V AC/12V DC Thermoelectric Skincare Fridge for Beverage, Bedroom,Office,Travel,ETL Listed (Black)</t>
  </si>
  <si>
    <t>AstroAI 迷你冰箱，15 罐 10 升冷却器和冰箱迷你冷却器加热器，110V AC/12V DC 热电护肤冰箱，适用于饮料、卧室、办公室、旅行，ETL 认证（黑色）</t>
  </si>
  <si>
    <t>26
74</t>
  </si>
  <si>
    <t>2021-03-16</t>
  </si>
  <si>
    <t>10.93 pounds</t>
  </si>
  <si>
    <t>9.8 x 12.8 x 13.9 inches</t>
  </si>
  <si>
    <t>B07THDQXF8</t>
  </si>
  <si>
    <t>B09NCN5YST</t>
  </si>
  <si>
    <t>Color: Coral</t>
  </si>
  <si>
    <t>https://www.amazon.com/dp/B07THDQXF8?psc=1</t>
  </si>
  <si>
    <t>https://m.media-amazon.com/images/I/31LK3rhNArL._AC_SR600,600_.jpg</t>
  </si>
  <si>
    <t>FACETORY</t>
  </si>
  <si>
    <t>FACETORY Portable Coral Beauty Fridge (10-L / 12 Can) with Heat and Cool Capacity</t>
  </si>
  <si>
    <t>FACETORY 便携式珊瑚美容冰箱（10 升 / 12 罐）带冷热功能</t>
  </si>
  <si>
    <t>Compact Refrigerators
Amazon Launchpad Electronics</t>
  </si>
  <si>
    <t>75
263</t>
  </si>
  <si>
    <t>2019-06-24</t>
  </si>
  <si>
    <t>Facetory</t>
  </si>
  <si>
    <t>10.38 pounds</t>
  </si>
  <si>
    <t>9.65 x 11.42 x 13.39 inches</t>
  </si>
  <si>
    <t>B08R8SHHQ4</t>
  </si>
  <si>
    <t>B09FJRXXQ5</t>
  </si>
  <si>
    <t>https://www.amazon.com/dp/B08R8SHHQ4?psc=1</t>
  </si>
  <si>
    <t>https://m.media-amazon.com/images/I/41Xq0GlmnnS._AC_SR600,600_.jpg</t>
  </si>
  <si>
    <t>VEVOR</t>
  </si>
  <si>
    <t>VEVOR Mini Fridge, 10 Liter Portable Cooler Warmer, Skincare Fridge Black, Compact Refrigerator, Lightweight Beauty Fridge, for Bedroom Office Car Boat Dorm Skincare (110V/12V)</t>
  </si>
  <si>
    <t>VEVOR 迷你冰箱，10 升便携式冷藏保暖器，护肤冰箱黑色，紧凑型冰箱，轻型美容冰箱，适用于卧室办公室汽车船宿舍护肤品 (110V/12V)</t>
  </si>
  <si>
    <t>2020-12-25</t>
  </si>
  <si>
    <t>8.5 pounds</t>
  </si>
  <si>
    <t>9.8 x 10 x 13.7 inches</t>
  </si>
  <si>
    <t>B07NJ8SM6D</t>
  </si>
  <si>
    <t>B08WV92Y6S</t>
  </si>
  <si>
    <t>Size: 3.2 cu ft | Color: BLACK | Style: Fridge</t>
  </si>
  <si>
    <t>https://www.amazon.com/dp/B07NJ8SM6D?psc=1</t>
  </si>
  <si>
    <t>https://images-na.ssl-images-amazon.com/images/I/41vVumf7k2L._AC_US600_.jpg</t>
  </si>
  <si>
    <t>FRIGIDAIRE EFR331-BLACK 3.2 Cu ft Eraser Board Mini Compact Dorm Fridge (Black)</t>
  </si>
  <si>
    <t>FRIGIDAIRE EFR331-BLACK 3.2 立方英尺橡皮板迷你紧凑型宿舍冰箱（黑色）</t>
  </si>
  <si>
    <t>2019-02-09</t>
  </si>
  <si>
    <t>43.5 pounds</t>
  </si>
  <si>
    <t>16 x 20 x 30 inches</t>
  </si>
  <si>
    <t>B09842Y7PM</t>
  </si>
  <si>
    <t>B0BLNWBG3K</t>
  </si>
  <si>
    <t>https://www.amazon.com/dp/B09842Y7PM?psc=1</t>
  </si>
  <si>
    <t>https://images-na.ssl-images-amazon.com/images/I/3141MgQC5bL._AC_US600_.jpg</t>
  </si>
  <si>
    <t>COMFEE' CRM33S3AST 3.3 Cubic Feet Compact Singel Door Mini Fridge for Bedroom Office Garage Studio Dorm with 3 Removal Glass Shelves Stainless Steel Refrigerator, Silver</t>
  </si>
  <si>
    <t>COMFEE&amp;#39; CRM33S3AST 3.3 立方英尺紧凑型单门迷你冰箱适用于卧室办公室车库工作室宿舍带 3 个可拆卸玻璃搁板不锈钢冰箱，银色</t>
  </si>
  <si>
    <t>2021-09-16</t>
  </si>
  <si>
    <t>42.5 pounds</t>
  </si>
  <si>
    <t>17.6 x 18.6 x 34 inches</t>
  </si>
  <si>
    <t>B07XJRZR8P</t>
  </si>
  <si>
    <t>B0B8252GF1</t>
  </si>
  <si>
    <t>https://www.amazon.com/dp/B07XJRZR8P?psc=1</t>
  </si>
  <si>
    <t>https://images-na.ssl-images-amazon.com/images/I/31NaBJ-xncL._AC_US600_.jpg</t>
  </si>
  <si>
    <t>E EUHOMY</t>
  </si>
  <si>
    <t>Euhomy Mini Fridge with Freezer, 3.2 Cu.Ft Mini refrigerator with freezer, Dorm fridge with freezer 2 door For Bedroom/Dorm/Apartment/Office - Food Storage or Cooling Drinks(Silver).</t>
  </si>
  <si>
    <t>Euhomy 迷你冰箱带冰柜，3.2 立方英尺迷你冰箱带冰柜，宿舍冰箱带冰柜 2 门适用于卧室/宿舍/公寓/办公室 - 食品储存或冷饮（银色）。</t>
  </si>
  <si>
    <t>2019-09-09</t>
  </si>
  <si>
    <t>HomyDirect</t>
  </si>
  <si>
    <t xml:space="preserve">公司名称：Ning Bo Hao Mi Xin Xi Ke Ji You Xian Gong Si
办公地址：
望山路247号2-1
宁波市
江北区
浙江省
315000
CN
</t>
  </si>
  <si>
    <t>53.1 pounds</t>
  </si>
  <si>
    <t>19.7 x 18.9 x 33.07 inches</t>
  </si>
  <si>
    <t>B08SWRSM1D</t>
  </si>
  <si>
    <t>B08SW265ZD</t>
  </si>
  <si>
    <t>https://www.amazon.com/dp/B08SWRSM1D?psc=1</t>
  </si>
  <si>
    <t>https://images-na.ssl-images-amazon.com/images/I/41wg6x9WEPS._AC_US600_.jpg</t>
  </si>
  <si>
    <t>OMMO</t>
  </si>
  <si>
    <t>OMMO Mini Fridge, 6 L Portable Fridge, Cooler and Warmer Compact Small Refrigerator with AC/DC Power, for Skincare, Medications, Beverage, Home and Travel, Black</t>
  </si>
  <si>
    <t>OMMO 迷你冰箱，6 升便携式冰箱，冷藏和保温紧凑型小型冰箱，带交流/直流电源，适用于护肤、药物、饮料、家庭和旅行，黑色</t>
  </si>
  <si>
    <t>22
28
81</t>
  </si>
  <si>
    <t>2021-01-13</t>
  </si>
  <si>
    <t>OMMO-US</t>
  </si>
  <si>
    <t>5.04 pounds</t>
  </si>
  <si>
    <t>5.1 x 5.3 x 9.3 inches</t>
  </si>
  <si>
    <t>B08G4RK3N9</t>
  </si>
  <si>
    <t>B08TVKZRLS</t>
  </si>
  <si>
    <t>https://www.amazon.com/dp/B08G4RK3N9?psc=1</t>
  </si>
  <si>
    <t>https://images-na.ssl-images-amazon.com/images/I/31VpXnmBskL._AC_US600_.jpg</t>
  </si>
  <si>
    <t>QUBI</t>
  </si>
  <si>
    <t>QUBI Mini Fridge, Professional Skincare Fridge, Mini Cosmetics Makeup Fridge, Compact Fridge 5 Liter (Cream White, 5L)</t>
  </si>
  <si>
    <t>QUBI 迷你冰箱，专业护肤冰箱，迷你化妆品化妆冰箱，紧凑型冰箱 5 升（奶油白，5L）</t>
  </si>
  <si>
    <t>奶油白</t>
  </si>
  <si>
    <t>5L</t>
  </si>
  <si>
    <t>2020-08-21</t>
  </si>
  <si>
    <t xml:space="preserve">公司名称：Wenbo Li
办公地址：
半壁店大街25号
301-7-501
北京市
通州区
101100
CN
</t>
  </si>
  <si>
    <t>7.78 pounds</t>
  </si>
  <si>
    <t>14.5 x 13.75 x 9.75 inches</t>
  </si>
  <si>
    <t>B09TW8VPMJ</t>
  </si>
  <si>
    <t>https://www.amazon.com/dp/B09TW8VPMJ?psc=1</t>
  </si>
  <si>
    <t>https://images-na.ssl-images-amazon.com/images/I/316qylcSyRL._AC_US600_.jpg</t>
  </si>
  <si>
    <t>AstroAI Mini Fridge 2.0, 6 Liter/8 Cans Skincare Fridge 110V AC/ 12V DC Portable Thermoelectric Cooler and Warmer Refrigerators for Christmas Gift, Bedroom, Beverage, Cosmetics (White)</t>
  </si>
  <si>
    <t>AstroAI Mini Fridge 2.0，6 升/8 罐护肤品冰箱 110V AC/12V DC 便携式热电冷藏箱和保温箱，适用于圣诞礼物、卧室、饮料、化妆品（白色）</t>
  </si>
  <si>
    <t>29
83</t>
  </si>
  <si>
    <t>2022-07-10</t>
  </si>
  <si>
    <t>5.79 pounds</t>
  </si>
  <si>
    <t>B07TFKPT39</t>
  </si>
  <si>
    <t>B09BYDC4XN</t>
  </si>
  <si>
    <t>https://www.amazon.com/dp/B07TFKPT39?psc=1</t>
  </si>
  <si>
    <t>https://m.media-amazon.com/images/I/21lahy5lEnL._AC_SR600,600_.jpg</t>
  </si>
  <si>
    <t>Danby DCR044B1BM-6 4.4 Cu.Ft. Compact Refrigerator with Chiller-Mini Fridge for Bar, Dorm, Basement, Den, Kitchen, or Living Room, Black</t>
  </si>
  <si>
    <t>丹比 DCR044B1BM-6 4.4 立方英尺。 带冷藏器的紧凑型冰箱 - 迷你冰箱，适用于酒吧、宿舍、地下室、书房、厨房或客厅，黑色</t>
  </si>
  <si>
    <t>125L</t>
  </si>
  <si>
    <t>2019-06-19</t>
  </si>
  <si>
    <t>59.5 pounds</t>
  </si>
  <si>
    <t>21.94 x 19.31 x 33.06 inches</t>
  </si>
  <si>
    <t>B08P4VCNKB</t>
  </si>
  <si>
    <t>B0BP1ZV4QR</t>
  </si>
  <si>
    <t>Size: 10L | Color: White-10L</t>
  </si>
  <si>
    <t>https://www.amazon.com/dp/B08P4VCNKB?psc=1</t>
  </si>
  <si>
    <t>https://m.media-amazon.com/images/I/4109SHmZnCL._AC_SR600,600_.jpg</t>
  </si>
  <si>
    <t>AstroAI Mini Fridge,15 Can 10 Liter Coolers &amp; Refrigerators Mini Cooler, AC/DC Thermoelectric Skincare Fridge for Christmas Gifts, Beverage, Bedroom, Office,Travel, ETL Listed (White)</t>
  </si>
  <si>
    <t>AstroAI 迷你冰箱，15 罐 10 升冷却器和冰箱迷你冷却器，AC/DC 热电护肤冰箱适用于圣诞礼物、饮料、卧室、办公室、旅行、ETL 认证（白色）</t>
  </si>
  <si>
    <t>31
85</t>
  </si>
  <si>
    <t>6.7 pounds</t>
  </si>
  <si>
    <t>9.84 x 12.8 x 13.86 inches</t>
  </si>
  <si>
    <t>B009CNNHDI</t>
  </si>
  <si>
    <t>https://www.amazon.com/dp/B009CNNHDI?psc=1</t>
  </si>
  <si>
    <t>https://images-na.ssl-images-amazon.com/images/I/41OVnIVPUGL._AC_US600_.jpg</t>
  </si>
  <si>
    <t>Coca-Cola Classic Coke Bottle 4L Mini Fridge for Bedroom 6 Can Portable Cooler, Personal Travel Refrigerator for Snacks Lunch Drinks Cosmetics, Desk Home Office Dorm, Red</t>
  </si>
  <si>
    <t>Coca-Cola 经典可乐瓶 4 升迷你冰箱适用于卧室 6 罐便携式冷藏箱，个人旅行冰箱，适合零食午餐饮料化妆品，办公桌家庭办公室宿舍，红色</t>
  </si>
  <si>
    <t>2022-12-01</t>
  </si>
  <si>
    <t>Koolatron Corporation</t>
  </si>
  <si>
    <t xml:space="preserve">公司名称：Koolatron Corporation
办公地址：
4330 Commerce Drive
Batavia
NY
14021
US
</t>
  </si>
  <si>
    <t>7 x 10 x 10 inches</t>
  </si>
  <si>
    <t>B09LQHH4RS</t>
  </si>
  <si>
    <t>B0B9WT9XZ6</t>
  </si>
  <si>
    <t>Size: 7L-black</t>
  </si>
  <si>
    <t>https://www.amazon.com/dp/B09LQHH4RS?psc=1</t>
  </si>
  <si>
    <t>https://images-na.ssl-images-amazon.com/images/I/41MS+pr7Y4L._AC_US600_.jpg</t>
  </si>
  <si>
    <t>COOSEON Mini fridge 7 liters, beauty makeup skin care fridge, AC/DC portable beauty fridge thermoelectric cooler heater, suitable for skin care, cosmetics, bedroom, office, car, dormitory</t>
  </si>
  <si>
    <t>COOSEON迷你冰箱7升美妆护肤冰箱交直流便携美容冰箱热电冷暖器适合护肤化妆品卧室办公室车载宿舍</t>
  </si>
  <si>
    <t>7L</t>
  </si>
  <si>
    <t>2020-06-27</t>
  </si>
  <si>
    <t>GITTOP</t>
  </si>
  <si>
    <t xml:space="preserve">公司名称：SHENZHENSHILONGGANGQULONGXIANGCHAYEHANG
办公地址：
龙岗街道平南社区榭丽花园B区一期东方国际茶都商铺B105
深圳市
龙岗区
广东省
518116
CN
</t>
  </si>
  <si>
    <t>6.66 pounds</t>
  </si>
  <si>
    <t>B09WVM6R78</t>
  </si>
  <si>
    <t>https://www.amazon.com/dp/B09WVM6R78?psc=1</t>
  </si>
  <si>
    <t>https://images-na.ssl-images-amazon.com/images/I/41LHWpnhSbL._AC_US600_.jpg</t>
  </si>
  <si>
    <t>NORTHCLAN</t>
  </si>
  <si>
    <t>10 Liter/11 Can Mini Skincare Fridge with 3-Mode LED &amp; Mirror, 110V AC/12V DC Portable Cooler &amp; Warmer Small Refrigerator for Skin Care Cosmetic Makeup, Perfect for Office Bedroom Dorm Car, White</t>
  </si>
  <si>
    <t>10 升/11 罐迷你护肤冰箱，带 3 模式 LED 和镜子，110V AC/12V DC 便携式冷藏和保温小型冰箱，适用于护肤化妆品，非常适合办公室卧室宿舍车，白色</t>
  </si>
  <si>
    <t>2022-03-30</t>
  </si>
  <si>
    <t>Airwell Hiroyal</t>
  </si>
  <si>
    <t xml:space="preserve">公司名称：ShenZhenShiLiuRuZhiShangMaoYouXianGongSi
办公地址：
南山街道南光社区南海大道2239号新能源大厦AB座7A701
深圳市
南山区
广东省
518000
CN
</t>
  </si>
  <si>
    <t>11.41 x 9.64 x 13.38 inches</t>
  </si>
  <si>
    <t>B096RQ24HJ</t>
  </si>
  <si>
    <t>https://www.amazon.com/dp/B096RQ24HJ?psc=1</t>
  </si>
  <si>
    <t>https://images-na.ssl-images-amazon.com/images/I/31yUTbDIbcL._AC_US600_.jpg</t>
  </si>
  <si>
    <t>Stealth</t>
  </si>
  <si>
    <t>Stealth JRE100 Mini Bedroom, 4 Liter/6 Can Small Refrigerator, AC/DC Cooler &amp; Warmer for Dorm Car Office, Portable Compact Skincare Fridge for Skin Care Cosmetic Makeup Beverage, White</t>
  </si>
  <si>
    <t>Stealth JRE100 迷你卧室，4 升/6 罐小型冰箱，适用于宿舍汽车办公室的交流/直流冷却器和加热器，便携式紧凑型护肤冰箱，适用于护肤化妆品饮料，白色</t>
  </si>
  <si>
    <t>35
89</t>
  </si>
  <si>
    <t>2021-06-07</t>
  </si>
  <si>
    <t>JND Clean Direct</t>
  </si>
  <si>
    <t xml:space="preserve">公司名称：Shenzhenshi Jiede Chuangxin Jishu Youxiangongsi
办公地址：
1001, Chuanghui Dasha, Wuhe Shequ
Bantian jiedao
Longgang qu
Shenzhen/Guangdong
518000
CN
</t>
  </si>
  <si>
    <t>5 pounds</t>
  </si>
  <si>
    <t>7.5 x 10 x 10.5 inches</t>
  </si>
  <si>
    <t>B09B797WC8</t>
  </si>
  <si>
    <t>B09PMQ4HT7</t>
  </si>
  <si>
    <t>https://www.amazon.com/dp/B09B797WC8?psc=1</t>
  </si>
  <si>
    <t>https://images-na.ssl-images-amazon.com/images/I/517Z3ZHBW-L._AC_US600_.jpg</t>
  </si>
  <si>
    <t>Mini Fridge with Freezer, 3.2 Cu.Ft Mini Refrigerator with 2 Doors, Compact Small Refrigerator for Dorm, Bedroom, Office, Energy Saving, 37 dB Low Noise, Stainless Steel</t>
  </si>
  <si>
    <t>带冰柜的迷你冰箱，带 2 门的 3.2 立方英尺迷你冰箱，适用于宿舍、卧室、办公室的紧凑型小型冰箱，节能，37 分贝低噪音，不锈钢</t>
  </si>
  <si>
    <t>2021-07-27</t>
  </si>
  <si>
    <t>KLYVOTEK</t>
  </si>
  <si>
    <t xml:space="preserve">公司名称：KLYVOTEK LLC
办公地址：
2544 McClave Dr Ste 205
Doraville
GA
30340-1951
US
</t>
  </si>
  <si>
    <t>57.3 pounds</t>
  </si>
  <si>
    <t>17.83 x 20.47 x 33.5 inches</t>
  </si>
  <si>
    <t>B087LZFGWS</t>
  </si>
  <si>
    <t>B0BR356V28</t>
  </si>
  <si>
    <t>Style: With Display Screen</t>
  </si>
  <si>
    <t>https://www.amazon.com/dp/B087LZFGWS?psc=1</t>
  </si>
  <si>
    <t>https://images-na.ssl-images-amazon.com/images/I/41xL9EsE7HL._AC_US600_.jpg</t>
  </si>
  <si>
    <t>Nictemaw</t>
  </si>
  <si>
    <t>20L Mini Fridge, Mini Freezer, Large Capacity Compact Cooler and Warmer with Digital Thermostat Display and Control Temperature, Single Door Mini Fridge Freezer for Cars, Road Trips, Homes, Offices</t>
  </si>
  <si>
    <t>20 升迷你冰箱、迷你冰柜、大容量紧凑型冷却器和加热器，带数字恒温器显示和控制温度，单门迷你冰箱冰柜适用于汽车、公路旅行、家庭、办公室</t>
  </si>
  <si>
    <t>2020-04-24</t>
  </si>
  <si>
    <t>plozara</t>
  </si>
  <si>
    <t xml:space="preserve">公司名称：shenzhenshikangtadianzishangwuyouxiangongsi
办公地址：
布吉社区
大坪路13号201
深圳市
龙岗区布吉街道
广东省
518112
CN
</t>
  </si>
  <si>
    <t>12.77 pounds</t>
  </si>
  <si>
    <t>7.87 x 8.27 x 12.99 inches</t>
  </si>
  <si>
    <t>B08M5LCZDZ</t>
  </si>
  <si>
    <t>B08VF7YDS2</t>
  </si>
  <si>
    <t>https://www.amazon.com/dp/B08M5LCZDZ?psc=1</t>
  </si>
  <si>
    <t>https://images-na.ssl-images-amazon.com/images/I/219yANULAuL._AC_US600_.jpg</t>
  </si>
  <si>
    <t>stylPro</t>
  </si>
  <si>
    <t>stylPro Mini Beauty Fridge (4 litre), Silver, Portable Cooler or Warmer for Skincare, Beauty Products, Makeup and Cosmetics, Storage organiser for Bedroom, Bathroom or Dressing Room, Gift for Women</t>
  </si>
  <si>
    <t>stylPro 迷你美容冰箱（4 升），银色，便携式冷藏箱或保温箱，适用于护肤品、美容产品、化妆品和化妆品，卧室、浴室或更衣室的储物收纳盒，女士礼物</t>
  </si>
  <si>
    <t>2020-10-28</t>
  </si>
  <si>
    <t>Aventom Ltd</t>
  </si>
  <si>
    <t xml:space="preserve">公司名称：AVENTOM Ltd
办公地址：
GLOBAL LOGISTICAL CONNECTIONS, INC.
2045 Westgate Dr. Suite 120
Carrollton
Texas
75006
US
</t>
  </si>
  <si>
    <t>4.99 pounds</t>
  </si>
  <si>
    <t>7.4 x 10.6 x 10.8 inches</t>
  </si>
  <si>
    <t>B0BNXBMWY4</t>
  </si>
  <si>
    <t>https://www.amazon.com/dp/B0BNXBMWY4?psc=1</t>
  </si>
  <si>
    <t>https://images-na.ssl-images-amazon.com/images/I/41X-dfWhKBL._AC_US600_.jpg</t>
  </si>
  <si>
    <t>PERSONAL CHILLER 6L Warm or Cooler Mini Fridge– Portable LED Fridge for Makeup, Skincare, Snacks, &amp; More – Mini Fridge for Bedroom Vanity with Lighted Glass, Black</t>
  </si>
  <si>
    <t>PERSONAL CHILLER 6L 保暖或冷藏迷你冰箱 - 便携式 LED 冰箱，用于化妆品、护肤品、零食等 - 带发光玻璃的卧室梳妆台迷你冰箱，黑色</t>
  </si>
  <si>
    <t>2022-12-03</t>
  </si>
  <si>
    <t>6.6 pounds</t>
  </si>
  <si>
    <t>12 x 12 x 8 inches</t>
  </si>
  <si>
    <t>B07YT1RLZC</t>
  </si>
  <si>
    <t>B0951WG98R</t>
  </si>
  <si>
    <t>Pattern Name: Refrigerator | Color: Black | Style: Double Door</t>
  </si>
  <si>
    <t>https://www.amazon.com/dp/B07YT1RLZC?psc=1</t>
  </si>
  <si>
    <t>https://m.media-amazon.com/images/I/31jsRfJwXHL._AC_SR600,600_.jpg</t>
  </si>
  <si>
    <t>Frigidaire EFR840-BLACK-COM Compact Refrigerator, 3.1, Black</t>
  </si>
  <si>
    <t>Frigidaire EFR840-BLACK-COM 紧凑型冰箱，3.1，黑色</t>
  </si>
  <si>
    <t>2019-10-07</t>
  </si>
  <si>
    <t>40 pounds</t>
  </si>
  <si>
    <t>22 x 21 x 30 inches</t>
  </si>
  <si>
    <t>B09WR328NY</t>
  </si>
  <si>
    <t>https://www.amazon.com/dp/B09WR328NY?psc=1</t>
  </si>
  <si>
    <t>https://images-na.ssl-images-amazon.com/images/I/41iLX2yDzuL._AC_US600_.jpg</t>
  </si>
  <si>
    <t>Msake</t>
  </si>
  <si>
    <t>Msake Portable Personal Mini Fridge, 8 Liter Compact Cooler and Warmer Refrigerator for Skincare Medications and Breast Milk Storage, 12V DC/ 110V AC for Home Office and Travel</t>
  </si>
  <si>
    <t>Msake 便携式个人迷你冰箱，8 升紧凑型冷藏和保温冰箱，适用于护肤药物和母乳储存，12V DC/110V AC 适用于家庭办公室和旅行</t>
  </si>
  <si>
    <t>2022-03-29</t>
  </si>
  <si>
    <t>Bstars US</t>
  </si>
  <si>
    <t xml:space="preserve">公司名称：Ai Feiqiang
办公地址：
Room203, No.3, District 2, Hezhoubaoluo Community,
Hezhou Community, Hangcheng Street, Baoan District
shenzhen
guangdong
518000
CN
</t>
  </si>
  <si>
    <t>8.78 pounds</t>
  </si>
  <si>
    <t>14.7 x 12.8 x 10 inches</t>
  </si>
  <si>
    <t>B078XTF1QR</t>
  </si>
  <si>
    <t>B08MPZVC6N</t>
  </si>
  <si>
    <t>https://www.amazon.com/dp/B078XTF1QR?psc=1</t>
  </si>
  <si>
    <t>https://m.media-amazon.com/images/I/31VvSJ-MWSL._AC_SR600,600_.jpg</t>
  </si>
  <si>
    <t>COSTWAY Compact Refrigerator, 3.2 cu ft. Unit 2-Door Mini Freezer Cooler Fridge with Reversible Door, Removable Glass Shelves, Mechanical Control, Recessed Handle for Dorm, Office, Apartment (Black)</t>
  </si>
  <si>
    <t>COSTWAY 紧凑型冰箱，3.2 立方英尺单元 2 门迷你冰柜冷藏冰箱带双面门，可拆卸玻璃搁板，机械控制，适用于宿舍、办公室、公寓的嵌入式把手（黑色）</t>
  </si>
  <si>
    <t>260~280usd</t>
  </si>
  <si>
    <t>2018-08-06</t>
  </si>
  <si>
    <t xml:space="preserve">公司名称：costway.com INC
办公地址：
3900 E Philadelphia St.
Ontario
CA
91761
US
</t>
  </si>
  <si>
    <t>52 pounds</t>
  </si>
  <si>
    <t>19.5 x 19 x 34 inches</t>
  </si>
  <si>
    <t>B07PPKBQ24</t>
  </si>
  <si>
    <t>B0B4W4NS8D</t>
  </si>
  <si>
    <t>Pattern Name: Fridge | Color: Pink</t>
  </si>
  <si>
    <t>https://www.amazon.com/dp/B07PPKBQ24?psc=1</t>
  </si>
  <si>
    <t>https://m.media-amazon.com/images/I/31pe6o04StL._AC_SR600,600_.jpg</t>
  </si>
  <si>
    <t>FRIGIDAIRE EFR372-PINK 3.2 Cu Ft Pink Retro Compact Rounded Corner Premium Mini Fridge</t>
  </si>
  <si>
    <t>FRIGIDAIRE EFR372-PINK 3.2 立方英尺粉色复古紧凑型圆角高级迷你冰箱</t>
  </si>
  <si>
    <t>2019-03-14</t>
  </si>
  <si>
    <t>48.6 pounds</t>
  </si>
  <si>
    <t>18.5 x 20 x 31.5 inches</t>
  </si>
  <si>
    <t>B09W2J5JKP</t>
  </si>
  <si>
    <t>https://www.amazon.com/dp/B09W2J5JKP?psc=1</t>
  </si>
  <si>
    <t>https://m.media-amazon.com/images/W/WEBP_402378-T2/images/I/41PuIrFBsAL._AC_SR600,600_.jpg</t>
  </si>
  <si>
    <t>SPECILITE</t>
  </si>
  <si>
    <t>SPECILITE Mini Fridge for Skin Care, Portable Beauty Fridge with Eraser Board Door and Bead Chain(4 Liter/6 Can) Cooler and Warmer, Personal AC/DC Refrigerator for Makeup, Food, Travel, Bedroom</t>
  </si>
  <si>
    <t>用于护肤的 SPECILITE 迷你冰箱，带橡皮板门和珠链的便携式美容冰箱（4 升/6 罐）冷藏箱和保温箱，个人 AC/DC 冰箱，用于化妆、食品、旅行、卧室</t>
  </si>
  <si>
    <t>2022-03-21</t>
  </si>
  <si>
    <t>EMARTUS</t>
  </si>
  <si>
    <t xml:space="preserve">公司名称：EMART INTERNATIONAL, INC.
办公地址：
17870 Castleton St Ste 230
City of industry
CA
91748
US
</t>
  </si>
  <si>
    <t>5.45 pounds</t>
  </si>
  <si>
    <t>10.6 x 7.3 x 10.8 inches</t>
  </si>
  <si>
    <t>B09W9JHN41</t>
  </si>
  <si>
    <t>B0B87QJWPV</t>
  </si>
  <si>
    <t>https://www.amazon.com/dp/B09W9JHN41?psc=1</t>
  </si>
  <si>
    <t>https://m.media-amazon.com/images/I/315U0pn-DDL._AC_SR600,600_.jpg</t>
  </si>
  <si>
    <t>Living Enrichment Mini Fridge, 4L Skincare Fridge, Portable Small Refrigerator Cooler for Skincare, Beverage, Food, Cosmetics, Home, Bedroom, for Christmas Gift - Black</t>
  </si>
  <si>
    <t>Living Enrichment 迷你冰箱，4 升护肤冰箱，便携式小型冰箱，适用于护肤品、饮料、食品、化妆品、家居、卧室，适合圣诞礼物 - 黑色</t>
  </si>
  <si>
    <t>2022-07-11</t>
  </si>
  <si>
    <t>3.75 pounds</t>
  </si>
  <si>
    <t>10.33 x 7.83 x 11.24 inches</t>
  </si>
  <si>
    <t>B0B4MWT8V8</t>
  </si>
  <si>
    <t>https://www.amazon.com/dp/B0B4MWT8V8?psc=1</t>
  </si>
  <si>
    <t>https://m.media-amazon.com/images/I/41w+nyWbjjL._AC_US600_.jpg</t>
  </si>
  <si>
    <t>KFO</t>
  </si>
  <si>
    <t>KFO Portable Mirrored Beauty Fridge With LED Lighting,6 Liter Portable Mini Fridge for Makeup, 4 Liter/6 Can 3 LED Mirror Light Mode,for Makeup Storage, Chill Cosmetics &amp; Face Masks</t>
  </si>
  <si>
    <t>KFO 便携式镜面美容冰箱带 LED 照明，6 升便携式化妆迷你冰箱，4 升/6 罐 3 LED 镜面灯模式，用于化妆品储存、冷藏化妆品和面膜</t>
  </si>
  <si>
    <t>102</t>
  </si>
  <si>
    <t>dacheng_shop</t>
  </si>
  <si>
    <t xml:space="preserve">公司名称：Shanxidachengkejiyouxiangongsi
办公地址：
太原学府园区南中环街529号清控创新基地D座23层完美时空公司众创空间第037号
山西
综改示范区
山西省
030032
CN
</t>
  </si>
  <si>
    <t>9.84 x 8.66 x 14.96 inches</t>
  </si>
  <si>
    <t>B0BP7PMFYJ</t>
  </si>
  <si>
    <t>https://www.amazon.com/dp/B0BP7PMFYJ?psc=1</t>
  </si>
  <si>
    <t>https://m.media-amazon.com/images/I/218jaFNjVQL._AC_SR600,600_.jpg</t>
  </si>
  <si>
    <t>Generic</t>
  </si>
  <si>
    <t>Mini Fridge 4 Liter AC/DC Energy Saving Cooler And Warmer Refrigerator, Portable Personal Fridge For Office, Car, Bedroom, 100% Freon-Free Great For Skincare, Fruit, Food, Medicine(Black) - F</t>
  </si>
  <si>
    <t>迷你冰箱 4 升交流/直流节能冷暖冰箱，便携式个人冰箱，适用于办公室、汽车、卧室，100% 不含氟利昂，非常适合护肤、水果、食品、药品（黑色）- F</t>
  </si>
  <si>
    <t>2022-12-06</t>
  </si>
  <si>
    <t>TheBestTools</t>
  </si>
  <si>
    <t xml:space="preserve">公司名称：TACKLIFE INC
办公地址：
24 WERMAN CT
PLAINVIEW
NY
11803-4508
US
</t>
  </si>
  <si>
    <t>5.92 pounds</t>
  </si>
  <si>
    <t>11 x 7.1 x 10.4 inches</t>
  </si>
  <si>
    <t>B07TXG7G1Y</t>
  </si>
  <si>
    <t>B07TWGJ7LS</t>
  </si>
  <si>
    <t>Size: VL60 with Cover</t>
  </si>
  <si>
    <t>https://www.amazon.com/dp/B07TXG7G1Y?psc=1</t>
  </si>
  <si>
    <t>https://m.media-amazon.com/images/I/31iSqMUCtYL._AC_US600_.jpg</t>
  </si>
  <si>
    <t>ICECO</t>
  </si>
  <si>
    <t>ICECO VL60 Dual Zone Portable Refrigerator with SECOP Compressor, 60 Liters Platinum Compact Refrigerator, DC 12/24V, AC 110-240V, 0℉ to 50℉, Home &amp; Car Use (with Insulated Cover)</t>
  </si>
  <si>
    <t>ICECO VL60 双区便携式冰箱，带 SECOP 压缩机，60 升铂金紧凑型冰箱，直流 12/24 伏，交流 110-240 伏，0°F 至 50°F，家用和车载（带隔热盖）</t>
  </si>
  <si>
    <t>Automotive:Interior Accessories:Electrical Appliances:Coolers &amp; Refrigerators</t>
  </si>
  <si>
    <t>104
391</t>
  </si>
  <si>
    <t>60L</t>
  </si>
  <si>
    <t>≥300usd</t>
  </si>
  <si>
    <t>2019-07-02</t>
  </si>
  <si>
    <t xml:space="preserve">公司名称：COOLER INTERNATIONAL CO.,LIMITED
电话号码：+1 888 606 1046
办公地址：
Flat 1601, Block E, Chung Ming Court
1 Po Shun Road, Tseung Kwan O
New Territories
Hong Kong
999077
HK
</t>
  </si>
  <si>
    <t>65.7 pounds</t>
  </si>
  <si>
    <t>31.2 x 19.4 x 18.8 inches</t>
  </si>
  <si>
    <t>B08P65PQ8V</t>
  </si>
  <si>
    <t>B09MGT2M78</t>
  </si>
  <si>
    <t>Size: 2.5 cu ft | Style: Refrigerator</t>
  </si>
  <si>
    <t>https://www.amazon.com/dp/B08P65PQ8V?psc=1</t>
  </si>
  <si>
    <t>https://m.media-amazon.com/images/I/315FSBqr4pL._AC_SR600,600_.jpg</t>
  </si>
  <si>
    <t>Frigidaire EFR285-AMZ, 2.5 cu ft Refrigerator, Stainless Steel Door, Platinum Series</t>
  </si>
  <si>
    <t>Frigidaire EFR285-AMZ，2.5 立方英尺冰箱，不锈钢门，白金系列</t>
  </si>
  <si>
    <t>Appliances</t>
  </si>
  <si>
    <t>Refrigerators
Countertop Microwave Ovens
Compact Refrigerators</t>
  </si>
  <si>
    <t>31
65
105</t>
  </si>
  <si>
    <t>70L</t>
  </si>
  <si>
    <t>2020-05-11</t>
  </si>
  <si>
    <t>18.5 x 21 x 28 inches</t>
  </si>
  <si>
    <t>B07PSW4XVW</t>
  </si>
  <si>
    <t>B09RG93JSV</t>
  </si>
  <si>
    <t>https://www.amazon.com/dp/B07PSW4XVW?psc=1</t>
  </si>
  <si>
    <t>https://m.media-amazon.com/images/I/31Y-zYQl5tL._AC_SR600,600_.jpg</t>
  </si>
  <si>
    <t>Frigidaire EFR115-BLUE 1.6 Cu Ft Compact Fridge for Office, Dorm Room, Mancave or RV, Blue</t>
  </si>
  <si>
    <t>Frigidaire EFR115-BLUE 1.6 立方英尺紧凑型冰箱，适用于办公室、宿舍、Mancave 或房车，蓝色</t>
  </si>
  <si>
    <t>30.9 pounds</t>
  </si>
  <si>
    <t>18.5 x 20.25 x 20.5 inches</t>
  </si>
  <si>
    <t>B01MDR6YQA</t>
  </si>
  <si>
    <t>https://www.amazon.com/dp/B01MDR6YQA?psc=1</t>
  </si>
  <si>
    <t>https://m.media-amazon.com/images/I/41ngeRHXxlL._AC_SR600,600_.jpg</t>
  </si>
  <si>
    <t>Coca Cola</t>
  </si>
  <si>
    <t>Coca-Cola Polar Bear Portable 6 Can Thermoelectric Mini Fridge Cooler/Warmer, 4 Liters/4.2 Quarts, 12V DC/110V AC Plugs Included Great for Home, Dorm, Car, Beverages, Cosmetics, Medication, ETL Listed</t>
  </si>
  <si>
    <t>Coca-Cola Polar Bear 便携式 6 罐热电迷你冰箱冷却器/加热器，4 升/4.2 夸脱，12V DC/110V AC 插头，非常适合家庭、宿舍、汽车、饮料、化妆品、药物，ETL 认证</t>
  </si>
  <si>
    <t>7.25 x 9.25 x 10.5 inches</t>
  </si>
  <si>
    <t>B0B716SJ1G</t>
  </si>
  <si>
    <t>B0B7BBTK9N</t>
  </si>
  <si>
    <t>Color: 3.2 cu.ft-Green</t>
  </si>
  <si>
    <t>https://www.amazon.com/dp/B0B716SJ1G?psc=1</t>
  </si>
  <si>
    <t>https://m.media-amazon.com/images/I/51IP1YTgioL._AC_SR600,600_.jpg</t>
  </si>
  <si>
    <t>Kismile</t>
  </si>
  <si>
    <t>Kismile Retro Mini Fridge with Freezer, 3.2 cu. ft Small fridge with Adjustable Removable Glass Shelves, Mechanical Control, Compact Refrigerator for Office, Dorm, Bedroom (Green)</t>
  </si>
  <si>
    <t xml:space="preserve"> Kismile 复古迷你冰箱带冰柜，3.2 立方米 ft 小型冰箱，带可调节可拆卸玻璃搁板，机械控制，适用于办公室、宿舍、卧室的紧凑型冰箱（绿色）</t>
  </si>
  <si>
    <t>Kismile Direct</t>
  </si>
  <si>
    <t xml:space="preserve">公司名称：ROWAN ELECTRIC APPLIANCE LLC
办公地址：
9733 Topanga Canyon Blvd. Apt 310,Chatsworth,CA,91311
9733 Topanga Canyon Blvd
Chatsworth
CA
91311
US
</t>
  </si>
  <si>
    <t>48.1 pounds</t>
  </si>
  <si>
    <t>17.64 x 20 x 34.41 inches</t>
  </si>
  <si>
    <t>B075R1LH8D</t>
  </si>
  <si>
    <t>B0B3HXYMMD</t>
  </si>
  <si>
    <t>Size: 20 Quart | Color: Gray</t>
  </si>
  <si>
    <t>https://www.amazon.com/dp/B075R1LH8D?psc=1</t>
  </si>
  <si>
    <t>https://m.media-amazon.com/images/I/41JsADUfBqL._AC_SR600,600_.jpg</t>
  </si>
  <si>
    <t>Alpicool</t>
  </si>
  <si>
    <t>Alpicool C20 Portable Car Freezer,12 Volt Refrigerator, 21 Quart (20 Liter) Fast Cooling 12V Car Fridge -4℉~68℉, Car Cooler, 12/24V DC and 100-240V AC for Outdoor, Camping, RV, Truck, Boat</t>
  </si>
  <si>
    <t>Alpicool C20 便携式车载冰箱，12 伏冰箱，21 夸脱（20 升）快速冷却 12V 车载冰箱 -4℉~68℉，车载冷却器，12/24V 直流电和 100-240V 交流电适用于户外、露营、房车、卡车、船</t>
  </si>
  <si>
    <t>2017-02-09</t>
  </si>
  <si>
    <t>Alpicool Portable Compressor Fridge Freezer</t>
  </si>
  <si>
    <t xml:space="preserve">公司名称：Foshan Alpicool Electric Appliance Co., Ltd
办公地址：
顺德区伦教镇新龙大道13号A
佛山市
顺德区
广东省
528308
CN
</t>
  </si>
  <si>
    <t>23.54 x 12.6 x 12.6 inches</t>
  </si>
  <si>
    <t>B084GSNPH1</t>
  </si>
  <si>
    <t>https://www.amazon.com/dp/B084GSNPH1?psc=1</t>
  </si>
  <si>
    <t>https://m.media-amazon.com/images/I/21r9BGy-TdL._AC_US600_.jpg</t>
  </si>
  <si>
    <t>Frigidaire EFR376-CORAL Retro Bar Fridge Refrigerator with Side Bottle Opener, 3.2 cu. Ft, Coral</t>
  </si>
  <si>
    <t xml:space="preserve"> Frigidaire EFR376-CORAL 复古条形冰箱，带侧开瓶器，3.2 立方米英尺，珊瑚</t>
  </si>
  <si>
    <t>金色</t>
  </si>
  <si>
    <t>2020-02-03</t>
  </si>
  <si>
    <t>43.8 pounds</t>
  </si>
  <si>
    <t>20 x 22 x 35 inches</t>
  </si>
  <si>
    <t>B07WP2S5XL</t>
  </si>
  <si>
    <t>https://www.amazon.com/dp/B07WP2S5XL?psc=1</t>
  </si>
  <si>
    <t>https://m.media-amazon.com/images/I/31vOlTkdGgL._AC_SR600,600_.jpg</t>
  </si>
  <si>
    <t>Antarctic Star Mini Refrigerator 3.1Cu.Ft Compact Fridge Defrost Double Doors Freezer Energy Saving Storage of Beverages Vegetables Fruits Suitable for Kitchen Living Room Office Dorm Green</t>
  </si>
  <si>
    <t>南极之星迷你冰箱 3.1 立方英尺紧凑型冰箱除霜双门冰柜节能储存饮料蔬菜水果适合厨房客厅办公室宿舍绿色</t>
  </si>
  <si>
    <t>2019-08-22</t>
  </si>
  <si>
    <t>18.9 x 19.69 x 33.46 inches</t>
  </si>
  <si>
    <t>B0BLTM88R6</t>
  </si>
  <si>
    <t>B0BNSYNBR3</t>
  </si>
  <si>
    <t>Color: Bright Silver</t>
  </si>
  <si>
    <t>https://www.amazon.com/dp/B0BLTM88R6?psc=1</t>
  </si>
  <si>
    <t>https://images-na.ssl-images-amazon.com/images/I/31aKjh3sbBL._AC_US600_.jpg</t>
  </si>
  <si>
    <t>Frestec Mini Fridge with Freezer, 3.2 Cu.Ft Mini Refrigerator with One-touch Easy Defrost,37 dB Low Noise, Compact Small Refrigerator for Dorm, Bedroom, Office (SILVER)</t>
  </si>
  <si>
    <t>Frestec 迷你冰箱带冰柜，3.2 立方英尺迷你冰箱，一键式轻松解冻，37 分贝低噪音紧凑型小型冰箱，适用于宿舍、卧室、办公室（银色）</t>
  </si>
  <si>
    <t>113</t>
  </si>
  <si>
    <t>0~1</t>
  </si>
  <si>
    <t>2022-11-15</t>
  </si>
  <si>
    <t>48.8 pounds</t>
  </si>
  <si>
    <t>16.73 x 17.83 x 32.45 inches</t>
  </si>
  <si>
    <t>B0BFHCBNKR</t>
  </si>
  <si>
    <t>https://www.amazon.com/dp/B0BFHCBNKR?psc=1</t>
  </si>
  <si>
    <t>https://m.media-amazon.com/images/I/410qJE9mn8L._AC_SR600,600_.jpg</t>
  </si>
  <si>
    <t>PERSONAL CHILLER Mini Skincare Fridge 6 Liter, Portable Cosmetic Fridge, Low Noise Small Refrigerator for Beauty Products, Beverage, Home, Bedroom, Dorm, Office</t>
  </si>
  <si>
    <t>PERSONAL CHILLER 迷你护肤冰箱 6 升，便携式化妆品冰箱，低噪音小型美容产品冰箱，饮料，家庭，卧室，宿舍，办公室</t>
  </si>
  <si>
    <t>114</t>
  </si>
  <si>
    <t>4.74 pounds</t>
  </si>
  <si>
    <t>13 x 7.6 x 9 inches</t>
  </si>
  <si>
    <t>40~60usd</t>
  </si>
  <si>
    <t>20~40usd</t>
  </si>
  <si>
    <t>60~80usd</t>
  </si>
</sst>
</file>

<file path=xl/styles.xml><?xml version="1.0" encoding="utf-8"?>
<styleSheet xmlns="http://schemas.openxmlformats.org/spreadsheetml/2006/main" xmlns:mc="http://schemas.openxmlformats.org/markup-compatibility/2006" xmlns:xr9="http://schemas.microsoft.com/office/spreadsheetml/2016/revision9" mc:Ignorable="xr9">
  <numFmts count="34">
    <numFmt numFmtId="7" formatCode="&quot;￥&quot;#,##0.00;&quot;￥&quot;\-#,##0.00"/>
    <numFmt numFmtId="25" formatCode="\$#,##0.00_);\(\$#,##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 numFmtId="179" formatCode="0.00_ "/>
    <numFmt numFmtId="180" formatCode="[$£-809]#,##0.00;\-[$£-809]#,##0.00"/>
    <numFmt numFmtId="181" formatCode="yyyy&quot;年&quot;m&quot;月&quot;d&quot;日&quot;;@"/>
    <numFmt numFmtId="182" formatCode="\$#,##0.00;\-\$#,##0.00"/>
    <numFmt numFmtId="183" formatCode="yyyy/m/d;@"/>
    <numFmt numFmtId="184" formatCode="0_ "/>
    <numFmt numFmtId="185" formatCode="#,##0_ "/>
    <numFmt numFmtId="186" formatCode="_ * #,##0_ ;_ * \-#,##0_ ;_ * &quot;-&quot;??_ ;_ @_ "/>
    <numFmt numFmtId="187" formatCode="0.0%"/>
    <numFmt numFmtId="188" formatCode="0.0000000000%"/>
    <numFmt numFmtId="189" formatCode="&quot;￥&quot;#,##0.00_);[Red]\(&quot;￥&quot;#,##0.00\)"/>
    <numFmt numFmtId="190" formatCode="0.000%"/>
    <numFmt numFmtId="191" formatCode="#,##0.00\ &quot;€&quot;_);\(#,##0.00\ &quot;€&quot;\)"/>
    <numFmt numFmtId="192" formatCode="[$£-809]#,##0.00_);\([$£-809]#,##0.00\)"/>
    <numFmt numFmtId="193" formatCode="[$€-83C]#,##0.00_);\([$€-83C]#,##0.00\)"/>
    <numFmt numFmtId="194" formatCode="[$¥-411]#,##0.0_);\([$¥-411]#,##0.0\)"/>
    <numFmt numFmtId="195" formatCode="[$¥-411]#,##0_);\([$¥-411]#,##0\)"/>
    <numFmt numFmtId="196" formatCode="0.00_);[Red]\(0.00\)"/>
    <numFmt numFmtId="197" formatCode="[$¥-411]#,##0;\-[$¥-411]#,##0"/>
    <numFmt numFmtId="198" formatCode="\¥#,##0.00;\¥\-#,##0.00"/>
    <numFmt numFmtId="199" formatCode="0.000_);[Red]\(0.000\)"/>
    <numFmt numFmtId="200" formatCode="0.0_);[Red]\(0.0\)"/>
    <numFmt numFmtId="201" formatCode="0.0_ "/>
    <numFmt numFmtId="202" formatCode="#,##0.0%"/>
    <numFmt numFmtId="203" formatCode="h:mm:ss;@"/>
  </numFmts>
  <fonts count="104">
    <font>
      <sz val="11"/>
      <color theme="1"/>
      <name val="宋体"/>
      <charset val="134"/>
      <scheme val="minor"/>
    </font>
    <font>
      <sz val="11"/>
      <color rgb="FFFEFEFE"/>
      <name val="等线"/>
      <charset val="134"/>
    </font>
    <font>
      <sz val="11"/>
      <name val="等线"/>
      <charset val="134"/>
    </font>
    <font>
      <sz val="11"/>
      <color theme="1"/>
      <name val="微软雅黑"/>
      <charset val="134"/>
    </font>
    <font>
      <b/>
      <sz val="8"/>
      <name val="微软雅黑"/>
      <charset val="134"/>
    </font>
    <font>
      <b/>
      <sz val="8"/>
      <color theme="1"/>
      <name val="微软雅黑"/>
      <charset val="134"/>
    </font>
    <font>
      <b/>
      <sz val="8"/>
      <color rgb="FF000000"/>
      <name val="微软雅黑"/>
      <charset val="134"/>
    </font>
    <font>
      <u/>
      <sz val="18"/>
      <name val="微软雅黑"/>
      <charset val="134"/>
    </font>
    <font>
      <sz val="9"/>
      <color theme="1"/>
      <name val="微软雅黑"/>
      <charset val="134"/>
    </font>
    <font>
      <b/>
      <sz val="9"/>
      <color theme="1"/>
      <name val="微软雅黑"/>
      <charset val="134"/>
    </font>
    <font>
      <sz val="8"/>
      <color theme="1"/>
      <name val="微软雅黑"/>
      <charset val="134"/>
    </font>
    <font>
      <sz val="9"/>
      <color rgb="FF000000"/>
      <name val="微软雅黑"/>
      <charset val="134"/>
    </font>
    <font>
      <sz val="8"/>
      <color rgb="FF000000"/>
      <name val="微软雅黑"/>
      <charset val="134"/>
    </font>
    <font>
      <sz val="11"/>
      <name val="宋体"/>
      <charset val="0"/>
      <scheme val="minor"/>
    </font>
    <font>
      <sz val="10"/>
      <color rgb="FFFF0000"/>
      <name val="微软雅黑"/>
      <charset val="134"/>
    </font>
    <font>
      <sz val="10"/>
      <color rgb="FF000000"/>
      <name val="微软雅黑"/>
      <charset val="134"/>
    </font>
    <font>
      <sz val="9"/>
      <name val="微软雅黑"/>
      <charset val="134"/>
    </font>
    <font>
      <sz val="8"/>
      <name val="微软雅黑"/>
      <charset val="134"/>
    </font>
    <font>
      <sz val="10"/>
      <color theme="1"/>
      <name val="宋体"/>
      <charset val="134"/>
      <scheme val="minor"/>
    </font>
    <font>
      <b/>
      <sz val="16"/>
      <color theme="1"/>
      <name val="微软雅黑"/>
      <charset val="134"/>
    </font>
    <font>
      <b/>
      <sz val="10"/>
      <color rgb="FF000000"/>
      <name val="微软雅黑"/>
      <charset val="134"/>
    </font>
    <font>
      <sz val="10"/>
      <color theme="1"/>
      <name val="微软雅黑"/>
      <charset val="134"/>
    </font>
    <font>
      <b/>
      <sz val="8"/>
      <color theme="1"/>
      <name val="宋体"/>
      <charset val="134"/>
      <scheme val="minor"/>
    </font>
    <font>
      <b/>
      <sz val="16"/>
      <color rgb="FF000000"/>
      <name val="微软雅黑"/>
      <charset val="134"/>
    </font>
    <font>
      <b/>
      <sz val="10"/>
      <color theme="1"/>
      <name val="微软雅黑"/>
      <charset val="134"/>
    </font>
    <font>
      <b/>
      <sz val="8"/>
      <color rgb="FFFF0000"/>
      <name val="微软雅黑"/>
      <charset val="134"/>
    </font>
    <font>
      <u/>
      <sz val="11"/>
      <color rgb="FF0000FF"/>
      <name val="宋体"/>
      <charset val="0"/>
      <scheme val="minor"/>
    </font>
    <font>
      <u/>
      <sz val="11"/>
      <color rgb="FF800080"/>
      <name val="宋体"/>
      <charset val="0"/>
      <scheme val="minor"/>
    </font>
    <font>
      <u/>
      <sz val="11"/>
      <color rgb="FF800080"/>
      <name val="宋体"/>
      <charset val="134"/>
      <scheme val="minor"/>
    </font>
    <font>
      <b/>
      <sz val="26"/>
      <color theme="1"/>
      <name val="微软雅黑"/>
      <charset val="134"/>
    </font>
    <font>
      <b/>
      <sz val="11"/>
      <color theme="1"/>
      <name val="微软雅黑"/>
      <charset val="134"/>
    </font>
    <font>
      <b/>
      <sz val="11"/>
      <name val="微软雅黑"/>
      <charset val="134"/>
    </font>
    <font>
      <b/>
      <sz val="11"/>
      <color rgb="FFFF0000"/>
      <name val="微软雅黑"/>
      <charset val="134"/>
    </font>
    <font>
      <b/>
      <sz val="12"/>
      <color theme="1"/>
      <name val="微软雅黑"/>
      <charset val="134"/>
    </font>
    <font>
      <b/>
      <sz val="20"/>
      <color theme="1"/>
      <name val="微软雅黑"/>
      <charset val="134"/>
    </font>
    <font>
      <b/>
      <sz val="14"/>
      <color theme="1"/>
      <name val="微软雅黑"/>
      <charset val="134"/>
    </font>
    <font>
      <sz val="9"/>
      <color rgb="FF333333"/>
      <name val="微软雅黑"/>
      <charset val="134"/>
    </font>
    <font>
      <b/>
      <sz val="22"/>
      <color theme="1"/>
      <name val="微软雅黑"/>
      <charset val="134"/>
    </font>
    <font>
      <b/>
      <sz val="18"/>
      <color rgb="FFFF0000"/>
      <name val="微软雅黑"/>
      <charset val="134"/>
    </font>
    <font>
      <b/>
      <i/>
      <sz val="14"/>
      <color theme="1"/>
      <name val="微软雅黑"/>
      <charset val="134"/>
    </font>
    <font>
      <b/>
      <i/>
      <sz val="12"/>
      <name val="微软雅黑"/>
      <charset val="134"/>
    </font>
    <font>
      <i/>
      <sz val="11"/>
      <color theme="1"/>
      <name val="微软雅黑"/>
      <charset val="134"/>
    </font>
    <font>
      <i/>
      <sz val="11"/>
      <name val="微软雅黑"/>
      <charset val="134"/>
    </font>
    <font>
      <sz val="11"/>
      <name val="微软雅黑"/>
      <charset val="134"/>
    </font>
    <font>
      <b/>
      <i/>
      <sz val="12"/>
      <name val="宋体"/>
      <charset val="134"/>
    </font>
    <font>
      <i/>
      <sz val="11"/>
      <name val="宋体"/>
      <charset val="134"/>
    </font>
    <font>
      <b/>
      <i/>
      <sz val="11"/>
      <color theme="1"/>
      <name val="微软雅黑"/>
      <charset val="134"/>
    </font>
    <font>
      <sz val="9"/>
      <color indexed="8"/>
      <name val="微软雅黑"/>
      <charset val="134"/>
    </font>
    <font>
      <b/>
      <sz val="12.5"/>
      <color indexed="8"/>
      <name val="微软雅黑"/>
      <charset val="134"/>
    </font>
    <font>
      <b/>
      <sz val="9"/>
      <color rgb="FFFF0000"/>
      <name val="微软雅黑"/>
      <charset val="134"/>
    </font>
    <font>
      <b/>
      <sz val="9"/>
      <color rgb="FF000000"/>
      <name val="微软雅黑"/>
      <charset val="134"/>
    </font>
    <font>
      <b/>
      <sz val="12.5"/>
      <name val="微软雅黑"/>
      <charset val="134"/>
    </font>
    <font>
      <b/>
      <sz val="10"/>
      <color rgb="FFFF0000"/>
      <name val="微软雅黑"/>
      <charset val="134"/>
    </font>
    <font>
      <b/>
      <sz val="9"/>
      <name val="微软雅黑"/>
      <charset val="134"/>
    </font>
    <font>
      <sz val="11"/>
      <color rgb="FF800080"/>
      <name val="宋体"/>
      <charset val="0"/>
      <scheme val="minor"/>
    </font>
    <font>
      <sz val="11"/>
      <color rgb="FF0000FF"/>
      <name val="宋体"/>
      <charset val="0"/>
      <scheme val="minor"/>
    </font>
    <font>
      <sz val="9"/>
      <color theme="1"/>
      <name val="宋体"/>
      <charset val="134"/>
      <scheme val="minor"/>
    </font>
    <font>
      <b/>
      <sz val="11"/>
      <color theme="1"/>
      <name val="宋体"/>
      <charset val="134"/>
      <scheme val="minor"/>
    </font>
    <font>
      <b/>
      <sz val="12.5"/>
      <color theme="1"/>
      <name val="微软雅黑"/>
      <charset val="134"/>
    </font>
    <font>
      <b/>
      <sz val="11"/>
      <color rgb="FF000000"/>
      <name val="微软雅黑"/>
      <charset val="134"/>
    </font>
    <font>
      <sz val="9.75"/>
      <color rgb="FF373A3D"/>
      <name val="Arial"/>
      <charset val="134"/>
    </font>
    <font>
      <sz val="9.75"/>
      <color rgb="FF0F1111"/>
      <name val="微软雅黑"/>
      <charset val="134"/>
    </font>
    <font>
      <sz val="10"/>
      <name val="微软雅黑"/>
      <charset val="134"/>
    </font>
    <font>
      <sz val="11"/>
      <color rgb="FFFF0000"/>
      <name val="等线"/>
      <charset val="134"/>
    </font>
    <font>
      <sz val="11"/>
      <color rgb="FFFF0000"/>
      <name val="微软雅黑"/>
      <charset val="134"/>
    </font>
    <font>
      <sz val="11"/>
      <color indexed="9"/>
      <name val="微软雅黑"/>
      <charset val="134"/>
    </font>
    <font>
      <sz val="11"/>
      <color rgb="FFFFFFFF"/>
      <name val="微软雅黑"/>
      <charset val="134"/>
    </font>
    <font>
      <b/>
      <sz val="11"/>
      <color rgb="FFFFFFFF"/>
      <name val="微软雅黑"/>
      <charset val="134"/>
    </font>
    <font>
      <u/>
      <sz val="11"/>
      <color rgb="FF0000FF"/>
      <name val="微软雅黑"/>
      <charset val="0"/>
    </font>
    <font>
      <b/>
      <sz val="11"/>
      <color indexed="9"/>
      <name val="微软雅黑"/>
      <charset val="134"/>
    </font>
    <font>
      <b/>
      <sz val="11"/>
      <name val="等线"/>
      <charset val="134"/>
    </font>
    <font>
      <sz val="10"/>
      <name val="等线"/>
      <charset val="134"/>
    </font>
    <font>
      <sz val="11"/>
      <color indexed="8"/>
      <name val="宋体"/>
      <charset val="134"/>
      <scheme val="minor"/>
    </font>
    <font>
      <sz val="10"/>
      <color indexed="9"/>
      <name val="Calibri"/>
      <charset val="134"/>
    </font>
    <font>
      <sz val="10"/>
      <color rgb="FFFFFFFF"/>
      <name val="方正书宋_GBK"/>
      <charset val="134"/>
    </font>
    <font>
      <sz val="10"/>
      <color rgb="FFFFFFFF"/>
      <name val="宋体"/>
      <charset val="134"/>
    </font>
    <font>
      <sz val="10"/>
      <color rgb="FFFFFFFF"/>
      <name val="Calibri"/>
      <charset val="134"/>
    </font>
    <font>
      <b/>
      <sz val="18"/>
      <color theme="1"/>
      <name val="微软雅黑"/>
      <charset val="134"/>
    </font>
    <font>
      <sz val="8"/>
      <color rgb="FFFF0000"/>
      <name val="微软雅黑"/>
      <charset val="134"/>
    </font>
    <font>
      <sz val="11"/>
      <color theme="0" tint="-0.35"/>
      <name val="宋体"/>
      <charset val="134"/>
      <scheme val="minor"/>
    </font>
    <font>
      <sz val="11"/>
      <name val="宋体"/>
      <charset val="134"/>
      <scheme val="minor"/>
    </font>
    <font>
      <sz val="12"/>
      <color theme="1"/>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简"/>
      <charset val="134"/>
    </font>
    <font>
      <sz val="10"/>
      <color rgb="FFFFFFFF"/>
      <name val="华文宋体"/>
      <charset val="134"/>
    </font>
    <font>
      <sz val="11"/>
      <name val="Times New Roman"/>
      <charset val="134"/>
    </font>
    <font>
      <b/>
      <sz val="9"/>
      <name val="宋体"/>
      <charset val="134"/>
    </font>
    <font>
      <sz val="9"/>
      <name val="宋体"/>
      <charset val="134"/>
    </font>
  </fonts>
  <fills count="70">
    <fill>
      <patternFill patternType="none"/>
    </fill>
    <fill>
      <patternFill patternType="gray125"/>
    </fill>
    <fill>
      <patternFill patternType="solid">
        <fgColor rgb="FFE98A00"/>
        <bgColor rgb="FF0000FF"/>
      </patternFill>
    </fill>
    <fill>
      <patternFill patternType="solid">
        <fgColor theme="4"/>
        <bgColor rgb="FF0000FF"/>
      </patternFill>
    </fill>
    <fill>
      <patternFill patternType="solid">
        <fgColor theme="1" tint="0.5"/>
        <bgColor indexed="64"/>
      </patternFill>
    </fill>
    <fill>
      <patternFill patternType="solid">
        <fgColor theme="4" tint="0.6"/>
        <bgColor indexed="64"/>
      </patternFill>
    </fill>
    <fill>
      <patternFill patternType="solid">
        <fgColor rgb="FFFFFF00"/>
        <bgColor indexed="64"/>
      </patternFill>
    </fill>
    <fill>
      <patternFill patternType="solid">
        <fgColor rgb="FF92D050"/>
        <bgColor indexed="64"/>
      </patternFill>
    </fill>
    <fill>
      <patternFill patternType="solid">
        <fgColor theme="4"/>
        <bgColor indexed="64"/>
      </patternFill>
    </fill>
    <fill>
      <patternFill patternType="solid">
        <fgColor rgb="FFEAECED"/>
        <bgColor indexed="64"/>
      </patternFill>
    </fill>
    <fill>
      <patternFill patternType="solid">
        <fgColor theme="2"/>
        <bgColor indexed="64"/>
      </patternFill>
    </fill>
    <fill>
      <patternFill patternType="solid">
        <fgColor theme="0"/>
        <bgColor indexed="64"/>
      </patternFill>
    </fill>
    <fill>
      <patternFill patternType="solid">
        <fgColor theme="6"/>
        <bgColor indexed="64"/>
      </patternFill>
    </fill>
    <fill>
      <patternFill patternType="solid">
        <fgColor theme="9" tint="0.8"/>
        <bgColor indexed="64"/>
      </patternFill>
    </fill>
    <fill>
      <patternFill patternType="solid">
        <fgColor theme="5" tint="-0.25"/>
        <bgColor indexed="64"/>
      </patternFill>
    </fill>
    <fill>
      <patternFill patternType="solid">
        <fgColor theme="0" tint="-0.35"/>
        <bgColor indexed="64"/>
      </patternFill>
    </fill>
    <fill>
      <patternFill patternType="solid">
        <fgColor theme="4" tint="0.8"/>
        <bgColor indexed="64"/>
      </patternFill>
    </fill>
    <fill>
      <patternFill patternType="solid">
        <fgColor rgb="FF00B0F0"/>
        <bgColor indexed="64"/>
      </patternFill>
    </fill>
    <fill>
      <patternFill patternType="solid">
        <fgColor rgb="FFFFC8B8"/>
        <bgColor indexed="64"/>
      </patternFill>
    </fill>
    <fill>
      <patternFill patternType="solid">
        <fgColor rgb="FFC5DEB5"/>
        <bgColor indexed="64"/>
      </patternFill>
    </fill>
    <fill>
      <patternFill patternType="solid">
        <fgColor theme="6" tint="0.6"/>
        <bgColor indexed="64"/>
      </patternFill>
    </fill>
    <fill>
      <patternFill patternType="solid">
        <fgColor rgb="FFDBDBDB"/>
        <bgColor indexed="64"/>
      </patternFill>
    </fill>
    <fill>
      <patternFill patternType="solid">
        <fgColor rgb="FFDEEBF6"/>
        <bgColor indexed="64"/>
      </patternFill>
    </fill>
    <fill>
      <patternFill patternType="solid">
        <fgColor rgb="FFFFF2CC"/>
        <bgColor indexed="64"/>
      </patternFill>
    </fill>
    <fill>
      <patternFill patternType="solid">
        <fgColor rgb="FFB4C6E7"/>
        <bgColor indexed="64"/>
      </patternFill>
    </fill>
    <fill>
      <patternFill patternType="solid">
        <fgColor rgb="FF5B9BD5"/>
        <bgColor indexed="64"/>
      </patternFill>
    </fill>
    <fill>
      <patternFill patternType="solid">
        <fgColor rgb="FFBDD7EE"/>
        <bgColor indexed="64"/>
      </patternFill>
    </fill>
    <fill>
      <patternFill patternType="solid">
        <fgColor theme="9"/>
        <bgColor indexed="64"/>
      </patternFill>
    </fill>
    <fill>
      <patternFill patternType="solid">
        <fgColor rgb="FFED7D31"/>
        <bgColor indexed="64"/>
      </patternFill>
    </fill>
    <fill>
      <patternFill patternType="solid">
        <fgColor rgb="FFC9C9C9"/>
        <bgColor indexed="64"/>
      </patternFill>
    </fill>
    <fill>
      <patternFill patternType="solid">
        <fgColor rgb="FFD8D8D8"/>
        <bgColor indexed="64"/>
      </patternFill>
    </fill>
    <fill>
      <patternFill patternType="solid">
        <fgColor rgb="FFFFE599"/>
        <bgColor indexed="64"/>
      </patternFill>
    </fill>
    <fill>
      <patternFill patternType="solid">
        <fgColor rgb="FFE2EEDA"/>
        <bgColor indexed="64"/>
      </patternFill>
    </fill>
    <fill>
      <patternFill patternType="solid">
        <fgColor rgb="FF9CC3E5"/>
        <bgColor indexed="64"/>
      </patternFill>
    </fill>
    <fill>
      <patternFill patternType="solid">
        <fgColor theme="7" tint="0.4"/>
        <bgColor indexed="64"/>
      </patternFill>
    </fill>
    <fill>
      <patternFill patternType="solid">
        <fgColor rgb="FFFFC000"/>
        <bgColor indexed="64"/>
      </patternFill>
    </fill>
    <fill>
      <patternFill patternType="solid">
        <fgColor theme="5" tint="0.4"/>
        <bgColor indexed="64"/>
      </patternFill>
    </fill>
    <fill>
      <patternFill patternType="solid">
        <fgColor theme="7"/>
        <bgColor indexed="64"/>
      </patternFill>
    </fill>
    <fill>
      <patternFill patternType="solid">
        <fgColor theme="8"/>
        <bgColor indexed="64"/>
      </patternFill>
    </fill>
    <fill>
      <patternFill patternType="solid">
        <fgColor rgb="FFE98A00"/>
        <bgColor indexed="64"/>
      </patternFill>
    </fill>
    <fill>
      <patternFill patternType="solid">
        <fgColor rgb="FF0070C0"/>
        <bgColor indexed="64"/>
      </patternFill>
    </fill>
    <fill>
      <patternFill patternType="solid">
        <fgColor rgb="FF339966"/>
        <bgColor indexed="64"/>
      </patternFill>
    </fill>
    <fill>
      <patternFill patternType="solid">
        <fgColor theme="4" tint="0.799981688894314"/>
        <bgColor theme="4" tint="0.79998168889431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1">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theme="0"/>
      </left>
      <right style="medium">
        <color theme="0"/>
      </right>
      <top style="medium">
        <color theme="0"/>
      </top>
      <bottom style="medium">
        <color rgb="FFFFFFFF"/>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style="thin">
        <color auto="1"/>
      </top>
      <bottom/>
      <diagonal/>
    </border>
    <border>
      <left style="medium">
        <color auto="1"/>
      </left>
      <right style="thin">
        <color auto="1"/>
      </right>
      <top style="thin">
        <color auto="1"/>
      </top>
      <bottom/>
      <diagonal/>
    </border>
    <border>
      <left/>
      <right style="medium">
        <color auto="1"/>
      </right>
      <top/>
      <bottom/>
      <diagonal/>
    </border>
    <border>
      <left/>
      <right style="thin">
        <color auto="1"/>
      </right>
      <top style="medium">
        <color auto="1"/>
      </top>
      <bottom/>
      <diagonal/>
    </border>
    <border>
      <left/>
      <right style="thin">
        <color auto="1"/>
      </right>
      <top/>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medium">
        <color auto="1"/>
      </left>
      <right style="medium">
        <color rgb="FF000000"/>
      </right>
      <top style="medium">
        <color rgb="FF000000"/>
      </top>
      <bottom style="thin">
        <color rgb="FF000000"/>
      </bottom>
      <diagonal/>
    </border>
    <border>
      <left/>
      <right style="thin">
        <color rgb="FFFFF2CC"/>
      </right>
      <top style="thin">
        <color rgb="FF000000"/>
      </top>
      <bottom style="thin">
        <color rgb="FF000000"/>
      </bottom>
      <diagonal/>
    </border>
    <border>
      <left style="thin">
        <color rgb="FFB4C6E7"/>
      </left>
      <right style="thin">
        <color rgb="FFB4C6E7"/>
      </right>
      <top style="thin">
        <color rgb="FF000000"/>
      </top>
      <bottom style="thin">
        <color rgb="FF000000"/>
      </bottom>
      <diagonal/>
    </border>
    <border>
      <left style="thin">
        <color rgb="FFB4C6E7"/>
      </left>
      <right style="medium">
        <color auto="1"/>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auto="1"/>
      </left>
      <right style="medium">
        <color rgb="FF000000"/>
      </right>
      <top style="thin">
        <color rgb="FF000000"/>
      </top>
      <bottom style="thin">
        <color rgb="FF000000"/>
      </bottom>
      <diagonal/>
    </border>
    <border>
      <left/>
      <right style="thin">
        <color rgb="FF000000"/>
      </right>
      <top style="thin">
        <color rgb="FF000000"/>
      </top>
      <bottom style="thin">
        <color rgb="FFC5DEB5"/>
      </bottom>
      <diagonal/>
    </border>
    <border>
      <left style="thin">
        <color rgb="FF000000"/>
      </left>
      <right style="thin">
        <color rgb="FF000000"/>
      </right>
      <top style="thin">
        <color rgb="FF000000"/>
      </top>
      <bottom style="thin">
        <color rgb="FFC5DEB5"/>
      </bottom>
      <diagonal/>
    </border>
    <border>
      <left style="thin">
        <color rgb="FFC5DEB5"/>
      </left>
      <right style="thin">
        <color rgb="FFC5DEB5"/>
      </right>
      <top style="thin">
        <color rgb="FF000000"/>
      </top>
      <bottom style="thin">
        <color rgb="FFC5DEB5"/>
      </bottom>
      <diagonal/>
    </border>
    <border>
      <left style="thin">
        <color rgb="FFC5DEB5"/>
      </left>
      <right style="thin">
        <color rgb="FF000000"/>
      </right>
      <top style="thin">
        <color rgb="FF000000"/>
      </top>
      <bottom style="thin">
        <color rgb="FFC5DEB5"/>
      </bottom>
      <diagonal/>
    </border>
    <border>
      <left style="thin">
        <color rgb="FF000000"/>
      </left>
      <right style="thin">
        <color rgb="FF000000"/>
      </right>
      <top style="thin">
        <color rgb="FF000000"/>
      </top>
      <bottom style="thin">
        <color rgb="FFDBDBDB"/>
      </bottom>
      <diagonal/>
    </border>
    <border>
      <left style="thin">
        <color rgb="FF000000"/>
      </left>
      <right style="thin">
        <color rgb="FF000000"/>
      </right>
      <top style="thin">
        <color rgb="FF000000"/>
      </top>
      <bottom style="thin">
        <color rgb="FFBDD7EE"/>
      </bottom>
      <diagonal/>
    </border>
    <border>
      <left style="thin">
        <color rgb="FF000000"/>
      </left>
      <right style="thin">
        <color rgb="FF000000"/>
      </right>
      <top style="thin">
        <color rgb="FF000000"/>
      </top>
      <bottom style="thin">
        <color rgb="FFFFF2CC"/>
      </bottom>
      <diagonal/>
    </border>
    <border>
      <left style="thin">
        <color rgb="FF000000"/>
      </left>
      <right style="thin">
        <color rgb="FFFFF2CC"/>
      </right>
      <top style="thin">
        <color rgb="FF000000"/>
      </top>
      <bottom style="thin">
        <color rgb="FFFFF2CC"/>
      </bottom>
      <diagonal/>
    </border>
    <border>
      <left style="thin">
        <color rgb="FF000000"/>
      </left>
      <right style="medium">
        <color auto="1"/>
      </right>
      <top style="thin">
        <color rgb="FF000000"/>
      </top>
      <bottom style="thin">
        <color rgb="FF000000"/>
      </bottom>
      <diagonal/>
    </border>
    <border>
      <left/>
      <right style="thin">
        <color rgb="FF000000"/>
      </right>
      <top style="thin">
        <color rgb="FF5B9BD5"/>
      </top>
      <bottom style="thin">
        <color rgb="FF000000"/>
      </bottom>
      <diagonal/>
    </border>
    <border>
      <left style="thin">
        <color rgb="FF000000"/>
      </left>
      <right style="thin">
        <color rgb="FF000000"/>
      </right>
      <top style="thin">
        <color rgb="FF5B9BD5"/>
      </top>
      <bottom style="thin">
        <color rgb="FF000000"/>
      </bottom>
      <diagonal/>
    </border>
    <border>
      <left style="thin">
        <color rgb="FF000000"/>
      </left>
      <right style="medium">
        <color rgb="FF000000"/>
      </right>
      <top style="thin">
        <color rgb="FF5B9BD5"/>
      </top>
      <bottom style="thin">
        <color rgb="FF000000"/>
      </bottom>
      <diagonal/>
    </border>
    <border>
      <left style="medium">
        <color auto="1"/>
      </left>
      <right style="medium">
        <color rgb="FF000000"/>
      </right>
      <top style="thin">
        <color rgb="FF000000"/>
      </top>
      <bottom/>
      <diagonal/>
    </border>
    <border>
      <left style="thin">
        <color rgb="FF000000"/>
      </left>
      <right style="thin">
        <color rgb="FFFFE599"/>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auto="1"/>
      </left>
      <right style="medium">
        <color rgb="FF000000"/>
      </right>
      <top/>
      <bottom/>
      <diagonal/>
    </border>
    <border>
      <left style="medium">
        <color auto="1"/>
      </left>
      <right style="medium">
        <color rgb="FF000000"/>
      </right>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thin">
        <color rgb="FFFFE599"/>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top/>
      <bottom/>
      <diagonal/>
    </border>
    <border>
      <left/>
      <right style="thin">
        <color auto="1"/>
      </right>
      <top/>
      <bottom style="thin">
        <color auto="1"/>
      </bottom>
      <diagonal/>
    </border>
    <border>
      <left style="medium">
        <color auto="1"/>
      </left>
      <right style="thin">
        <color auto="1"/>
      </right>
      <top/>
      <bottom/>
      <diagonal/>
    </border>
    <border>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4" borderId="103" applyNumberFormat="0" applyFont="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104" applyNumberFormat="0" applyFill="0" applyAlignment="0" applyProtection="0">
      <alignment vertical="center"/>
    </xf>
    <xf numFmtId="0" fontId="86" fillId="0" borderId="104" applyNumberFormat="0" applyFill="0" applyAlignment="0" applyProtection="0">
      <alignment vertical="center"/>
    </xf>
    <xf numFmtId="0" fontId="87" fillId="0" borderId="105" applyNumberFormat="0" applyFill="0" applyAlignment="0" applyProtection="0">
      <alignment vertical="center"/>
    </xf>
    <xf numFmtId="0" fontId="87" fillId="0" borderId="0" applyNumberFormat="0" applyFill="0" applyBorder="0" applyAlignment="0" applyProtection="0">
      <alignment vertical="center"/>
    </xf>
    <xf numFmtId="0" fontId="88" fillId="45" borderId="106" applyNumberFormat="0" applyAlignment="0" applyProtection="0">
      <alignment vertical="center"/>
    </xf>
    <xf numFmtId="0" fontId="89" fillId="46" borderId="107" applyNumberFormat="0" applyAlignment="0" applyProtection="0">
      <alignment vertical="center"/>
    </xf>
    <xf numFmtId="0" fontId="90" fillId="46" borderId="106" applyNumberFormat="0" applyAlignment="0" applyProtection="0">
      <alignment vertical="center"/>
    </xf>
    <xf numFmtId="0" fontId="91" fillId="47" borderId="108" applyNumberFormat="0" applyAlignment="0" applyProtection="0">
      <alignment vertical="center"/>
    </xf>
    <xf numFmtId="0" fontId="92" fillId="0" borderId="109" applyNumberFormat="0" applyFill="0" applyAlignment="0" applyProtection="0">
      <alignment vertical="center"/>
    </xf>
    <xf numFmtId="0" fontId="93" fillId="0" borderId="110" applyNumberFormat="0" applyFill="0" applyAlignment="0" applyProtection="0">
      <alignment vertical="center"/>
    </xf>
    <xf numFmtId="0" fontId="94" fillId="48" borderId="0" applyNumberFormat="0" applyBorder="0" applyAlignment="0" applyProtection="0">
      <alignment vertical="center"/>
    </xf>
    <xf numFmtId="0" fontId="95" fillId="49" borderId="0" applyNumberFormat="0" applyBorder="0" applyAlignment="0" applyProtection="0">
      <alignment vertical="center"/>
    </xf>
    <xf numFmtId="0" fontId="96" fillId="50" borderId="0" applyNumberFormat="0" applyBorder="0" applyAlignment="0" applyProtection="0">
      <alignment vertical="center"/>
    </xf>
    <xf numFmtId="0" fontId="97" fillId="8" borderId="0" applyNumberFormat="0" applyBorder="0" applyAlignment="0" applyProtection="0">
      <alignment vertical="center"/>
    </xf>
    <xf numFmtId="0" fontId="98" fillId="51" borderId="0" applyNumberFormat="0" applyBorder="0" applyAlignment="0" applyProtection="0">
      <alignment vertical="center"/>
    </xf>
    <xf numFmtId="0" fontId="98" fillId="52" borderId="0" applyNumberFormat="0" applyBorder="0" applyAlignment="0" applyProtection="0">
      <alignment vertical="center"/>
    </xf>
    <xf numFmtId="0" fontId="97" fillId="53" borderId="0" applyNumberFormat="0" applyBorder="0" applyAlignment="0" applyProtection="0">
      <alignment vertical="center"/>
    </xf>
    <xf numFmtId="0" fontId="97" fillId="54" borderId="0" applyNumberFormat="0" applyBorder="0" applyAlignment="0" applyProtection="0">
      <alignment vertical="center"/>
    </xf>
    <xf numFmtId="0" fontId="98" fillId="55" borderId="0" applyNumberFormat="0" applyBorder="0" applyAlignment="0" applyProtection="0">
      <alignment vertical="center"/>
    </xf>
    <xf numFmtId="0" fontId="98" fillId="56" borderId="0" applyNumberFormat="0" applyBorder="0" applyAlignment="0" applyProtection="0">
      <alignment vertical="center"/>
    </xf>
    <xf numFmtId="0" fontId="97" fillId="57" borderId="0" applyNumberFormat="0" applyBorder="0" applyAlignment="0" applyProtection="0">
      <alignment vertical="center"/>
    </xf>
    <xf numFmtId="0" fontId="97" fillId="12" borderId="0" applyNumberFormat="0" applyBorder="0" applyAlignment="0" applyProtection="0">
      <alignment vertical="center"/>
    </xf>
    <xf numFmtId="0" fontId="98" fillId="58" borderId="0" applyNumberFormat="0" applyBorder="0" applyAlignment="0" applyProtection="0">
      <alignment vertical="center"/>
    </xf>
    <xf numFmtId="0" fontId="98" fillId="59" borderId="0" applyNumberFormat="0" applyBorder="0" applyAlignment="0" applyProtection="0">
      <alignment vertical="center"/>
    </xf>
    <xf numFmtId="0" fontId="97" fillId="60" borderId="0" applyNumberFormat="0" applyBorder="0" applyAlignment="0" applyProtection="0">
      <alignment vertical="center"/>
    </xf>
    <xf numFmtId="0" fontId="97" fillId="37" borderId="0" applyNumberFormat="0" applyBorder="0" applyAlignment="0" applyProtection="0">
      <alignment vertical="center"/>
    </xf>
    <xf numFmtId="0" fontId="98" fillId="61" borderId="0" applyNumberFormat="0" applyBorder="0" applyAlignment="0" applyProtection="0">
      <alignment vertical="center"/>
    </xf>
    <xf numFmtId="0" fontId="98" fillId="62" borderId="0" applyNumberFormat="0" applyBorder="0" applyAlignment="0" applyProtection="0">
      <alignment vertical="center"/>
    </xf>
    <xf numFmtId="0" fontId="97" fillId="63" borderId="0" applyNumberFormat="0" applyBorder="0" applyAlignment="0" applyProtection="0">
      <alignment vertical="center"/>
    </xf>
    <xf numFmtId="0" fontId="97" fillId="38" borderId="0" applyNumberFormat="0" applyBorder="0" applyAlignment="0" applyProtection="0">
      <alignment vertical="center"/>
    </xf>
    <xf numFmtId="0" fontId="98" fillId="64" borderId="0" applyNumberFormat="0" applyBorder="0" applyAlignment="0" applyProtection="0">
      <alignment vertical="center"/>
    </xf>
    <xf numFmtId="0" fontId="98" fillId="65" borderId="0" applyNumberFormat="0" applyBorder="0" applyAlignment="0" applyProtection="0">
      <alignment vertical="center"/>
    </xf>
    <xf numFmtId="0" fontId="97" fillId="66" borderId="0" applyNumberFormat="0" applyBorder="0" applyAlignment="0" applyProtection="0">
      <alignment vertical="center"/>
    </xf>
    <xf numFmtId="0" fontId="97" fillId="27" borderId="0" applyNumberFormat="0" applyBorder="0" applyAlignment="0" applyProtection="0">
      <alignment vertical="center"/>
    </xf>
    <xf numFmtId="0" fontId="98" fillId="67" borderId="0" applyNumberFormat="0" applyBorder="0" applyAlignment="0" applyProtection="0">
      <alignment vertical="center"/>
    </xf>
    <xf numFmtId="0" fontId="98" fillId="68" borderId="0" applyNumberFormat="0" applyBorder="0" applyAlignment="0" applyProtection="0">
      <alignment vertical="center"/>
    </xf>
    <xf numFmtId="0" fontId="97" fillId="69" borderId="0" applyNumberFormat="0" applyBorder="0" applyAlignment="0" applyProtection="0">
      <alignment vertical="center"/>
    </xf>
    <xf numFmtId="0" fontId="0" fillId="0" borderId="0">
      <alignment vertical="center"/>
    </xf>
  </cellStyleXfs>
  <cellXfs count="1060">
    <xf numFmtId="0" fontId="0" fillId="0" borderId="0" xfId="0"/>
    <xf numFmtId="0" fontId="0" fillId="0" borderId="0" xfId="0" applyFont="1" applyFill="1" applyAlignment="1"/>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3" fontId="1" fillId="3" borderId="0" xfId="0" applyNumberFormat="1" applyFont="1" applyFill="1" applyAlignment="1">
      <alignment horizontal="center" vertical="center"/>
    </xf>
    <xf numFmtId="4"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177" fontId="1" fillId="2" borderId="0" xfId="0" applyNumberFormat="1" applyFont="1" applyFill="1" applyAlignment="1">
      <alignment horizontal="center" vertical="center"/>
    </xf>
    <xf numFmtId="178"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Fill="1" applyAlignment="1">
      <alignment horizontal="left" vertical="center"/>
    </xf>
    <xf numFmtId="0" fontId="2" fillId="0" borderId="0" xfId="0" applyFont="1" applyFill="1" applyAlignment="1">
      <alignment horizontal="center" vertical="center"/>
    </xf>
    <xf numFmtId="4" fontId="2" fillId="0" borderId="0" xfId="0" applyNumberFormat="1" applyFont="1" applyAlignment="1">
      <alignment horizontal="right" vertical="center"/>
    </xf>
    <xf numFmtId="176" fontId="2" fillId="0" borderId="0" xfId="0" applyNumberFormat="1" applyFont="1" applyAlignment="1">
      <alignment horizontal="right" vertical="center"/>
    </xf>
    <xf numFmtId="177" fontId="2" fillId="0" borderId="0" xfId="0" applyNumberFormat="1" applyFont="1" applyAlignment="1">
      <alignment horizontal="center" vertical="center"/>
    </xf>
    <xf numFmtId="178" fontId="2" fillId="0" borderId="0" xfId="0" applyNumberFormat="1" applyFont="1" applyAlignment="1">
      <alignment horizontal="right" vertical="center"/>
    </xf>
    <xf numFmtId="3" fontId="0" fillId="0" borderId="0" xfId="0" applyNumberFormat="1" applyAlignment="1">
      <alignment horizontal="center" vertical="center"/>
    </xf>
    <xf numFmtId="3" fontId="2" fillId="0" borderId="0" xfId="0" applyNumberFormat="1" applyFont="1" applyAlignment="1">
      <alignment horizontal="center" vertical="center"/>
    </xf>
    <xf numFmtId="0" fontId="2" fillId="0" borderId="0" xfId="0" applyFont="1" applyAlignment="1">
      <alignment horizontal="right" vertical="center"/>
    </xf>
    <xf numFmtId="3" fontId="2" fillId="4" borderId="0" xfId="0" applyNumberFormat="1" applyFont="1" applyFill="1" applyAlignment="1">
      <alignment horizontal="right" vertical="center" wrapText="1"/>
    </xf>
    <xf numFmtId="3" fontId="2" fillId="5" borderId="0" xfId="0" applyNumberFormat="1" applyFont="1" applyFill="1" applyAlignment="1">
      <alignment horizontal="right" vertical="center"/>
    </xf>
    <xf numFmtId="4" fontId="2" fillId="5" borderId="0" xfId="0" applyNumberFormat="1" applyFont="1" applyFill="1" applyAlignment="1">
      <alignment horizontal="right" vertical="center"/>
    </xf>
    <xf numFmtId="176" fontId="2" fillId="5" borderId="0" xfId="0" applyNumberFormat="1" applyFont="1" applyFill="1" applyAlignment="1">
      <alignment horizontal="right" vertical="center"/>
    </xf>
    <xf numFmtId="4" fontId="0" fillId="0" borderId="0" xfId="0" applyNumberFormat="1" applyAlignment="1">
      <alignment horizontal="center" vertical="center"/>
    </xf>
    <xf numFmtId="0" fontId="0" fillId="0" borderId="0" xfId="0" applyAlignment="1">
      <alignment horizontal="center" vertical="center"/>
    </xf>
    <xf numFmtId="177" fontId="0" fillId="0" borderId="0" xfId="0" applyNumberFormat="1" applyAlignment="1">
      <alignment horizontal="center" vertical="center"/>
    </xf>
    <xf numFmtId="0" fontId="2" fillId="5" borderId="0" xfId="0" applyFont="1" applyFill="1" applyAlignment="1">
      <alignment horizontal="left" vertical="center"/>
    </xf>
    <xf numFmtId="0" fontId="3" fillId="6" borderId="0" xfId="0" applyFont="1" applyFill="1" applyAlignment="1">
      <alignment horizontal="left"/>
    </xf>
    <xf numFmtId="0" fontId="4" fillId="0" borderId="0" xfId="0" applyFont="1" applyFill="1" applyAlignment="1">
      <alignment horizontal="center" vertical="center"/>
    </xf>
    <xf numFmtId="0" fontId="5" fillId="0" borderId="0" xfId="0" applyFont="1" applyFill="1" applyAlignment="1">
      <alignment vertical="center"/>
    </xf>
    <xf numFmtId="0" fontId="0" fillId="0" borderId="0" xfId="0" applyAlignment="1">
      <alignment horizontal="left"/>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0" xfId="0" applyFont="1" applyFill="1" applyAlignment="1">
      <alignment horizontal="center" vertical="center" wrapText="1"/>
    </xf>
    <xf numFmtId="0" fontId="4" fillId="8"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10" borderId="1" xfId="0" applyFont="1" applyFill="1" applyBorder="1" applyAlignment="1">
      <alignment vertical="center" wrapText="1"/>
    </xf>
    <xf numFmtId="0" fontId="6" fillId="10" borderId="1" xfId="0" applyFont="1" applyFill="1" applyBorder="1" applyAlignment="1">
      <alignment horizontal="left" vertical="center"/>
    </xf>
    <xf numFmtId="0" fontId="6" fillId="10" borderId="1" xfId="0" applyFont="1" applyFill="1" applyBorder="1" applyAlignment="1">
      <alignment vertical="center"/>
    </xf>
    <xf numFmtId="0" fontId="6" fillId="10" borderId="4" xfId="0" applyFont="1" applyFill="1" applyBorder="1" applyAlignment="1">
      <alignment vertical="center"/>
    </xf>
    <xf numFmtId="179" fontId="4" fillId="0" borderId="0" xfId="0" applyNumberFormat="1" applyFont="1" applyFill="1" applyBorder="1" applyAlignment="1">
      <alignment vertical="center"/>
    </xf>
    <xf numFmtId="0" fontId="4" fillId="5" borderId="5" xfId="0" applyFont="1" applyFill="1" applyBorder="1" applyAlignment="1">
      <alignment vertical="center"/>
    </xf>
    <xf numFmtId="0" fontId="4" fillId="5" borderId="1" xfId="0" applyFont="1" applyFill="1" applyBorder="1" applyAlignment="1">
      <alignment vertical="center"/>
    </xf>
    <xf numFmtId="0" fontId="4" fillId="5" borderId="4" xfId="0" applyFont="1" applyFill="1" applyBorder="1" applyAlignment="1">
      <alignment vertical="center"/>
    </xf>
    <xf numFmtId="0" fontId="4" fillId="5" borderId="6" xfId="0" applyFont="1" applyFill="1" applyBorder="1" applyAlignment="1">
      <alignment vertical="center"/>
    </xf>
    <xf numFmtId="0" fontId="0" fillId="0" borderId="0" xfId="0" applyFont="1" applyFill="1" applyAlignment="1">
      <alignment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180" fontId="8" fillId="0" borderId="9" xfId="49" applyNumberFormat="1" applyFont="1" applyFill="1" applyBorder="1" applyAlignment="1">
      <alignment horizontal="center" vertical="center"/>
    </xf>
    <xf numFmtId="180" fontId="8" fillId="0" borderId="10" xfId="49" applyNumberFormat="1" applyFont="1" applyFill="1" applyBorder="1" applyAlignment="1">
      <alignment horizontal="center" vertical="center"/>
    </xf>
    <xf numFmtId="180" fontId="8" fillId="0" borderId="11" xfId="49" applyNumberFormat="1" applyFont="1" applyFill="1" applyBorder="1" applyAlignment="1">
      <alignment horizontal="center" vertical="center"/>
    </xf>
    <xf numFmtId="180" fontId="8" fillId="0" borderId="12" xfId="49" applyNumberFormat="1" applyFont="1" applyFill="1" applyBorder="1" applyAlignment="1">
      <alignment horizontal="center" vertical="center"/>
    </xf>
    <xf numFmtId="181" fontId="8" fillId="0" borderId="10" xfId="49" applyNumberFormat="1" applyFont="1" applyFill="1" applyBorder="1" applyAlignment="1">
      <alignment horizontal="center" vertical="center"/>
    </xf>
    <xf numFmtId="180" fontId="8" fillId="0" borderId="11" xfId="49" applyNumberFormat="1" applyFont="1" applyFill="1" applyBorder="1" applyAlignment="1">
      <alignment horizontal="center" vertical="center" wrapText="1"/>
    </xf>
    <xf numFmtId="180" fontId="8" fillId="0" borderId="12" xfId="49" applyNumberFormat="1" applyFont="1" applyFill="1" applyBorder="1" applyAlignment="1">
      <alignment horizontal="center" vertical="center" wrapText="1"/>
    </xf>
    <xf numFmtId="181" fontId="8" fillId="0" borderId="13" xfId="49" applyNumberFormat="1" applyFont="1" applyFill="1" applyBorder="1" applyAlignment="1">
      <alignment horizontal="center" vertical="center"/>
    </xf>
    <xf numFmtId="180" fontId="9" fillId="0" borderId="14" xfId="49" applyNumberFormat="1" applyFont="1" applyFill="1" applyBorder="1" applyAlignment="1">
      <alignment horizontal="left" vertical="top" wrapText="1"/>
    </xf>
    <xf numFmtId="180" fontId="8" fillId="0" borderId="15" xfId="49" applyNumberFormat="1" applyFont="1" applyFill="1" applyBorder="1" applyAlignment="1">
      <alignment horizontal="left" vertical="top" wrapText="1"/>
    </xf>
    <xf numFmtId="180" fontId="8" fillId="0" borderId="16" xfId="49" applyNumberFormat="1" applyFont="1" applyFill="1" applyBorder="1" applyAlignment="1">
      <alignment horizontal="left" vertical="top" wrapText="1"/>
    </xf>
    <xf numFmtId="180" fontId="8" fillId="7" borderId="17" xfId="49" applyNumberFormat="1" applyFont="1" applyFill="1" applyBorder="1" applyAlignment="1">
      <alignment horizontal="center" vertical="center"/>
    </xf>
    <xf numFmtId="180" fontId="8" fillId="7" borderId="18" xfId="49" applyNumberFormat="1" applyFont="1" applyFill="1" applyBorder="1" applyAlignment="1">
      <alignment horizontal="center" vertical="center"/>
    </xf>
    <xf numFmtId="180" fontId="8" fillId="7" borderId="9" xfId="49" applyNumberFormat="1" applyFont="1" applyFill="1" applyBorder="1" applyAlignment="1">
      <alignment horizontal="center" vertical="center"/>
    </xf>
    <xf numFmtId="180" fontId="8" fillId="7" borderId="10" xfId="49" applyNumberFormat="1" applyFont="1" applyFill="1" applyBorder="1" applyAlignment="1">
      <alignment horizontal="center" vertical="center"/>
    </xf>
    <xf numFmtId="180" fontId="8" fillId="7" borderId="9" xfId="49" applyNumberFormat="1" applyFont="1" applyFill="1" applyBorder="1" applyAlignment="1">
      <alignment horizontal="center" vertical="center" wrapText="1"/>
    </xf>
    <xf numFmtId="180" fontId="10" fillId="7" borderId="10" xfId="49" applyNumberFormat="1" applyFont="1" applyFill="1" applyBorder="1" applyAlignment="1">
      <alignment horizontal="center" vertical="center" wrapText="1"/>
    </xf>
    <xf numFmtId="180" fontId="11" fillId="0" borderId="10" xfId="0" applyNumberFormat="1" applyFont="1" applyFill="1" applyBorder="1" applyAlignment="1">
      <alignment horizontal="left" vertical="center" wrapText="1"/>
    </xf>
    <xf numFmtId="180" fontId="10" fillId="7" borderId="10" xfId="49" applyNumberFormat="1" applyFont="1" applyFill="1" applyBorder="1" applyAlignment="1">
      <alignment horizontal="center" vertical="center"/>
    </xf>
    <xf numFmtId="180" fontId="10" fillId="7" borderId="19" xfId="49" applyNumberFormat="1" applyFont="1" applyFill="1" applyBorder="1" applyAlignment="1">
      <alignment horizontal="center" vertical="center" wrapText="1"/>
    </xf>
    <xf numFmtId="180" fontId="12" fillId="7" borderId="19" xfId="0" applyNumberFormat="1" applyFont="1" applyFill="1" applyBorder="1" applyAlignment="1">
      <alignment horizontal="center" vertical="center" wrapText="1" shrinkToFit="1"/>
    </xf>
    <xf numFmtId="180" fontId="11" fillId="0" borderId="19" xfId="0" applyNumberFormat="1" applyFont="1" applyFill="1" applyBorder="1" applyAlignment="1">
      <alignment horizontal="center" vertical="center" wrapText="1" shrinkToFit="1"/>
    </xf>
    <xf numFmtId="180" fontId="10" fillId="7" borderId="20" xfId="49" applyNumberFormat="1" applyFont="1" applyFill="1" applyBorder="1" applyAlignment="1">
      <alignment horizontal="center" vertical="center" wrapText="1"/>
    </xf>
    <xf numFmtId="180" fontId="12" fillId="7" borderId="21" xfId="0" applyNumberFormat="1" applyFont="1" applyFill="1" applyBorder="1" applyAlignment="1">
      <alignment horizontal="center" vertical="center" wrapText="1" shrinkToFit="1"/>
    </xf>
    <xf numFmtId="180" fontId="11" fillId="0" borderId="21" xfId="0" applyNumberFormat="1" applyFont="1" applyFill="1" applyBorder="1" applyAlignment="1">
      <alignment horizontal="center" vertical="center" wrapText="1" shrinkToFit="1"/>
    </xf>
    <xf numFmtId="180" fontId="10" fillId="7" borderId="20" xfId="49" applyNumberFormat="1" applyFont="1" applyFill="1" applyBorder="1" applyAlignment="1">
      <alignment horizontal="center" vertical="center"/>
    </xf>
    <xf numFmtId="0" fontId="8" fillId="0" borderId="10" xfId="0" applyFont="1" applyFill="1" applyBorder="1" applyAlignment="1">
      <alignment vertical="center"/>
    </xf>
    <xf numFmtId="0" fontId="13" fillId="0" borderId="10" xfId="6" applyFont="1" applyFill="1" applyBorder="1" applyAlignment="1">
      <alignment horizontal="center" vertical="center" wrapText="1"/>
    </xf>
    <xf numFmtId="182" fontId="14" fillId="0" borderId="10" xfId="0" applyNumberFormat="1" applyFont="1" applyFill="1" applyBorder="1" applyAlignment="1">
      <alignment horizontal="center" vertical="center" wrapText="1"/>
    </xf>
    <xf numFmtId="0" fontId="15" fillId="0" borderId="10" xfId="0" applyFont="1" applyFill="1" applyBorder="1" applyAlignment="1">
      <alignment horizontal="center" vertical="center" wrapText="1"/>
    </xf>
    <xf numFmtId="183" fontId="15" fillId="0" borderId="10" xfId="0" applyNumberFormat="1" applyFont="1" applyFill="1" applyBorder="1" applyAlignment="1">
      <alignment horizontal="center" vertical="center" wrapText="1"/>
    </xf>
    <xf numFmtId="184" fontId="8" fillId="11" borderId="10" xfId="0" applyNumberFormat="1" applyFont="1" applyFill="1" applyBorder="1" applyAlignment="1" applyProtection="1">
      <alignment horizontal="center" vertical="center"/>
    </xf>
    <xf numFmtId="0" fontId="14" fillId="0" borderId="10" xfId="0" applyNumberFormat="1" applyFont="1" applyFill="1" applyBorder="1" applyAlignment="1">
      <alignment horizontal="center" vertical="center" wrapText="1"/>
    </xf>
    <xf numFmtId="185" fontId="11" fillId="11" borderId="10" xfId="0" applyNumberFormat="1" applyFont="1" applyFill="1" applyBorder="1" applyAlignment="1">
      <alignment horizontal="center" vertical="center" shrinkToFit="1"/>
    </xf>
    <xf numFmtId="9" fontId="11" fillId="11" borderId="10" xfId="0" applyNumberFormat="1" applyFont="1" applyFill="1" applyBorder="1" applyAlignment="1">
      <alignment horizontal="center" vertical="center" shrinkToFit="1"/>
    </xf>
    <xf numFmtId="184" fontId="15" fillId="0" borderId="10" xfId="0" applyNumberFormat="1" applyFont="1" applyFill="1" applyBorder="1" applyAlignment="1">
      <alignment horizontal="center" vertical="center" wrapText="1"/>
    </xf>
    <xf numFmtId="0" fontId="8" fillId="0" borderId="10" xfId="0" applyFont="1" applyFill="1" applyBorder="1" applyAlignment="1">
      <alignment horizontal="center" vertical="center" wrapText="1"/>
    </xf>
    <xf numFmtId="183" fontId="11" fillId="11" borderId="10" xfId="0" applyNumberFormat="1" applyFont="1" applyFill="1" applyBorder="1" applyAlignment="1">
      <alignment horizontal="center" vertical="center" shrinkToFit="1"/>
    </xf>
    <xf numFmtId="180" fontId="11" fillId="0" borderId="10" xfId="0" applyNumberFormat="1" applyFont="1" applyFill="1" applyBorder="1" applyAlignment="1">
      <alignment horizontal="left" vertical="center" wrapText="1" shrinkToFit="1"/>
    </xf>
    <xf numFmtId="180" fontId="11" fillId="0" borderId="22" xfId="0" applyNumberFormat="1" applyFont="1" applyFill="1" applyBorder="1" applyAlignment="1">
      <alignment horizontal="left" vertical="center" wrapText="1"/>
    </xf>
    <xf numFmtId="180" fontId="11" fillId="0" borderId="23" xfId="0" applyNumberFormat="1" applyFont="1" applyFill="1" applyBorder="1" applyAlignment="1">
      <alignment horizontal="left" vertical="center" wrapText="1"/>
    </xf>
    <xf numFmtId="180" fontId="10" fillId="7" borderId="21" xfId="49" applyNumberFormat="1" applyFont="1" applyFill="1" applyBorder="1" applyAlignment="1">
      <alignment horizontal="center" vertical="center" wrapText="1"/>
    </xf>
    <xf numFmtId="180" fontId="11" fillId="0" borderId="13" xfId="0" applyNumberFormat="1" applyFont="1" applyFill="1" applyBorder="1" applyAlignment="1">
      <alignment horizontal="left" vertical="center" wrapText="1"/>
    </xf>
    <xf numFmtId="180" fontId="11" fillId="0" borderId="24" xfId="0" applyNumberFormat="1" applyFont="1" applyFill="1" applyBorder="1" applyAlignment="1">
      <alignment horizontal="left" vertical="center" wrapText="1"/>
    </xf>
    <xf numFmtId="180" fontId="16" fillId="0" borderId="10" xfId="0" applyNumberFormat="1" applyFont="1" applyFill="1" applyBorder="1" applyAlignment="1">
      <alignment horizontal="left" vertical="center" wrapText="1"/>
    </xf>
    <xf numFmtId="180" fontId="8" fillId="7" borderId="14" xfId="49" applyNumberFormat="1" applyFont="1" applyFill="1" applyBorder="1" applyAlignment="1">
      <alignment horizontal="center" vertical="center" wrapText="1"/>
    </xf>
    <xf numFmtId="180" fontId="10" fillId="7" borderId="15" xfId="49" applyNumberFormat="1" applyFont="1" applyFill="1" applyBorder="1" applyAlignment="1">
      <alignment horizontal="center" vertical="center"/>
    </xf>
    <xf numFmtId="180" fontId="16" fillId="0" borderId="15" xfId="0" applyNumberFormat="1" applyFont="1" applyFill="1" applyBorder="1" applyAlignment="1">
      <alignment horizontal="left" vertical="center" wrapText="1"/>
    </xf>
    <xf numFmtId="180" fontId="10" fillId="0" borderId="21" xfId="49" applyNumberFormat="1" applyFont="1" applyFill="1" applyBorder="1" applyAlignment="1">
      <alignment horizontal="center" vertical="top"/>
    </xf>
    <xf numFmtId="180" fontId="10" fillId="0" borderId="21" xfId="49" applyNumberFormat="1" applyFont="1" applyFill="1" applyBorder="1" applyAlignment="1">
      <alignment vertical="top"/>
    </xf>
    <xf numFmtId="180" fontId="17" fillId="0" borderId="21" xfId="0" applyNumberFormat="1" applyFont="1" applyFill="1" applyBorder="1" applyAlignment="1">
      <alignment horizontal="left" vertical="top" wrapText="1"/>
    </xf>
    <xf numFmtId="180" fontId="10" fillId="0" borderId="10" xfId="49" applyNumberFormat="1" applyFont="1" applyFill="1" applyBorder="1" applyAlignment="1">
      <alignment horizontal="center" vertical="top"/>
    </xf>
    <xf numFmtId="180" fontId="17" fillId="0" borderId="10" xfId="0" applyNumberFormat="1" applyFont="1" applyFill="1" applyBorder="1" applyAlignment="1">
      <alignment horizontal="left" vertical="top" wrapText="1"/>
    </xf>
    <xf numFmtId="0" fontId="10" fillId="0" borderId="10" xfId="0" applyFont="1" applyFill="1" applyBorder="1" applyAlignment="1">
      <alignment horizontal="center" vertical="center"/>
    </xf>
    <xf numFmtId="0" fontId="18" fillId="0" borderId="0" xfId="0" applyFont="1" applyFill="1" applyAlignment="1">
      <alignment vertical="center"/>
    </xf>
    <xf numFmtId="0" fontId="19" fillId="7" borderId="0" xfId="0" applyFont="1" applyFill="1" applyAlignment="1">
      <alignment horizontal="center" vertical="center"/>
    </xf>
    <xf numFmtId="0" fontId="20" fillId="7" borderId="25" xfId="0" applyNumberFormat="1" applyFont="1" applyFill="1" applyBorder="1" applyAlignment="1">
      <alignment horizontal="center" vertical="center"/>
    </xf>
    <xf numFmtId="0" fontId="15" fillId="0" borderId="25" xfId="0" applyNumberFormat="1" applyFont="1" applyFill="1" applyBorder="1" applyAlignment="1">
      <alignment horizontal="center" vertical="center" wrapText="1"/>
    </xf>
    <xf numFmtId="0" fontId="15" fillId="0" borderId="26" xfId="0" applyNumberFormat="1" applyFont="1" applyFill="1" applyBorder="1" applyAlignment="1">
      <alignment horizontal="center" vertical="center" wrapText="1"/>
    </xf>
    <xf numFmtId="0" fontId="15" fillId="0" borderId="25" xfId="0" applyNumberFormat="1" applyFont="1" applyFill="1" applyBorder="1" applyAlignment="1">
      <alignment horizontal="center"/>
    </xf>
    <xf numFmtId="0" fontId="15" fillId="0" borderId="25" xfId="0" applyNumberFormat="1" applyFont="1" applyFill="1" applyBorder="1" applyAlignment="1">
      <alignment horizontal="center" vertical="center"/>
    </xf>
    <xf numFmtId="0" fontId="15" fillId="0" borderId="27" xfId="0" applyNumberFormat="1" applyFont="1" applyFill="1" applyBorder="1" applyAlignment="1">
      <alignment horizontal="center" vertical="center" wrapText="1"/>
    </xf>
    <xf numFmtId="0" fontId="15" fillId="0" borderId="28" xfId="0" applyNumberFormat="1" applyFont="1" applyFill="1" applyBorder="1" applyAlignment="1">
      <alignment horizontal="center"/>
    </xf>
    <xf numFmtId="0" fontId="15" fillId="0" borderId="29" xfId="0" applyNumberFormat="1" applyFont="1" applyFill="1" applyBorder="1" applyAlignment="1">
      <alignment horizontal="center" vertical="center"/>
    </xf>
    <xf numFmtId="0" fontId="15" fillId="0" borderId="10" xfId="0" applyNumberFormat="1" applyFont="1" applyFill="1" applyBorder="1" applyAlignment="1">
      <alignment horizontal="left" vertical="top" wrapText="1"/>
    </xf>
    <xf numFmtId="0" fontId="15" fillId="0" borderId="10" xfId="0" applyNumberFormat="1" applyFont="1" applyFill="1" applyBorder="1" applyAlignment="1">
      <alignment horizontal="center" vertical="center" wrapText="1"/>
    </xf>
    <xf numFmtId="0" fontId="20" fillId="7" borderId="25" xfId="0" applyNumberFormat="1" applyFont="1" applyFill="1" applyBorder="1" applyAlignment="1">
      <alignment horizontal="left" vertical="center"/>
    </xf>
    <xf numFmtId="0" fontId="20" fillId="7" borderId="26" xfId="0" applyNumberFormat="1" applyFont="1" applyFill="1" applyBorder="1" applyAlignment="1">
      <alignment horizontal="left" vertical="center"/>
    </xf>
    <xf numFmtId="0" fontId="15" fillId="0" borderId="25" xfId="0" applyNumberFormat="1" applyFont="1" applyFill="1" applyBorder="1" applyAlignment="1">
      <alignment horizontal="left" vertical="top" wrapText="1"/>
    </xf>
    <xf numFmtId="0" fontId="20" fillId="7" borderId="29" xfId="0" applyNumberFormat="1" applyFont="1" applyFill="1" applyBorder="1" applyAlignment="1">
      <alignment horizontal="left" vertical="top" wrapText="1"/>
    </xf>
    <xf numFmtId="0" fontId="20" fillId="7" borderId="30" xfId="0" applyNumberFormat="1" applyFont="1" applyFill="1" applyBorder="1" applyAlignment="1">
      <alignment horizontal="left" vertical="top" wrapText="1"/>
    </xf>
    <xf numFmtId="0" fontId="20" fillId="7" borderId="31" xfId="0" applyNumberFormat="1" applyFont="1" applyFill="1" applyBorder="1" applyAlignment="1">
      <alignment horizontal="left" vertical="top" wrapText="1"/>
    </xf>
    <xf numFmtId="0" fontId="15" fillId="0" borderId="29" xfId="0" applyNumberFormat="1" applyFont="1" applyFill="1" applyBorder="1" applyAlignment="1">
      <alignment horizontal="left" vertical="center" wrapText="1"/>
    </xf>
    <xf numFmtId="0" fontId="15" fillId="0" borderId="30" xfId="0" applyNumberFormat="1" applyFont="1" applyFill="1" applyBorder="1" applyAlignment="1">
      <alignment horizontal="left" vertical="center" wrapText="1"/>
    </xf>
    <xf numFmtId="0" fontId="15" fillId="0" borderId="31" xfId="0" applyNumberFormat="1" applyFont="1" applyFill="1" applyBorder="1" applyAlignment="1">
      <alignment horizontal="left" vertical="center" wrapText="1"/>
    </xf>
    <xf numFmtId="0" fontId="15" fillId="0" borderId="25" xfId="0" applyNumberFormat="1" applyFont="1" applyFill="1" applyBorder="1" applyAlignment="1">
      <alignment horizontal="left" vertical="center" wrapText="1"/>
    </xf>
    <xf numFmtId="0" fontId="15" fillId="0" borderId="29" xfId="0" applyNumberFormat="1" applyFont="1" applyFill="1" applyBorder="1" applyAlignment="1">
      <alignment horizontal="left" vertical="top" wrapText="1"/>
    </xf>
    <xf numFmtId="0" fontId="15" fillId="0" borderId="30" xfId="0" applyNumberFormat="1" applyFont="1" applyFill="1" applyBorder="1" applyAlignment="1">
      <alignment horizontal="left" vertical="top" wrapText="1"/>
    </xf>
    <xf numFmtId="0" fontId="15" fillId="0" borderId="31" xfId="0" applyNumberFormat="1" applyFont="1" applyFill="1" applyBorder="1" applyAlignment="1">
      <alignment horizontal="left" vertical="top" wrapText="1"/>
    </xf>
    <xf numFmtId="0" fontId="15" fillId="0" borderId="25" xfId="0" applyNumberFormat="1" applyFont="1" applyFill="1" applyBorder="1" applyAlignment="1">
      <alignment horizontal="left" vertical="top"/>
    </xf>
    <xf numFmtId="0" fontId="20" fillId="7" borderId="25" xfId="0" applyNumberFormat="1" applyFont="1" applyFill="1" applyBorder="1" applyAlignment="1">
      <alignment horizontal="left" vertical="center" wrapText="1"/>
    </xf>
    <xf numFmtId="0" fontId="15" fillId="0" borderId="29" xfId="0" applyNumberFormat="1" applyFont="1" applyFill="1" applyBorder="1" applyAlignment="1">
      <alignment horizontal="center" vertical="center" wrapText="1"/>
    </xf>
    <xf numFmtId="0" fontId="15" fillId="0" borderId="30" xfId="0" applyNumberFormat="1" applyFont="1" applyFill="1" applyBorder="1" applyAlignment="1">
      <alignment horizontal="center" vertical="center" wrapText="1"/>
    </xf>
    <xf numFmtId="0" fontId="15" fillId="0" borderId="31" xfId="0" applyNumberFormat="1" applyFont="1" applyFill="1" applyBorder="1" applyAlignment="1">
      <alignment horizontal="center" vertical="center" wrapText="1"/>
    </xf>
    <xf numFmtId="0" fontId="21" fillId="0" borderId="0" xfId="0" applyFont="1" applyFill="1" applyAlignment="1">
      <alignment vertical="center"/>
    </xf>
    <xf numFmtId="0" fontId="22" fillId="0" borderId="0" xfId="0" applyFont="1" applyFill="1" applyAlignment="1">
      <alignment vertical="center"/>
    </xf>
    <xf numFmtId="0" fontId="22" fillId="0" borderId="0" xfId="0" applyFont="1" applyFill="1" applyBorder="1" applyAlignment="1">
      <alignment vertical="center"/>
    </xf>
    <xf numFmtId="0" fontId="21" fillId="0" borderId="0" xfId="0" applyFont="1" applyFill="1" applyBorder="1" applyAlignment="1">
      <alignment vertical="center"/>
    </xf>
    <xf numFmtId="0" fontId="0" fillId="0" borderId="0" xfId="0" applyFill="1" applyAlignment="1">
      <alignment vertical="center"/>
    </xf>
    <xf numFmtId="0" fontId="23" fillId="7" borderId="10" xfId="0" applyFont="1" applyFill="1" applyBorder="1" applyAlignment="1">
      <alignment horizontal="center" vertical="center" wrapText="1"/>
    </xf>
    <xf numFmtId="0" fontId="23" fillId="7" borderId="11"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7" borderId="19" xfId="0" applyFont="1" applyFill="1" applyBorder="1" applyAlignment="1">
      <alignment horizontal="center" vertical="center" wrapText="1"/>
    </xf>
    <xf numFmtId="0" fontId="23" fillId="7" borderId="22" xfId="0" applyFont="1" applyFill="1" applyBorder="1" applyAlignment="1">
      <alignment horizontal="center" vertical="center" wrapText="1"/>
    </xf>
    <xf numFmtId="0" fontId="24" fillId="0" borderId="32"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6" fillId="7" borderId="33" xfId="0" applyFont="1" applyFill="1" applyBorder="1" applyAlignment="1">
      <alignment horizontal="center" vertical="center" wrapText="1"/>
    </xf>
    <xf numFmtId="0" fontId="6" fillId="7" borderId="34"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7" borderId="35" xfId="0" applyFont="1" applyFill="1" applyBorder="1" applyAlignment="1">
      <alignment horizontal="center" vertical="center" wrapText="1"/>
    </xf>
    <xf numFmtId="0" fontId="24" fillId="0" borderId="36"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7" fontId="5" fillId="0" borderId="11" xfId="0" applyNumberFormat="1" applyFont="1" applyFill="1" applyBorder="1" applyAlignment="1">
      <alignment horizontal="center" vertical="center" wrapText="1"/>
    </xf>
    <xf numFmtId="7" fontId="5" fillId="0" borderId="37" xfId="0" applyNumberFormat="1" applyFont="1" applyFill="1" applyBorder="1" applyAlignment="1">
      <alignment horizontal="center" vertical="center" wrapText="1"/>
    </xf>
    <xf numFmtId="7" fontId="5" fillId="0" borderId="0" xfId="0" applyNumberFormat="1" applyFont="1" applyFill="1" applyBorder="1" applyAlignment="1">
      <alignment horizontal="center" vertical="center" wrapText="1"/>
    </xf>
    <xf numFmtId="7" fontId="5" fillId="0" borderId="38" xfId="0" applyNumberFormat="1" applyFont="1" applyFill="1" applyBorder="1" applyAlignment="1">
      <alignment horizontal="center" vertical="center" wrapText="1"/>
    </xf>
    <xf numFmtId="184" fontId="5" fillId="0" borderId="11" xfId="0" applyNumberFormat="1" applyFont="1" applyFill="1" applyBorder="1" applyAlignment="1">
      <alignment horizontal="center" vertical="center" wrapText="1"/>
    </xf>
    <xf numFmtId="184" fontId="5" fillId="0" borderId="37" xfId="0" applyNumberFormat="1" applyFont="1" applyFill="1" applyBorder="1" applyAlignment="1">
      <alignment horizontal="center" vertical="center" wrapText="1"/>
    </xf>
    <xf numFmtId="184" fontId="5" fillId="0" borderId="0" xfId="0" applyNumberFormat="1" applyFont="1" applyFill="1" applyBorder="1" applyAlignment="1">
      <alignment horizontal="center" vertical="center" wrapText="1"/>
    </xf>
    <xf numFmtId="184" fontId="5" fillId="0" borderId="38" xfId="0" applyNumberFormat="1" applyFont="1" applyFill="1" applyBorder="1" applyAlignment="1">
      <alignment horizontal="center" vertical="center" wrapText="1"/>
    </xf>
    <xf numFmtId="0" fontId="24" fillId="0" borderId="39" xfId="0" applyFont="1" applyFill="1" applyBorder="1" applyAlignment="1">
      <alignment horizontal="center" vertical="center" wrapText="1"/>
    </xf>
    <xf numFmtId="0" fontId="6" fillId="7" borderId="15" xfId="0" applyFont="1" applyFill="1" applyBorder="1" applyAlignment="1">
      <alignment horizontal="center" vertical="center" wrapText="1"/>
    </xf>
    <xf numFmtId="179" fontId="5" fillId="0" borderId="40" xfId="0" applyNumberFormat="1" applyFont="1" applyFill="1" applyBorder="1" applyAlignment="1">
      <alignment horizontal="center" vertical="center" wrapText="1"/>
    </xf>
    <xf numFmtId="179" fontId="5" fillId="0" borderId="41" xfId="0" applyNumberFormat="1" applyFont="1" applyFill="1" applyBorder="1" applyAlignment="1">
      <alignment horizontal="center" vertical="center" wrapText="1"/>
    </xf>
    <xf numFmtId="179" fontId="5" fillId="0" borderId="0" xfId="0" applyNumberFormat="1" applyFont="1" applyFill="1" applyBorder="1" applyAlignment="1">
      <alignment horizontal="center" vertical="center" wrapText="1"/>
    </xf>
    <xf numFmtId="179" fontId="5" fillId="0" borderId="42" xfId="0" applyNumberFormat="1" applyFont="1" applyFill="1" applyBorder="1" applyAlignment="1">
      <alignment horizontal="center" vertical="center" wrapText="1"/>
    </xf>
    <xf numFmtId="0" fontId="24" fillId="0" borderId="43" xfId="0" applyFont="1" applyFill="1" applyBorder="1" applyAlignment="1">
      <alignment horizontal="center" vertical="center" wrapText="1"/>
    </xf>
    <xf numFmtId="179" fontId="5" fillId="7" borderId="18" xfId="0" applyNumberFormat="1" applyFont="1" applyFill="1" applyBorder="1" applyAlignment="1">
      <alignment horizontal="center" vertical="center" wrapText="1"/>
    </xf>
    <xf numFmtId="179" fontId="5" fillId="0" borderId="33" xfId="0" applyNumberFormat="1" applyFont="1" applyFill="1" applyBorder="1" applyAlignment="1">
      <alignment horizontal="center" vertical="center" wrapText="1"/>
    </xf>
    <xf numFmtId="179" fontId="5" fillId="0" borderId="34" xfId="0" applyNumberFormat="1" applyFont="1" applyFill="1" applyBorder="1" applyAlignment="1">
      <alignment horizontal="center" vertical="center" wrapText="1"/>
    </xf>
    <xf numFmtId="179" fontId="5" fillId="0" borderId="35" xfId="0" applyNumberFormat="1" applyFont="1" applyFill="1" applyBorder="1" applyAlignment="1">
      <alignment horizontal="center" vertical="center" wrapText="1"/>
    </xf>
    <xf numFmtId="0" fontId="24" fillId="0" borderId="44" xfId="0" applyFont="1" applyFill="1" applyBorder="1" applyAlignment="1">
      <alignment horizontal="center" vertical="center" wrapText="1"/>
    </xf>
    <xf numFmtId="179" fontId="5" fillId="7" borderId="10" xfId="0" applyNumberFormat="1" applyFont="1" applyFill="1" applyBorder="1" applyAlignment="1">
      <alignment horizontal="center" vertical="center" wrapText="1"/>
    </xf>
    <xf numFmtId="179" fontId="5" fillId="0" borderId="11" xfId="0" applyNumberFormat="1" applyFont="1" applyFill="1" applyBorder="1" applyAlignment="1">
      <alignment horizontal="center" vertical="center" wrapText="1"/>
    </xf>
    <xf numFmtId="179" fontId="5" fillId="0" borderId="37" xfId="0" applyNumberFormat="1" applyFont="1" applyFill="1" applyBorder="1" applyAlignment="1">
      <alignment horizontal="center" vertical="center" wrapText="1"/>
    </xf>
    <xf numFmtId="179" fontId="5" fillId="0" borderId="38" xfId="0" applyNumberFormat="1" applyFont="1" applyFill="1" applyBorder="1" applyAlignment="1">
      <alignment horizontal="center" vertical="center" wrapText="1"/>
    </xf>
    <xf numFmtId="179" fontId="5" fillId="0" borderId="22" xfId="0" applyNumberFormat="1" applyFont="1" applyFill="1" applyBorder="1" applyAlignment="1">
      <alignment horizontal="center" vertical="center" wrapText="1"/>
    </xf>
    <xf numFmtId="179" fontId="5" fillId="0" borderId="23" xfId="0" applyNumberFormat="1" applyFont="1" applyFill="1" applyBorder="1" applyAlignment="1">
      <alignment horizontal="center" vertical="center" wrapText="1"/>
    </xf>
    <xf numFmtId="179" fontId="5" fillId="0" borderId="45" xfId="0" applyNumberFormat="1" applyFont="1" applyFill="1" applyBorder="1" applyAlignment="1">
      <alignment horizontal="center" vertical="center" wrapText="1"/>
    </xf>
    <xf numFmtId="0" fontId="6" fillId="7" borderId="46" xfId="0" applyFont="1" applyFill="1" applyBorder="1" applyAlignment="1">
      <alignment horizontal="center" vertical="center" wrapText="1"/>
    </xf>
    <xf numFmtId="179" fontId="5" fillId="7" borderId="19" xfId="0" applyNumberFormat="1" applyFont="1" applyFill="1" applyBorder="1" applyAlignment="1">
      <alignment horizontal="center" vertical="center" wrapText="1"/>
    </xf>
    <xf numFmtId="0" fontId="22" fillId="0" borderId="0" xfId="0" applyFont="1" applyFill="1" applyBorder="1" applyAlignment="1">
      <alignment horizontal="center" vertical="center"/>
    </xf>
    <xf numFmtId="0" fontId="22" fillId="0" borderId="47" xfId="0" applyFont="1" applyFill="1" applyBorder="1" applyAlignment="1">
      <alignment horizontal="center" vertical="center"/>
    </xf>
    <xf numFmtId="0" fontId="6" fillId="7" borderId="48" xfId="0" applyFont="1" applyFill="1" applyBorder="1" applyAlignment="1">
      <alignment horizontal="center" vertical="center" wrapText="1"/>
    </xf>
    <xf numFmtId="0" fontId="24" fillId="7" borderId="17" xfId="0" applyFont="1" applyFill="1" applyBorder="1" applyAlignment="1">
      <alignment horizontal="center" vertical="center"/>
    </xf>
    <xf numFmtId="0" fontId="5" fillId="7" borderId="18" xfId="0" applyFont="1" applyFill="1" applyBorder="1" applyAlignment="1">
      <alignment horizontal="center" vertical="center"/>
    </xf>
    <xf numFmtId="0" fontId="25" fillId="0" borderId="33" xfId="0" applyFont="1" applyFill="1" applyBorder="1" applyAlignment="1">
      <alignment horizontal="center" vertical="center"/>
    </xf>
    <xf numFmtId="0" fontId="25" fillId="0" borderId="34" xfId="0" applyFont="1" applyFill="1" applyBorder="1" applyAlignment="1">
      <alignment horizontal="center" vertical="center"/>
    </xf>
    <xf numFmtId="0" fontId="21" fillId="0" borderId="34" xfId="0" applyFont="1" applyFill="1" applyBorder="1" applyAlignment="1">
      <alignment horizontal="left" vertical="center"/>
    </xf>
    <xf numFmtId="0" fontId="21" fillId="0" borderId="0" xfId="0" applyFont="1" applyFill="1" applyBorder="1" applyAlignment="1">
      <alignment horizontal="left" vertical="center"/>
    </xf>
    <xf numFmtId="0" fontId="26" fillId="0" borderId="34" xfId="6" applyFill="1" applyBorder="1" applyAlignment="1">
      <alignment horizontal="center" vertical="center"/>
    </xf>
    <xf numFmtId="0" fontId="21" fillId="0" borderId="35" xfId="0" applyFont="1" applyFill="1" applyBorder="1" applyAlignment="1">
      <alignment horizontal="center" vertical="center"/>
    </xf>
    <xf numFmtId="0" fontId="26" fillId="0" borderId="34" xfId="6" applyFill="1" applyBorder="1" applyAlignment="1">
      <alignment horizontal="left" vertical="center"/>
    </xf>
    <xf numFmtId="0" fontId="21" fillId="0" borderId="35" xfId="0" applyFont="1" applyFill="1" applyBorder="1" applyAlignment="1">
      <alignment horizontal="left" vertical="center"/>
    </xf>
    <xf numFmtId="0" fontId="6" fillId="7" borderId="49" xfId="0" applyFont="1" applyFill="1" applyBorder="1" applyAlignment="1">
      <alignment horizontal="center" vertical="center" wrapText="1"/>
    </xf>
    <xf numFmtId="0" fontId="24"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37" xfId="0" applyFont="1" applyFill="1" applyBorder="1" applyAlignment="1">
      <alignment horizontal="center" vertical="center"/>
    </xf>
    <xf numFmtId="0" fontId="26" fillId="0" borderId="37" xfId="6" applyFill="1" applyBorder="1" applyAlignment="1">
      <alignment horizontal="left" vertical="center"/>
    </xf>
    <xf numFmtId="0" fontId="21" fillId="0" borderId="37" xfId="0" applyFont="1" applyFill="1" applyBorder="1" applyAlignment="1">
      <alignment horizontal="left" vertical="center"/>
    </xf>
    <xf numFmtId="0" fontId="27" fillId="0" borderId="37" xfId="6" applyFont="1" applyFill="1" applyBorder="1" applyAlignment="1">
      <alignment horizontal="left" vertical="center"/>
    </xf>
    <xf numFmtId="0" fontId="21" fillId="0" borderId="38" xfId="0" applyFont="1" applyFill="1" applyBorder="1" applyAlignment="1">
      <alignment horizontal="left" vertical="center"/>
    </xf>
    <xf numFmtId="0" fontId="28" fillId="0" borderId="37" xfId="6" applyFont="1" applyFill="1" applyBorder="1" applyAlignment="1">
      <alignment horizontal="left" vertical="center"/>
    </xf>
    <xf numFmtId="0" fontId="10" fillId="0" borderId="12" xfId="0" applyFont="1" applyFill="1" applyBorder="1" applyAlignment="1">
      <alignment horizontal="center" vertical="center"/>
    </xf>
    <xf numFmtId="0" fontId="5" fillId="7" borderId="21" xfId="0" applyFont="1" applyFill="1" applyBorder="1" applyAlignment="1">
      <alignment horizontal="center" vertical="center"/>
    </xf>
    <xf numFmtId="0" fontId="21" fillId="0" borderId="11" xfId="0" applyFont="1" applyFill="1" applyBorder="1" applyAlignment="1">
      <alignment horizontal="left" vertical="center"/>
    </xf>
    <xf numFmtId="14" fontId="21" fillId="0" borderId="11" xfId="0" applyNumberFormat="1" applyFont="1" applyFill="1" applyBorder="1" applyAlignment="1">
      <alignment horizontal="center" vertical="center"/>
    </xf>
    <xf numFmtId="0" fontId="21" fillId="0" borderId="37"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38" xfId="0" applyFont="1" applyFill="1" applyBorder="1" applyAlignment="1">
      <alignment horizontal="center" vertical="center"/>
    </xf>
    <xf numFmtId="0" fontId="21" fillId="0" borderId="11" xfId="0" applyFont="1" applyFill="1" applyBorder="1" applyAlignment="1">
      <alignment horizontal="center" vertical="center"/>
    </xf>
    <xf numFmtId="0" fontId="21" fillId="0" borderId="11" xfId="0" applyFont="1" applyFill="1" applyBorder="1" applyAlignment="1">
      <alignment horizontal="left" vertical="center" wrapText="1"/>
    </xf>
    <xf numFmtId="0" fontId="24" fillId="7" borderId="46" xfId="0" applyFont="1" applyFill="1" applyBorder="1" applyAlignment="1">
      <alignment horizontal="center" vertical="center"/>
    </xf>
    <xf numFmtId="0" fontId="5" fillId="7" borderId="19" xfId="0" applyFont="1" applyFill="1" applyBorder="1" applyAlignment="1">
      <alignment horizontal="center" vertical="center"/>
    </xf>
    <xf numFmtId="0" fontId="10" fillId="0" borderId="22" xfId="0" applyFont="1" applyFill="1" applyBorder="1" applyAlignment="1">
      <alignment horizontal="center" vertical="center"/>
    </xf>
    <xf numFmtId="0" fontId="10" fillId="0" borderId="50" xfId="0" applyFont="1" applyFill="1" applyBorder="1" applyAlignment="1">
      <alignment horizontal="center" vertical="center"/>
    </xf>
    <xf numFmtId="0" fontId="21" fillId="0" borderId="22" xfId="0" applyFont="1" applyFill="1" applyBorder="1" applyAlignment="1">
      <alignment horizontal="center" vertical="center"/>
    </xf>
    <xf numFmtId="0" fontId="21" fillId="0" borderId="23" xfId="0" applyFont="1" applyFill="1" applyBorder="1" applyAlignment="1">
      <alignment horizontal="center" vertical="center"/>
    </xf>
    <xf numFmtId="0" fontId="21" fillId="0" borderId="45" xfId="0" applyFont="1" applyFill="1" applyBorder="1" applyAlignment="1">
      <alignment horizontal="center" vertical="center"/>
    </xf>
    <xf numFmtId="0" fontId="21" fillId="0" borderId="22" xfId="0" applyFont="1" applyFill="1" applyBorder="1" applyAlignment="1">
      <alignment horizontal="center" vertical="center" wrapText="1"/>
    </xf>
    <xf numFmtId="0" fontId="21" fillId="0" borderId="45" xfId="0" applyFont="1" applyFill="1" applyBorder="1" applyAlignment="1">
      <alignment horizontal="center" vertical="center" wrapText="1"/>
    </xf>
    <xf numFmtId="0" fontId="6" fillId="7" borderId="51" xfId="0" applyFont="1" applyFill="1" applyBorder="1" applyAlignment="1">
      <alignment horizontal="center" vertical="center" wrapText="1"/>
    </xf>
    <xf numFmtId="0" fontId="5" fillId="7" borderId="33" xfId="0" applyFont="1" applyFill="1" applyBorder="1" applyAlignment="1">
      <alignment horizontal="center" vertical="center"/>
    </xf>
    <xf numFmtId="0" fontId="5" fillId="7" borderId="0" xfId="0" applyFont="1" applyFill="1" applyBorder="1" applyAlignment="1">
      <alignment horizontal="center" vertical="center"/>
    </xf>
    <xf numFmtId="0" fontId="5" fillId="7" borderId="52" xfId="0" applyFont="1" applyFill="1" applyBorder="1" applyAlignment="1">
      <alignment horizontal="center" vertical="center"/>
    </xf>
    <xf numFmtId="0" fontId="6" fillId="7" borderId="12" xfId="0" applyFont="1" applyFill="1" applyBorder="1" applyAlignment="1">
      <alignment horizontal="center" vertical="center" wrapText="1"/>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53"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53" xfId="0" applyFont="1" applyFill="1" applyBorder="1" applyAlignment="1">
      <alignment horizontal="center" vertical="center"/>
    </xf>
    <xf numFmtId="0" fontId="5" fillId="0" borderId="10" xfId="0" applyFont="1" applyFill="1" applyBorder="1" applyAlignment="1">
      <alignment horizontal="left" vertical="center"/>
    </xf>
    <xf numFmtId="0" fontId="5" fillId="0" borderId="11" xfId="0" applyFont="1" applyFill="1" applyBorder="1" applyAlignment="1">
      <alignment horizontal="left" vertical="center"/>
    </xf>
    <xf numFmtId="0" fontId="5" fillId="0" borderId="0" xfId="0" applyFont="1" applyFill="1" applyBorder="1" applyAlignment="1">
      <alignment horizontal="left" vertical="center"/>
    </xf>
    <xf numFmtId="0" fontId="5" fillId="0" borderId="53" xfId="0" applyFont="1" applyFill="1" applyBorder="1" applyAlignment="1">
      <alignment horizontal="left" vertical="center"/>
    </xf>
    <xf numFmtId="0" fontId="5" fillId="0" borderId="10" xfId="0" applyFont="1" applyFill="1" applyBorder="1" applyAlignment="1">
      <alignment horizontal="left" vertical="center" wrapText="1"/>
    </xf>
    <xf numFmtId="0" fontId="5" fillId="7" borderId="50" xfId="0" applyFont="1" applyFill="1" applyBorder="1" applyAlignment="1">
      <alignment horizontal="center" vertical="center"/>
    </xf>
    <xf numFmtId="0" fontId="5" fillId="0" borderId="19" xfId="0" applyFont="1" applyFill="1" applyBorder="1" applyAlignment="1">
      <alignment horizontal="left" vertical="center"/>
    </xf>
    <xf numFmtId="0" fontId="5" fillId="0" borderId="22" xfId="0" applyFont="1" applyFill="1" applyBorder="1" applyAlignment="1">
      <alignment horizontal="left" vertical="center"/>
    </xf>
    <xf numFmtId="0" fontId="5" fillId="0" borderId="54" xfId="0" applyFont="1" applyFill="1" applyBorder="1" applyAlignment="1">
      <alignment horizontal="left" vertical="center"/>
    </xf>
    <xf numFmtId="0" fontId="5" fillId="7" borderId="17" xfId="0" applyFont="1" applyFill="1" applyBorder="1" applyAlignment="1">
      <alignment horizontal="center" vertical="center"/>
    </xf>
    <xf numFmtId="0" fontId="5" fillId="7" borderId="9" xfId="0" applyFont="1" applyFill="1" applyBorder="1" applyAlignment="1">
      <alignment horizontal="center" vertical="center"/>
    </xf>
    <xf numFmtId="0" fontId="5" fillId="0" borderId="11"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53" xfId="0" applyFont="1" applyFill="1" applyBorder="1" applyAlignment="1">
      <alignment horizontal="left" vertical="center" wrapText="1"/>
    </xf>
    <xf numFmtId="179" fontId="5" fillId="0" borderId="40" xfId="0" applyNumberFormat="1" applyFont="1" applyFill="1" applyBorder="1" applyAlignment="1">
      <alignment horizontal="left" vertical="center" wrapText="1"/>
    </xf>
    <xf numFmtId="179" fontId="5" fillId="0" borderId="41" xfId="0" applyNumberFormat="1" applyFont="1" applyFill="1" applyBorder="1" applyAlignment="1">
      <alignment horizontal="left" vertical="center" wrapText="1"/>
    </xf>
    <xf numFmtId="179" fontId="5" fillId="0" borderId="42" xfId="0" applyNumberFormat="1" applyFont="1" applyFill="1" applyBorder="1" applyAlignment="1">
      <alignment horizontal="left" vertical="center" wrapText="1"/>
    </xf>
    <xf numFmtId="0" fontId="5" fillId="0" borderId="44" xfId="0" applyFont="1" applyFill="1" applyBorder="1" applyAlignment="1">
      <alignment horizontal="center" vertical="center" wrapText="1"/>
    </xf>
    <xf numFmtId="0" fontId="22" fillId="7" borderId="9" xfId="0" applyFont="1" applyFill="1" applyBorder="1" applyAlignment="1">
      <alignment horizontal="center" vertical="center"/>
    </xf>
    <xf numFmtId="0" fontId="5" fillId="0" borderId="55" xfId="0" applyFont="1" applyFill="1" applyBorder="1" applyAlignment="1">
      <alignment horizontal="center" vertical="center" wrapText="1"/>
    </xf>
    <xf numFmtId="0" fontId="22" fillId="7" borderId="14" xfId="0" applyFont="1" applyFill="1" applyBorder="1" applyAlignment="1">
      <alignment horizontal="center" vertical="center"/>
    </xf>
    <xf numFmtId="0" fontId="5" fillId="7" borderId="15" xfId="0" applyFont="1" applyFill="1" applyBorder="1" applyAlignment="1">
      <alignment horizontal="center" vertical="center"/>
    </xf>
    <xf numFmtId="0" fontId="5" fillId="0" borderId="15" xfId="0" applyFont="1" applyFill="1" applyBorder="1" applyAlignment="1">
      <alignment horizontal="left" vertical="center"/>
    </xf>
    <xf numFmtId="0" fontId="5" fillId="0" borderId="40" xfId="0" applyFont="1" applyFill="1" applyBorder="1" applyAlignment="1">
      <alignment horizontal="left" vertical="center"/>
    </xf>
    <xf numFmtId="0" fontId="5" fillId="0" borderId="56" xfId="0" applyFont="1" applyFill="1" applyBorder="1" applyAlignment="1">
      <alignment horizontal="left" vertical="center"/>
    </xf>
    <xf numFmtId="0" fontId="3" fillId="0" borderId="0" xfId="0" applyFont="1" applyFill="1" applyAlignment="1">
      <alignment vertical="center"/>
    </xf>
    <xf numFmtId="186" fontId="3" fillId="0" borderId="0" xfId="1" applyNumberFormat="1" applyFont="1">
      <alignment vertical="center"/>
    </xf>
    <xf numFmtId="187" fontId="3" fillId="0" borderId="0" xfId="3" applyNumberFormat="1" applyFont="1">
      <alignment vertical="center"/>
    </xf>
    <xf numFmtId="10" fontId="3" fillId="0" borderId="0" xfId="1" applyNumberFormat="1" applyFont="1" applyAlignment="1">
      <alignment horizontal="center" vertical="center"/>
    </xf>
    <xf numFmtId="10" fontId="3" fillId="0" borderId="0" xfId="3" applyNumberFormat="1" applyFont="1">
      <alignment vertical="center"/>
    </xf>
    <xf numFmtId="0" fontId="29" fillId="12" borderId="57" xfId="0" applyFont="1" applyFill="1" applyBorder="1" applyAlignment="1">
      <alignment horizontal="center" vertical="center"/>
    </xf>
    <xf numFmtId="0" fontId="29" fillId="12" borderId="58" xfId="0" applyFont="1" applyFill="1" applyBorder="1" applyAlignment="1">
      <alignment horizontal="center" vertical="center"/>
    </xf>
    <xf numFmtId="186" fontId="29" fillId="12" borderId="58" xfId="1" applyNumberFormat="1" applyFont="1" applyFill="1" applyBorder="1" applyAlignment="1">
      <alignment horizontal="center" vertical="center"/>
    </xf>
    <xf numFmtId="187" fontId="29" fillId="12" borderId="58" xfId="3" applyNumberFormat="1" applyFont="1" applyFill="1" applyBorder="1" applyAlignment="1">
      <alignment horizontal="center" vertical="center"/>
    </xf>
    <xf numFmtId="10" fontId="29" fillId="12" borderId="58" xfId="1" applyNumberFormat="1" applyFont="1" applyFill="1" applyBorder="1" applyAlignment="1">
      <alignment horizontal="center" vertical="center"/>
    </xf>
    <xf numFmtId="10" fontId="29" fillId="12" borderId="58" xfId="3" applyNumberFormat="1" applyFont="1" applyFill="1" applyBorder="1" applyAlignment="1">
      <alignment horizontal="center" vertical="center"/>
    </xf>
    <xf numFmtId="186" fontId="29" fillId="12" borderId="59" xfId="1" applyNumberFormat="1" applyFont="1" applyFill="1" applyBorder="1" applyAlignment="1">
      <alignment horizontal="center" vertical="center"/>
    </xf>
    <xf numFmtId="0" fontId="30" fillId="0" borderId="0" xfId="0" applyFont="1" applyFill="1" applyAlignment="1">
      <alignment horizontal="center" vertical="center"/>
    </xf>
    <xf numFmtId="0" fontId="31" fillId="13" borderId="0" xfId="0" applyFont="1" applyFill="1" applyAlignment="1" applyProtection="1">
      <alignment horizontal="center" vertical="center"/>
      <protection locked="0"/>
    </xf>
    <xf numFmtId="186" fontId="32" fillId="0" borderId="0" xfId="1" applyNumberFormat="1" applyFont="1" applyAlignment="1">
      <alignment horizontal="center" vertical="center"/>
    </xf>
    <xf numFmtId="187" fontId="32" fillId="0" borderId="0" xfId="3" applyNumberFormat="1" applyFont="1" applyAlignment="1">
      <alignment horizontal="center" vertical="center"/>
    </xf>
    <xf numFmtId="10" fontId="32" fillId="0" borderId="0" xfId="1" applyNumberFormat="1" applyFont="1" applyAlignment="1">
      <alignment horizontal="center" vertical="center"/>
    </xf>
    <xf numFmtId="10" fontId="30" fillId="0" borderId="0" xfId="3" applyNumberFormat="1" applyFont="1" applyAlignment="1">
      <alignment horizontal="center" vertical="center"/>
    </xf>
    <xf numFmtId="186" fontId="30" fillId="0" borderId="0" xfId="1" applyNumberFormat="1" applyFont="1" applyAlignment="1">
      <alignment horizontal="center" vertical="center"/>
    </xf>
    <xf numFmtId="0" fontId="33" fillId="0" borderId="0" xfId="0" applyFont="1" applyFill="1" applyAlignment="1">
      <alignment horizontal="center" vertical="center"/>
    </xf>
    <xf numFmtId="0" fontId="30" fillId="5" borderId="0" xfId="0" applyFont="1" applyFill="1" applyAlignment="1">
      <alignment horizontal="center" vertical="center"/>
    </xf>
    <xf numFmtId="187" fontId="30" fillId="0" borderId="0" xfId="3" applyNumberFormat="1" applyFont="1" applyAlignment="1">
      <alignment horizontal="center" vertical="center"/>
    </xf>
    <xf numFmtId="10" fontId="30" fillId="0" borderId="0" xfId="1" applyNumberFormat="1" applyFont="1" applyAlignment="1">
      <alignment horizontal="center" vertical="center"/>
    </xf>
    <xf numFmtId="0" fontId="34" fillId="0" borderId="0" xfId="0" applyFont="1" applyFill="1" applyAlignment="1">
      <alignment horizontal="center" vertical="center"/>
    </xf>
    <xf numFmtId="187" fontId="34" fillId="0" borderId="0" xfId="3" applyNumberFormat="1" applyFont="1" applyAlignment="1">
      <alignment horizontal="center" vertical="center"/>
    </xf>
    <xf numFmtId="0" fontId="35" fillId="14" borderId="17" xfId="0" applyFont="1" applyFill="1" applyBorder="1" applyAlignment="1">
      <alignment horizontal="center" vertical="center"/>
    </xf>
    <xf numFmtId="0" fontId="35" fillId="13" borderId="18" xfId="0" applyNumberFormat="1" applyFont="1" applyFill="1" applyBorder="1" applyAlignment="1" applyProtection="1">
      <alignment horizontal="center" vertical="center"/>
      <protection locked="0"/>
    </xf>
    <xf numFmtId="0" fontId="30" fillId="14" borderId="18" xfId="0" applyFont="1" applyFill="1" applyBorder="1" applyAlignment="1">
      <alignment horizontal="center" vertical="center"/>
    </xf>
    <xf numFmtId="186" fontId="30" fillId="14" borderId="52" xfId="1" applyNumberFormat="1" applyFont="1" applyFill="1" applyBorder="1" applyAlignment="1">
      <alignment horizontal="center" vertical="center"/>
    </xf>
    <xf numFmtId="187" fontId="30" fillId="14" borderId="35" xfId="3" applyNumberFormat="1" applyFont="1" applyFill="1" applyBorder="1" applyAlignment="1">
      <alignment horizontal="center" vertical="center"/>
    </xf>
    <xf numFmtId="0" fontId="36" fillId="0" borderId="0" xfId="0" applyFont="1" applyFill="1" applyAlignment="1">
      <alignment vertical="center"/>
    </xf>
    <xf numFmtId="0" fontId="35" fillId="14" borderId="9" xfId="0" applyFont="1" applyFill="1" applyBorder="1" applyAlignment="1">
      <alignment horizontal="center" vertical="center"/>
    </xf>
    <xf numFmtId="0" fontId="35" fillId="14" borderId="10" xfId="0" applyFont="1" applyFill="1" applyBorder="1" applyAlignment="1">
      <alignment horizontal="center" vertical="center"/>
    </xf>
    <xf numFmtId="0" fontId="35" fillId="14" borderId="53" xfId="0" applyFont="1" applyFill="1" applyBorder="1" applyAlignment="1">
      <alignment horizontal="center" vertical="center"/>
    </xf>
    <xf numFmtId="0" fontId="35" fillId="0" borderId="9" xfId="0" applyFont="1" applyFill="1" applyBorder="1" applyAlignment="1">
      <alignment horizontal="center" vertical="center"/>
    </xf>
    <xf numFmtId="0" fontId="3" fillId="0" borderId="10" xfId="0" applyFont="1" applyFill="1" applyBorder="1" applyAlignment="1">
      <alignment horizontal="center" vertical="center"/>
    </xf>
    <xf numFmtId="43" fontId="30" fillId="13" borderId="53" xfId="1" applyFont="1" applyFill="1" applyBorder="1" applyAlignment="1" applyProtection="1">
      <alignment horizontal="center" vertical="center"/>
      <protection locked="0"/>
    </xf>
    <xf numFmtId="43" fontId="30" fillId="13" borderId="42" xfId="1" applyFont="1" applyFill="1" applyBorder="1" applyAlignment="1" applyProtection="1">
      <alignment horizontal="center" vertical="center"/>
      <protection locked="0"/>
    </xf>
    <xf numFmtId="43" fontId="33" fillId="13" borderId="10" xfId="1" applyFont="1" applyFill="1" applyBorder="1" applyAlignment="1" applyProtection="1">
      <alignment horizontal="center" vertical="center"/>
      <protection locked="0"/>
    </xf>
    <xf numFmtId="186" fontId="30" fillId="5" borderId="53" xfId="1" applyNumberFormat="1" applyFont="1" applyFill="1" applyBorder="1" applyAlignment="1">
      <alignment horizontal="center" vertical="center"/>
    </xf>
    <xf numFmtId="187" fontId="30" fillId="0" borderId="0" xfId="3" applyNumberFormat="1" applyFont="1" applyFill="1" applyBorder="1" applyAlignment="1">
      <alignment horizontal="center" vertical="center"/>
    </xf>
    <xf numFmtId="10" fontId="30" fillId="0" borderId="0" xfId="1" applyNumberFormat="1" applyFont="1" applyFill="1" applyBorder="1" applyAlignment="1">
      <alignment horizontal="center" vertical="center"/>
    </xf>
    <xf numFmtId="10" fontId="30" fillId="0" borderId="0" xfId="3" applyNumberFormat="1" applyFont="1" applyBorder="1" applyAlignment="1">
      <alignment horizontal="center" vertical="center"/>
    </xf>
    <xf numFmtId="188" fontId="30" fillId="0" borderId="0" xfId="3" applyNumberFormat="1" applyFont="1" applyFill="1" applyAlignment="1">
      <alignment horizontal="center" vertical="center"/>
    </xf>
    <xf numFmtId="186" fontId="33" fillId="5" borderId="10" xfId="1" applyNumberFormat="1" applyFont="1" applyFill="1" applyBorder="1" applyAlignment="1" applyProtection="1">
      <alignment horizontal="center" vertical="center"/>
    </xf>
    <xf numFmtId="186" fontId="30" fillId="13" borderId="53" xfId="1" applyNumberFormat="1" applyFont="1" applyFill="1" applyBorder="1" applyAlignment="1" applyProtection="1">
      <alignment horizontal="center" vertical="center"/>
      <protection locked="0"/>
    </xf>
    <xf numFmtId="186" fontId="30" fillId="5" borderId="53" xfId="1" applyNumberFormat="1" applyFont="1" applyFill="1" applyBorder="1" applyAlignment="1" applyProtection="1">
      <alignment horizontal="center" vertical="center"/>
      <protection locked="0"/>
    </xf>
    <xf numFmtId="186" fontId="33" fillId="13" borderId="10" xfId="1" applyNumberFormat="1" applyFont="1" applyFill="1" applyBorder="1" applyAlignment="1" applyProtection="1">
      <alignment horizontal="center" vertical="center"/>
      <protection locked="0"/>
    </xf>
    <xf numFmtId="186" fontId="33" fillId="13" borderId="10" xfId="1" applyNumberFormat="1" applyFont="1" applyFill="1" applyBorder="1" applyAlignment="1">
      <alignment horizontal="center" vertical="center"/>
    </xf>
    <xf numFmtId="186" fontId="33" fillId="13" borderId="53" xfId="1" applyNumberFormat="1" applyFont="1" applyFill="1" applyBorder="1" applyAlignment="1">
      <alignment horizontal="center" vertical="center"/>
    </xf>
    <xf numFmtId="0" fontId="35" fillId="0" borderId="14" xfId="0" applyFont="1" applyFill="1" applyBorder="1" applyAlignment="1">
      <alignment horizontal="center" vertical="center"/>
    </xf>
    <xf numFmtId="0" fontId="3" fillId="0" borderId="15" xfId="0" applyFont="1" applyFill="1" applyBorder="1" applyAlignment="1">
      <alignment horizontal="center" vertical="center"/>
    </xf>
    <xf numFmtId="186" fontId="30" fillId="13" borderId="56" xfId="1" applyNumberFormat="1" applyFont="1" applyFill="1" applyBorder="1" applyAlignment="1" applyProtection="1">
      <alignment horizontal="center" vertical="center"/>
      <protection locked="0"/>
    </xf>
    <xf numFmtId="186" fontId="33" fillId="13" borderId="15" xfId="1" applyNumberFormat="1" applyFont="1" applyFill="1" applyBorder="1" applyAlignment="1" applyProtection="1">
      <alignment horizontal="center" vertical="center"/>
      <protection locked="0"/>
    </xf>
    <xf numFmtId="10" fontId="30" fillId="0" borderId="0" xfId="1" applyNumberFormat="1" applyFont="1" applyFill="1" applyAlignment="1">
      <alignment horizontal="center" vertical="center"/>
    </xf>
    <xf numFmtId="189" fontId="30" fillId="0" borderId="0" xfId="1" applyNumberFormat="1" applyFont="1" applyFill="1" applyAlignment="1">
      <alignment horizontal="center" vertical="center"/>
    </xf>
    <xf numFmtId="0" fontId="35" fillId="0" borderId="0" xfId="0" applyFont="1" applyFill="1" applyAlignment="1">
      <alignment horizontal="center" vertical="center"/>
    </xf>
    <xf numFmtId="0" fontId="37" fillId="0" borderId="0" xfId="0" applyFont="1" applyFill="1" applyAlignment="1">
      <alignment vertical="center"/>
    </xf>
    <xf numFmtId="0" fontId="37" fillId="0" borderId="0" xfId="0" applyFont="1" applyFill="1" applyAlignment="1">
      <alignment horizontal="center" vertical="center"/>
    </xf>
    <xf numFmtId="0" fontId="3" fillId="0" borderId="0" xfId="0" applyFont="1" applyFill="1" applyAlignment="1">
      <alignment horizontal="center" vertical="center"/>
    </xf>
    <xf numFmtId="25" fontId="38" fillId="0" borderId="57" xfId="3" applyNumberFormat="1" applyFont="1" applyBorder="1" applyAlignment="1">
      <alignment vertical="center"/>
    </xf>
    <xf numFmtId="25" fontId="38" fillId="0" borderId="59" xfId="3" applyNumberFormat="1" applyFont="1" applyBorder="1" applyAlignment="1">
      <alignment vertical="center"/>
    </xf>
    <xf numFmtId="187" fontId="37" fillId="0" borderId="0" xfId="3" applyNumberFormat="1" applyFont="1" applyAlignment="1">
      <alignment horizontal="center" vertical="center"/>
    </xf>
    <xf numFmtId="0" fontId="19" fillId="14" borderId="10" xfId="0" applyFont="1" applyFill="1" applyBorder="1" applyAlignment="1">
      <alignment horizontal="center" vertical="center" wrapText="1"/>
    </xf>
    <xf numFmtId="0" fontId="19" fillId="14" borderId="10" xfId="0" applyFont="1" applyFill="1" applyBorder="1" applyAlignment="1">
      <alignment horizontal="center" vertical="center"/>
    </xf>
    <xf numFmtId="186" fontId="19" fillId="14" borderId="10" xfId="0" applyNumberFormat="1" applyFont="1" applyFill="1" applyBorder="1" applyAlignment="1">
      <alignment horizontal="center" vertical="center"/>
    </xf>
    <xf numFmtId="187" fontId="19" fillId="14" borderId="19" xfId="3" applyNumberFormat="1" applyFont="1" applyFill="1" applyBorder="1" applyAlignment="1">
      <alignment horizontal="center" vertical="center" wrapText="1"/>
    </xf>
    <xf numFmtId="10" fontId="19" fillId="14" borderId="10" xfId="3" applyNumberFormat="1" applyFont="1" applyFill="1" applyBorder="1" applyAlignment="1">
      <alignment horizontal="center" vertical="center"/>
    </xf>
    <xf numFmtId="187" fontId="19" fillId="14" borderId="21" xfId="3" applyNumberFormat="1" applyFont="1" applyFill="1" applyBorder="1" applyAlignment="1">
      <alignment horizontal="center" vertical="center" wrapText="1"/>
    </xf>
    <xf numFmtId="10" fontId="19" fillId="14" borderId="10" xfId="0" applyNumberFormat="1" applyFont="1" applyFill="1" applyBorder="1" applyAlignment="1">
      <alignment horizontal="center" vertical="center"/>
    </xf>
    <xf numFmtId="0" fontId="35" fillId="14" borderId="12" xfId="0" applyFont="1" applyFill="1" applyBorder="1" applyAlignment="1">
      <alignment horizontal="center" vertical="center"/>
    </xf>
    <xf numFmtId="49" fontId="39" fillId="0" borderId="21" xfId="0" applyNumberFormat="1" applyFont="1" applyFill="1" applyBorder="1" applyAlignment="1">
      <alignment vertical="center"/>
    </xf>
    <xf numFmtId="0" fontId="30" fillId="0" borderId="21" xfId="0" applyFont="1" applyFill="1" applyBorder="1" applyAlignment="1">
      <alignment vertical="center"/>
    </xf>
    <xf numFmtId="186" fontId="30" fillId="5" borderId="21" xfId="1" applyNumberFormat="1" applyFont="1" applyFill="1" applyBorder="1" applyAlignment="1" applyProtection="1">
      <alignment horizontal="center" vertical="center"/>
    </xf>
    <xf numFmtId="187" fontId="30" fillId="5" borderId="21" xfId="3" applyNumberFormat="1" applyFont="1" applyFill="1" applyBorder="1" applyAlignment="1" applyProtection="1">
      <alignment horizontal="center" vertical="center"/>
    </xf>
    <xf numFmtId="10" fontId="30" fillId="0" borderId="21" xfId="1" applyNumberFormat="1" applyFont="1" applyFill="1" applyBorder="1" applyAlignment="1" applyProtection="1">
      <alignment horizontal="center" vertical="center"/>
      <protection locked="0"/>
    </xf>
    <xf numFmtId="190" fontId="30" fillId="5" borderId="21" xfId="3" applyNumberFormat="1" applyFont="1" applyFill="1" applyBorder="1" applyProtection="1">
      <alignment vertical="center"/>
    </xf>
    <xf numFmtId="10" fontId="30" fillId="5" borderId="21" xfId="3" applyNumberFormat="1" applyFont="1" applyFill="1" applyBorder="1" applyProtection="1">
      <alignment vertical="center"/>
    </xf>
    <xf numFmtId="0" fontId="30" fillId="0" borderId="21" xfId="0" applyFont="1" applyFill="1" applyBorder="1" applyAlignment="1" applyProtection="1">
      <alignment vertical="center"/>
      <protection locked="0"/>
    </xf>
    <xf numFmtId="0" fontId="30" fillId="0" borderId="0" xfId="0" applyFont="1" applyFill="1" applyAlignment="1">
      <alignment vertical="center"/>
    </xf>
    <xf numFmtId="186" fontId="30" fillId="5" borderId="12" xfId="1" applyNumberFormat="1" applyFont="1" applyFill="1" applyBorder="1" applyAlignment="1">
      <alignment horizontal="center" vertical="center"/>
    </xf>
    <xf numFmtId="0" fontId="30" fillId="0" borderId="10" xfId="0" applyFont="1" applyFill="1" applyBorder="1" applyAlignment="1">
      <alignment vertical="center"/>
    </xf>
    <xf numFmtId="186" fontId="30" fillId="5" borderId="10" xfId="1" applyNumberFormat="1" applyFont="1" applyFill="1" applyBorder="1" applyProtection="1">
      <alignment vertical="center"/>
    </xf>
    <xf numFmtId="10" fontId="30" fillId="0" borderId="10" xfId="1" applyNumberFormat="1" applyFont="1" applyFill="1" applyBorder="1" applyAlignment="1" applyProtection="1">
      <alignment horizontal="center" vertical="center"/>
      <protection locked="0"/>
    </xf>
    <xf numFmtId="190" fontId="30" fillId="13" borderId="10" xfId="3" applyNumberFormat="1" applyFont="1" applyFill="1" applyBorder="1" applyProtection="1">
      <alignment vertical="center"/>
      <protection locked="0"/>
    </xf>
    <xf numFmtId="9" fontId="30" fillId="0" borderId="10" xfId="0" applyNumberFormat="1" applyFont="1" applyFill="1" applyBorder="1" applyAlignment="1" applyProtection="1">
      <alignment vertical="center"/>
      <protection locked="0"/>
    </xf>
    <xf numFmtId="9" fontId="30" fillId="0" borderId="0" xfId="0" applyNumberFormat="1" applyFont="1" applyFill="1" applyAlignment="1">
      <alignment vertical="center"/>
    </xf>
    <xf numFmtId="186" fontId="30" fillId="5" borderId="12" xfId="1" applyNumberFormat="1" applyFont="1" applyFill="1" applyBorder="1">
      <alignment vertical="center"/>
    </xf>
    <xf numFmtId="49" fontId="40" fillId="0" borderId="10" xfId="0" applyNumberFormat="1" applyFont="1" applyFill="1" applyBorder="1" applyAlignment="1">
      <alignment vertical="center"/>
    </xf>
    <xf numFmtId="186" fontId="3" fillId="5" borderId="10" xfId="1" applyNumberFormat="1" applyFont="1" applyFill="1" applyBorder="1" applyProtection="1">
      <alignment vertical="center"/>
    </xf>
    <xf numFmtId="190" fontId="3" fillId="5" borderId="10" xfId="3" applyNumberFormat="1" applyFont="1" applyFill="1" applyBorder="1" applyProtection="1">
      <alignment vertical="center"/>
    </xf>
    <xf numFmtId="0" fontId="30" fillId="0" borderId="10" xfId="0" applyFont="1" applyFill="1" applyBorder="1" applyAlignment="1" applyProtection="1">
      <alignment vertical="center"/>
      <protection locked="0"/>
    </xf>
    <xf numFmtId="0" fontId="30" fillId="0" borderId="0" xfId="0" applyFont="1" applyFill="1" applyBorder="1" applyAlignment="1">
      <alignment vertical="center"/>
    </xf>
    <xf numFmtId="49" fontId="41" fillId="0" borderId="10" xfId="0" applyNumberFormat="1" applyFont="1" applyFill="1" applyBorder="1" applyAlignment="1">
      <alignment vertical="center"/>
    </xf>
    <xf numFmtId="187" fontId="3" fillId="5" borderId="21" xfId="3" applyNumberFormat="1" applyFont="1" applyFill="1" applyBorder="1" applyAlignment="1" applyProtection="1">
      <alignment horizontal="center" vertical="center"/>
    </xf>
    <xf numFmtId="10" fontId="3" fillId="0" borderId="10" xfId="1" applyNumberFormat="1" applyFont="1" applyFill="1" applyBorder="1" applyAlignment="1" applyProtection="1">
      <alignment horizontal="center" vertical="center"/>
      <protection locked="0"/>
    </xf>
    <xf numFmtId="10" fontId="3" fillId="5" borderId="10" xfId="3" applyNumberFormat="1" applyFont="1" applyFill="1" applyBorder="1" applyProtection="1">
      <alignment vertical="center"/>
    </xf>
    <xf numFmtId="49" fontId="39" fillId="0" borderId="10" xfId="0" applyNumberFormat="1" applyFont="1" applyFill="1" applyBorder="1" applyAlignment="1">
      <alignment vertical="center"/>
    </xf>
    <xf numFmtId="186" fontId="3" fillId="5" borderId="12" xfId="1" applyNumberFormat="1" applyFont="1" applyFill="1" applyBorder="1">
      <alignment vertical="center"/>
    </xf>
    <xf numFmtId="49" fontId="42" fillId="0" borderId="10" xfId="0" applyNumberFormat="1" applyFont="1" applyFill="1" applyBorder="1" applyAlignment="1">
      <alignment vertical="center"/>
    </xf>
    <xf numFmtId="0" fontId="43" fillId="0" borderId="10" xfId="0" applyFont="1" applyFill="1" applyBorder="1" applyAlignment="1">
      <alignment vertical="center"/>
    </xf>
    <xf numFmtId="10" fontId="43" fillId="0" borderId="10" xfId="1" applyNumberFormat="1" applyFont="1" applyFill="1" applyBorder="1" applyAlignment="1" applyProtection="1">
      <alignment horizontal="center" vertical="center"/>
      <protection locked="0"/>
    </xf>
    <xf numFmtId="190" fontId="43" fillId="5" borderId="10" xfId="3" applyNumberFormat="1" applyFont="1" applyFill="1" applyBorder="1" applyProtection="1">
      <alignment vertical="center"/>
    </xf>
    <xf numFmtId="0" fontId="43" fillId="0" borderId="10" xfId="0" applyFont="1" applyFill="1" applyBorder="1" applyAlignment="1" applyProtection="1">
      <alignment vertical="center" wrapText="1"/>
      <protection locked="0"/>
    </xf>
    <xf numFmtId="0" fontId="43" fillId="0" borderId="0" xfId="0" applyFont="1" applyFill="1" applyBorder="1" applyAlignment="1">
      <alignment vertical="center" wrapText="1"/>
    </xf>
    <xf numFmtId="0" fontId="3" fillId="0" borderId="0" xfId="0" applyFont="1" applyFill="1" applyBorder="1" applyAlignment="1">
      <alignment vertical="center"/>
    </xf>
    <xf numFmtId="186" fontId="3" fillId="13" borderId="12" xfId="1" applyNumberFormat="1" applyFont="1" applyFill="1" applyBorder="1">
      <alignment vertical="center"/>
    </xf>
    <xf numFmtId="10" fontId="43" fillId="0" borderId="10" xfId="1" applyNumberFormat="1" applyFont="1" applyFill="1" applyBorder="1" applyAlignment="1" applyProtection="1">
      <alignment horizontal="center" vertical="center" wrapText="1"/>
      <protection locked="0"/>
    </xf>
    <xf numFmtId="9" fontId="43" fillId="0" borderId="10" xfId="0" applyNumberFormat="1" applyFont="1" applyFill="1" applyBorder="1" applyAlignment="1" applyProtection="1">
      <alignment vertical="center"/>
      <protection locked="0"/>
    </xf>
    <xf numFmtId="9" fontId="43" fillId="0" borderId="0" xfId="0" applyNumberFormat="1" applyFont="1" applyFill="1" applyBorder="1" applyAlignment="1">
      <alignment vertical="center"/>
    </xf>
    <xf numFmtId="9" fontId="3" fillId="0" borderId="0" xfId="0" applyNumberFormat="1" applyFont="1" applyFill="1" applyBorder="1" applyAlignment="1">
      <alignment vertical="center"/>
    </xf>
    <xf numFmtId="186" fontId="3" fillId="5" borderId="12" xfId="1" applyNumberFormat="1" applyFont="1" applyFill="1" applyBorder="1" applyProtection="1">
      <alignment vertical="center"/>
    </xf>
    <xf numFmtId="0" fontId="3" fillId="0" borderId="10" xfId="0" applyFont="1" applyFill="1" applyBorder="1" applyAlignment="1">
      <alignment vertical="center"/>
    </xf>
    <xf numFmtId="0" fontId="3" fillId="0" borderId="10" xfId="0" applyFont="1" applyFill="1" applyBorder="1" applyAlignment="1" applyProtection="1">
      <alignment vertical="center"/>
      <protection locked="0"/>
    </xf>
    <xf numFmtId="10" fontId="3" fillId="0" borderId="10" xfId="3" applyNumberFormat="1" applyFont="1" applyFill="1" applyBorder="1" applyAlignment="1" applyProtection="1">
      <alignment horizontal="center" vertical="center"/>
      <protection locked="0"/>
    </xf>
    <xf numFmtId="49" fontId="44" fillId="0" borderId="10" xfId="0" applyNumberFormat="1" applyFont="1" applyFill="1" applyBorder="1" applyAlignment="1">
      <alignment vertical="center"/>
    </xf>
    <xf numFmtId="0" fontId="30" fillId="0" borderId="10" xfId="0" applyFont="1" applyFill="1" applyBorder="1" applyAlignment="1" applyProtection="1">
      <alignment vertical="center" wrapText="1"/>
      <protection locked="0"/>
    </xf>
    <xf numFmtId="49" fontId="30" fillId="0" borderId="10" xfId="0" applyNumberFormat="1" applyFont="1" applyFill="1" applyBorder="1" applyAlignment="1">
      <alignment vertical="center"/>
    </xf>
    <xf numFmtId="190" fontId="31" fillId="5" borderId="10" xfId="3" applyNumberFormat="1" applyFont="1" applyFill="1" applyBorder="1" applyProtection="1">
      <alignment vertical="center"/>
    </xf>
    <xf numFmtId="10" fontId="31" fillId="5" borderId="10" xfId="3" applyNumberFormat="1" applyFont="1" applyFill="1" applyBorder="1" applyProtection="1">
      <alignment vertical="center"/>
    </xf>
    <xf numFmtId="49" fontId="45" fillId="0" borderId="10" xfId="0" applyNumberFormat="1" applyFont="1" applyFill="1" applyBorder="1" applyAlignment="1">
      <alignment vertical="center"/>
    </xf>
    <xf numFmtId="10" fontId="43" fillId="5" borderId="10" xfId="3" applyNumberFormat="1" applyFont="1" applyFill="1" applyBorder="1" applyProtection="1">
      <alignment vertical="center"/>
    </xf>
    <xf numFmtId="0" fontId="3" fillId="0" borderId="10" xfId="0" applyFont="1" applyFill="1" applyBorder="1" applyAlignment="1" applyProtection="1">
      <alignment vertical="center" wrapText="1"/>
      <protection locked="0"/>
    </xf>
    <xf numFmtId="0" fontId="3" fillId="0" borderId="0" xfId="0" applyFont="1" applyFill="1" applyBorder="1" applyAlignment="1">
      <alignment vertical="center" wrapText="1"/>
    </xf>
    <xf numFmtId="41" fontId="3" fillId="5" borderId="12" xfId="1" applyNumberFormat="1" applyFont="1" applyFill="1" applyBorder="1">
      <alignment vertical="center"/>
    </xf>
    <xf numFmtId="41" fontId="3" fillId="5" borderId="10" xfId="0" applyNumberFormat="1" applyFont="1" applyFill="1" applyBorder="1" applyAlignment="1"/>
    <xf numFmtId="41" fontId="3" fillId="5" borderId="10" xfId="1" applyNumberFormat="1" applyFont="1" applyFill="1" applyBorder="1">
      <alignment vertical="center"/>
    </xf>
    <xf numFmtId="0" fontId="3" fillId="0" borderId="10" xfId="0" applyFont="1" applyFill="1" applyBorder="1" applyAlignment="1">
      <alignment vertical="center" wrapText="1"/>
    </xf>
    <xf numFmtId="190" fontId="30" fillId="5" borderId="10" xfId="3" applyNumberFormat="1" applyFont="1" applyFill="1" applyBorder="1" applyProtection="1">
      <alignment vertical="center"/>
    </xf>
    <xf numFmtId="49" fontId="45" fillId="0" borderId="10" xfId="0" applyNumberFormat="1" applyFont="1" applyFill="1" applyBorder="1" applyAlignment="1" applyProtection="1">
      <alignment vertical="center"/>
    </xf>
    <xf numFmtId="10" fontId="3" fillId="0" borderId="10" xfId="1" applyNumberFormat="1" applyFont="1" applyFill="1" applyBorder="1" applyAlignment="1" applyProtection="1">
      <alignment horizontal="center" vertical="center" wrapText="1"/>
      <protection locked="0"/>
    </xf>
    <xf numFmtId="0" fontId="3" fillId="0" borderId="10" xfId="0" applyFont="1" applyFill="1" applyBorder="1" applyAlignment="1" applyProtection="1">
      <alignment vertical="center"/>
    </xf>
    <xf numFmtId="0" fontId="10" fillId="0" borderId="10" xfId="0" applyFont="1" applyFill="1" applyBorder="1" applyAlignment="1" applyProtection="1">
      <alignment vertical="center" wrapText="1"/>
    </xf>
    <xf numFmtId="0" fontId="5" fillId="0" borderId="10" xfId="0" applyFont="1" applyFill="1" applyBorder="1" applyAlignment="1" applyProtection="1">
      <alignment vertical="center" wrapText="1"/>
    </xf>
    <xf numFmtId="41" fontId="30" fillId="5" borderId="12" xfId="1" applyNumberFormat="1" applyFont="1" applyFill="1" applyBorder="1">
      <alignment vertical="center"/>
    </xf>
    <xf numFmtId="49" fontId="41" fillId="0" borderId="10" xfId="0" applyNumberFormat="1" applyFont="1" applyFill="1" applyBorder="1" applyAlignment="1" applyProtection="1">
      <alignment vertical="center"/>
    </xf>
    <xf numFmtId="0" fontId="39" fillId="0" borderId="10" xfId="0" applyFont="1" applyFill="1" applyBorder="1" applyAlignment="1">
      <alignment vertical="center"/>
    </xf>
    <xf numFmtId="10" fontId="30" fillId="5" borderId="10" xfId="3" applyNumberFormat="1" applyFont="1" applyFill="1" applyBorder="1" applyAlignment="1" applyProtection="1">
      <alignment horizontal="center" vertical="center"/>
    </xf>
    <xf numFmtId="186" fontId="3" fillId="13" borderId="10" xfId="1" applyNumberFormat="1" applyFont="1" applyFill="1" applyBorder="1" applyProtection="1">
      <alignment vertical="center"/>
      <protection locked="0"/>
    </xf>
    <xf numFmtId="179" fontId="32" fillId="5" borderId="10" xfId="1" applyNumberFormat="1" applyFont="1" applyFill="1" applyBorder="1" applyProtection="1">
      <alignment vertical="center"/>
    </xf>
    <xf numFmtId="187" fontId="32" fillId="5" borderId="21" xfId="3" applyNumberFormat="1" applyFont="1" applyFill="1" applyBorder="1" applyAlignment="1" applyProtection="1">
      <alignment horizontal="center" vertical="center"/>
    </xf>
    <xf numFmtId="10" fontId="30" fillId="5" borderId="10" xfId="3" applyNumberFormat="1" applyFont="1" applyFill="1" applyBorder="1" applyProtection="1">
      <alignment vertical="center"/>
    </xf>
    <xf numFmtId="186" fontId="32" fillId="5" borderId="10" xfId="1" applyNumberFormat="1" applyFont="1" applyFill="1" applyBorder="1" applyProtection="1">
      <alignment vertical="center"/>
    </xf>
    <xf numFmtId="49" fontId="46" fillId="6" borderId="10" xfId="0" applyNumberFormat="1" applyFont="1" applyFill="1" applyBorder="1" applyAlignment="1" applyProtection="1">
      <alignment vertical="center"/>
    </xf>
    <xf numFmtId="186" fontId="3" fillId="5" borderId="10" xfId="1" applyNumberFormat="1" applyFont="1" applyFill="1" applyBorder="1" applyAlignment="1" applyProtection="1">
      <alignment horizontal="center" vertical="center"/>
    </xf>
    <xf numFmtId="10" fontId="3" fillId="0" borderId="10" xfId="3" applyNumberFormat="1" applyFont="1" applyFill="1" applyBorder="1" applyProtection="1">
      <alignment vertical="center"/>
      <protection locked="0"/>
    </xf>
    <xf numFmtId="10" fontId="3" fillId="0" borderId="0" xfId="3" applyNumberFormat="1" applyFont="1" applyFill="1" applyBorder="1">
      <alignment vertical="center"/>
    </xf>
    <xf numFmtId="43" fontId="3" fillId="5" borderId="10" xfId="1" applyFont="1" applyFill="1" applyBorder="1" applyAlignment="1" applyProtection="1">
      <alignment horizontal="center" vertical="center"/>
    </xf>
    <xf numFmtId="187" fontId="3" fillId="5" borderId="10" xfId="3" applyNumberFormat="1" applyFont="1" applyFill="1" applyBorder="1" applyAlignment="1" applyProtection="1">
      <alignment horizontal="center" vertical="center"/>
    </xf>
    <xf numFmtId="10" fontId="30" fillId="13" borderId="10" xfId="3" applyNumberFormat="1" applyFont="1" applyFill="1" applyBorder="1" applyAlignment="1" applyProtection="1">
      <alignment horizontal="center" vertical="center"/>
      <protection locked="0"/>
    </xf>
    <xf numFmtId="10" fontId="3" fillId="0" borderId="10" xfId="1" applyNumberFormat="1" applyFont="1" applyBorder="1" applyAlignment="1" applyProtection="1">
      <alignment horizontal="center" vertical="center"/>
      <protection locked="0"/>
    </xf>
    <xf numFmtId="0" fontId="3" fillId="0" borderId="0" xfId="3" applyNumberFormat="1" applyFont="1">
      <alignment vertical="center"/>
    </xf>
    <xf numFmtId="0" fontId="3" fillId="0" borderId="0" xfId="0" applyFont="1" applyFill="1" applyAlignment="1"/>
    <xf numFmtId="0" fontId="30" fillId="0" borderId="0" xfId="0" applyFont="1" applyFill="1" applyAlignment="1"/>
    <xf numFmtId="10" fontId="34" fillId="0" borderId="0" xfId="0" applyNumberFormat="1" applyFont="1" applyFill="1" applyAlignment="1">
      <alignment horizontal="center" vertical="center"/>
    </xf>
    <xf numFmtId="0" fontId="30" fillId="0" borderId="0" xfId="3" applyNumberFormat="1" applyFont="1" applyFill="1" applyBorder="1" applyAlignment="1">
      <alignment horizontal="center" vertical="center"/>
    </xf>
    <xf numFmtId="10" fontId="30" fillId="0" borderId="0" xfId="0" applyNumberFormat="1" applyFont="1" applyFill="1" applyAlignment="1">
      <alignment horizontal="center" vertical="center"/>
    </xf>
    <xf numFmtId="10" fontId="37" fillId="0" borderId="0" xfId="0" applyNumberFormat="1" applyFont="1" applyFill="1" applyAlignment="1">
      <alignment vertical="center"/>
    </xf>
    <xf numFmtId="10" fontId="37" fillId="0" borderId="0" xfId="0" applyNumberFormat="1" applyFont="1" applyFill="1" applyAlignment="1">
      <alignment horizontal="center" vertical="center"/>
    </xf>
    <xf numFmtId="10" fontId="30" fillId="13" borderId="10" xfId="3" applyNumberFormat="1" applyFont="1" applyFill="1" applyBorder="1" applyProtection="1">
      <alignment vertical="center"/>
      <protection locked="0"/>
    </xf>
    <xf numFmtId="0" fontId="30" fillId="0" borderId="0" xfId="0" applyFont="1" applyFill="1" applyAlignment="1">
      <alignment horizontal="left"/>
    </xf>
    <xf numFmtId="179" fontId="3" fillId="5" borderId="10" xfId="1" applyNumberFormat="1" applyFont="1" applyFill="1" applyBorder="1" applyAlignment="1" applyProtection="1">
      <alignment horizontal="center" vertical="center"/>
    </xf>
    <xf numFmtId="0" fontId="3" fillId="5" borderId="10" xfId="1" applyNumberFormat="1" applyFont="1" applyFill="1" applyBorder="1" applyAlignment="1" applyProtection="1">
      <alignment horizontal="center" vertical="center"/>
    </xf>
    <xf numFmtId="10" fontId="3" fillId="5" borderId="10" xfId="1" applyNumberFormat="1" applyFont="1" applyFill="1" applyBorder="1" applyAlignment="1" applyProtection="1">
      <alignment horizontal="center" vertical="center"/>
    </xf>
    <xf numFmtId="0" fontId="3" fillId="0" borderId="0" xfId="0" applyNumberFormat="1" applyFont="1"/>
    <xf numFmtId="0" fontId="8" fillId="0" borderId="0" xfId="0" applyFont="1" applyAlignment="1">
      <alignment horizontal="center" vertical="center" wrapText="1"/>
    </xf>
    <xf numFmtId="0" fontId="47" fillId="0" borderId="0" xfId="0" applyFont="1" applyFill="1" applyAlignment="1">
      <alignment vertical="center"/>
    </xf>
    <xf numFmtId="0" fontId="48" fillId="0" borderId="0" xfId="0" applyFont="1" applyFill="1" applyAlignment="1">
      <alignment vertical="center"/>
    </xf>
    <xf numFmtId="0" fontId="9" fillId="15" borderId="7"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49" fillId="6" borderId="0" xfId="0" applyFont="1" applyFill="1" applyAlignment="1">
      <alignment horizontal="center" vertical="center" wrapText="1"/>
    </xf>
    <xf numFmtId="182" fontId="8" fillId="0" borderId="0" xfId="0" applyNumberFormat="1" applyFont="1" applyAlignment="1">
      <alignment horizontal="center" vertical="center" wrapText="1"/>
    </xf>
    <xf numFmtId="179" fontId="8" fillId="0" borderId="0" xfId="0" applyNumberFormat="1" applyFont="1" applyAlignment="1">
      <alignment horizontal="center" vertical="center" wrapText="1"/>
    </xf>
    <xf numFmtId="179" fontId="8" fillId="16" borderId="0" xfId="0" applyNumberFormat="1" applyFont="1" applyFill="1" applyAlignment="1">
      <alignment horizontal="center" vertical="center" wrapText="1"/>
    </xf>
    <xf numFmtId="0" fontId="8" fillId="0" borderId="47" xfId="0" applyFont="1" applyBorder="1" applyAlignment="1">
      <alignment horizontal="center" vertical="center" wrapText="1"/>
    </xf>
    <xf numFmtId="0" fontId="9" fillId="0" borderId="61" xfId="0" applyFont="1" applyFill="1" applyBorder="1" applyAlignment="1">
      <alignment horizontal="center" vertical="center" wrapText="1"/>
    </xf>
    <xf numFmtId="0" fontId="16" fillId="0" borderId="0" xfId="0" applyNumberFormat="1" applyFont="1" applyFill="1" applyAlignment="1">
      <alignment horizontal="center" vertical="center" wrapText="1"/>
    </xf>
    <xf numFmtId="191" fontId="16" fillId="0" borderId="0" xfId="0" applyNumberFormat="1" applyFont="1" applyFill="1" applyAlignment="1">
      <alignment horizontal="center" vertical="center" wrapText="1"/>
    </xf>
    <xf numFmtId="0" fontId="16" fillId="0" borderId="47" xfId="0" applyNumberFormat="1" applyFont="1" applyFill="1" applyBorder="1" applyAlignment="1">
      <alignment horizontal="center" vertical="center" wrapText="1"/>
    </xf>
    <xf numFmtId="0" fontId="16" fillId="0" borderId="0" xfId="0" applyNumberFormat="1" applyFont="1" applyFill="1" applyAlignment="1">
      <alignment horizontal="center" vertical="center"/>
    </xf>
    <xf numFmtId="0" fontId="47" fillId="0" borderId="0" xfId="0" applyNumberFormat="1" applyFont="1" applyFill="1" applyAlignment="1"/>
    <xf numFmtId="192" fontId="16" fillId="0" borderId="0" xfId="0" applyNumberFormat="1" applyFont="1" applyFill="1" applyAlignment="1">
      <alignment horizontal="center" vertical="center" wrapText="1"/>
    </xf>
    <xf numFmtId="0" fontId="50" fillId="17" borderId="61" xfId="0" applyNumberFormat="1" applyFont="1" applyFill="1" applyBorder="1" applyAlignment="1">
      <alignment horizontal="center" vertical="center" wrapText="1"/>
    </xf>
    <xf numFmtId="0" fontId="51" fillId="18" borderId="0" xfId="0" applyNumberFormat="1" applyFont="1" applyFill="1" applyAlignment="1">
      <alignment horizontal="center" vertical="center" wrapText="1"/>
    </xf>
    <xf numFmtId="0" fontId="51" fillId="18" borderId="47" xfId="0" applyNumberFormat="1" applyFont="1" applyFill="1" applyBorder="1" applyAlignment="1">
      <alignment horizontal="center" vertical="center" wrapText="1"/>
    </xf>
    <xf numFmtId="0" fontId="52" fillId="0" borderId="0" xfId="0" applyNumberFormat="1" applyFont="1" applyFill="1" applyAlignment="1">
      <alignment horizontal="center" vertical="center" wrapText="1"/>
    </xf>
    <xf numFmtId="0" fontId="51" fillId="0" borderId="0" xfId="0" applyNumberFormat="1" applyFont="1" applyFill="1" applyAlignment="1">
      <alignment horizontal="center" vertical="center"/>
    </xf>
    <xf numFmtId="0" fontId="48" fillId="0" borderId="0" xfId="0" applyNumberFormat="1" applyFont="1" applyFill="1" applyAlignment="1"/>
    <xf numFmtId="0" fontId="53" fillId="19" borderId="62" xfId="0" applyNumberFormat="1" applyFont="1" applyFill="1" applyBorder="1" applyAlignment="1">
      <alignment horizontal="center" vertical="center" wrapText="1"/>
    </xf>
    <xf numFmtId="193" fontId="53" fillId="20" borderId="31" xfId="0" applyNumberFormat="1" applyFont="1" applyFill="1" applyBorder="1" applyAlignment="1">
      <alignment horizontal="center" vertical="center" wrapText="1"/>
    </xf>
    <xf numFmtId="193" fontId="53" fillId="20" borderId="25" xfId="0" applyNumberFormat="1" applyFont="1" applyFill="1" applyBorder="1" applyAlignment="1">
      <alignment horizontal="center" vertical="center" wrapText="1"/>
    </xf>
    <xf numFmtId="194" fontId="53" fillId="20" borderId="25" xfId="0" applyNumberFormat="1" applyFont="1" applyFill="1" applyBorder="1" applyAlignment="1">
      <alignment horizontal="center" vertical="center" wrapText="1"/>
    </xf>
    <xf numFmtId="195" fontId="53" fillId="20" borderId="25" xfId="0" applyNumberFormat="1" applyFont="1" applyFill="1" applyBorder="1" applyAlignment="1">
      <alignment horizontal="center" vertical="center" wrapText="1"/>
    </xf>
    <xf numFmtId="196" fontId="53" fillId="20" borderId="25" xfId="0" applyNumberFormat="1" applyFont="1" applyFill="1" applyBorder="1" applyAlignment="1">
      <alignment horizontal="center" vertical="center" wrapText="1"/>
    </xf>
    <xf numFmtId="193" fontId="53" fillId="21" borderId="25" xfId="0" applyNumberFormat="1" applyFont="1" applyFill="1" applyBorder="1" applyAlignment="1">
      <alignment horizontal="center" vertical="center"/>
    </xf>
    <xf numFmtId="195" fontId="53" fillId="22" borderId="25" xfId="0" applyNumberFormat="1" applyFont="1" applyFill="1" applyBorder="1" applyAlignment="1">
      <alignment horizontal="center" vertical="center"/>
    </xf>
    <xf numFmtId="193" fontId="53" fillId="22" borderId="25" xfId="0" applyNumberFormat="1" applyFont="1" applyFill="1" applyBorder="1" applyAlignment="1">
      <alignment horizontal="center" vertical="center"/>
    </xf>
    <xf numFmtId="197" fontId="53" fillId="22" borderId="25" xfId="0" applyNumberFormat="1" applyFont="1" applyFill="1" applyBorder="1" applyAlignment="1">
      <alignment horizontal="center" vertical="center"/>
    </xf>
    <xf numFmtId="9" fontId="53" fillId="23" borderId="29" xfId="0" applyNumberFormat="1" applyFont="1" applyFill="1" applyBorder="1" applyAlignment="1">
      <alignment horizontal="center" vertical="center"/>
    </xf>
    <xf numFmtId="9" fontId="53" fillId="23" borderId="30" xfId="0" applyNumberFormat="1" applyFont="1" applyFill="1" applyBorder="1" applyAlignment="1">
      <alignment horizontal="center" vertical="center"/>
    </xf>
    <xf numFmtId="10" fontId="53" fillId="23" borderId="30" xfId="3" applyNumberFormat="1" applyFont="1" applyFill="1" applyBorder="1" applyAlignment="1">
      <alignment horizontal="center" vertical="center"/>
    </xf>
    <xf numFmtId="9" fontId="53" fillId="23" borderId="63" xfId="0" applyNumberFormat="1" applyFont="1" applyFill="1" applyBorder="1" applyAlignment="1">
      <alignment horizontal="center" vertical="center"/>
    </xf>
    <xf numFmtId="197" fontId="53" fillId="24" borderId="25" xfId="0" applyNumberFormat="1" applyFont="1" applyFill="1" applyBorder="1" applyAlignment="1">
      <alignment horizontal="center" vertical="center"/>
    </xf>
    <xf numFmtId="197" fontId="53" fillId="24" borderId="64" xfId="0" applyNumberFormat="1" applyFont="1" applyFill="1" applyBorder="1" applyAlignment="1">
      <alignment horizontal="center" vertical="center"/>
    </xf>
    <xf numFmtId="197" fontId="53" fillId="24" borderId="65" xfId="0" applyNumberFormat="1" applyFont="1" applyFill="1" applyBorder="1" applyAlignment="1">
      <alignment horizontal="center" vertical="center"/>
    </xf>
    <xf numFmtId="193" fontId="53" fillId="25" borderId="66" xfId="0" applyNumberFormat="1" applyFont="1" applyFill="1" applyBorder="1" applyAlignment="1">
      <alignment horizontal="center" vertical="center" wrapText="1"/>
    </xf>
    <xf numFmtId="193" fontId="53" fillId="25" borderId="67" xfId="0" applyNumberFormat="1" applyFont="1" applyFill="1" applyBorder="1" applyAlignment="1">
      <alignment horizontal="center" vertical="center"/>
    </xf>
    <xf numFmtId="193" fontId="53" fillId="25" borderId="68" xfId="0" applyNumberFormat="1" applyFont="1" applyFill="1" applyBorder="1" applyAlignment="1">
      <alignment horizontal="center" vertical="center"/>
    </xf>
    <xf numFmtId="0" fontId="53" fillId="0" borderId="0" xfId="0" applyNumberFormat="1" applyFont="1" applyFill="1" applyAlignment="1">
      <alignment horizontal="center" vertical="center"/>
    </xf>
    <xf numFmtId="0" fontId="53" fillId="0" borderId="69" xfId="0" applyNumberFormat="1" applyFont="1" applyFill="1" applyBorder="1" applyAlignment="1">
      <alignment horizontal="center" vertical="center" wrapText="1"/>
    </xf>
    <xf numFmtId="195" fontId="53" fillId="19" borderId="70" xfId="0" applyNumberFormat="1" applyFont="1" applyFill="1" applyBorder="1" applyAlignment="1">
      <alignment horizontal="center" vertical="center" wrapText="1"/>
    </xf>
    <xf numFmtId="195" fontId="53" fillId="19" borderId="71" xfId="0" applyNumberFormat="1" applyFont="1" applyFill="1" applyBorder="1" applyAlignment="1">
      <alignment horizontal="center" vertical="center" wrapText="1"/>
    </xf>
    <xf numFmtId="195" fontId="53" fillId="19" borderId="72" xfId="0" applyNumberFormat="1" applyFont="1" applyFill="1" applyBorder="1" applyAlignment="1">
      <alignment horizontal="center" vertical="center" wrapText="1"/>
    </xf>
    <xf numFmtId="195" fontId="53" fillId="19" borderId="73" xfId="0" applyNumberFormat="1" applyFont="1" applyFill="1" applyBorder="1" applyAlignment="1">
      <alignment horizontal="center" vertical="center" wrapText="1"/>
    </xf>
    <xf numFmtId="194" fontId="53" fillId="19" borderId="71" xfId="0" applyNumberFormat="1" applyFont="1" applyFill="1" applyBorder="1" applyAlignment="1">
      <alignment horizontal="center" vertical="center" wrapText="1"/>
    </xf>
    <xf numFmtId="198" fontId="53" fillId="21" borderId="74" xfId="0" applyNumberFormat="1" applyFont="1" applyFill="1" applyBorder="1" applyAlignment="1">
      <alignment horizontal="center" vertical="center" wrapText="1"/>
    </xf>
    <xf numFmtId="197" fontId="53" fillId="21" borderId="74" xfId="0" applyNumberFormat="1" applyFont="1" applyFill="1" applyBorder="1" applyAlignment="1">
      <alignment horizontal="center" vertical="center" wrapText="1"/>
    </xf>
    <xf numFmtId="182" fontId="53" fillId="21" borderId="74" xfId="0" applyNumberFormat="1" applyFont="1" applyFill="1" applyBorder="1" applyAlignment="1">
      <alignment horizontal="center" vertical="center" wrapText="1"/>
    </xf>
    <xf numFmtId="195" fontId="53" fillId="26" borderId="75" xfId="0" applyNumberFormat="1" applyFont="1" applyFill="1" applyBorder="1" applyAlignment="1">
      <alignment horizontal="center" vertical="center" wrapText="1"/>
    </xf>
    <xf numFmtId="193" fontId="53" fillId="26" borderId="75" xfId="0" applyNumberFormat="1" applyFont="1" applyFill="1" applyBorder="1" applyAlignment="1">
      <alignment horizontal="center" vertical="center" wrapText="1"/>
    </xf>
    <xf numFmtId="197" fontId="53" fillId="26" borderId="75" xfId="0" applyNumberFormat="1" applyFont="1" applyFill="1" applyBorder="1" applyAlignment="1">
      <alignment horizontal="center" vertical="center" wrapText="1"/>
    </xf>
    <xf numFmtId="9" fontId="53" fillId="27" borderId="76" xfId="0" applyNumberFormat="1" applyFont="1" applyFill="1" applyBorder="1" applyAlignment="1">
      <alignment horizontal="center" vertical="center" wrapText="1"/>
    </xf>
    <xf numFmtId="10" fontId="53" fillId="27" borderId="76" xfId="0" applyNumberFormat="1" applyFont="1" applyFill="1" applyBorder="1" applyAlignment="1">
      <alignment horizontal="center" vertical="center" wrapText="1"/>
    </xf>
    <xf numFmtId="10" fontId="53" fillId="23" borderId="76" xfId="0" applyNumberFormat="1" applyFont="1" applyFill="1" applyBorder="1" applyAlignment="1">
      <alignment horizontal="center" vertical="center" wrapText="1"/>
    </xf>
    <xf numFmtId="10" fontId="53" fillId="23" borderId="76" xfId="3" applyNumberFormat="1" applyFont="1" applyFill="1" applyBorder="1" applyAlignment="1">
      <alignment horizontal="center" vertical="center" wrapText="1"/>
    </xf>
    <xf numFmtId="197" fontId="53" fillId="23" borderId="76" xfId="0" applyNumberFormat="1" applyFont="1" applyFill="1" applyBorder="1" applyAlignment="1">
      <alignment horizontal="center" vertical="center" wrapText="1"/>
    </xf>
    <xf numFmtId="197" fontId="53" fillId="23" borderId="77" xfId="0" applyNumberFormat="1" applyFont="1" applyFill="1" applyBorder="1" applyAlignment="1">
      <alignment horizontal="center" vertical="center" wrapText="1"/>
    </xf>
    <xf numFmtId="197" fontId="53" fillId="24" borderId="25" xfId="0" applyNumberFormat="1" applyFont="1" applyFill="1" applyBorder="1" applyAlignment="1">
      <alignment horizontal="center" vertical="center" wrapText="1"/>
    </xf>
    <xf numFmtId="197" fontId="53" fillId="24" borderId="78" xfId="0" applyNumberFormat="1" applyFont="1" applyFill="1" applyBorder="1" applyAlignment="1">
      <alignment horizontal="center" vertical="center" wrapText="1"/>
    </xf>
    <xf numFmtId="193" fontId="53" fillId="25" borderId="79" xfId="0" applyNumberFormat="1" applyFont="1" applyFill="1" applyBorder="1" applyAlignment="1">
      <alignment horizontal="center" vertical="center" wrapText="1"/>
    </xf>
    <xf numFmtId="193" fontId="53" fillId="25" borderId="80" xfId="0" applyNumberFormat="1" applyFont="1" applyFill="1" applyBorder="1" applyAlignment="1">
      <alignment horizontal="center" vertical="center"/>
    </xf>
    <xf numFmtId="193" fontId="53" fillId="25" borderId="81" xfId="0" applyNumberFormat="1" applyFont="1" applyFill="1" applyBorder="1" applyAlignment="1">
      <alignment horizontal="center" vertical="center"/>
    </xf>
    <xf numFmtId="0" fontId="54" fillId="0" borderId="0" xfId="6" applyNumberFormat="1" applyFont="1" applyFill="1" applyAlignment="1">
      <alignment horizontal="center" vertical="center" wrapText="1"/>
    </xf>
    <xf numFmtId="193" fontId="16" fillId="0" borderId="0" xfId="0" applyNumberFormat="1" applyFont="1" applyFill="1" applyAlignment="1">
      <alignment horizontal="center" vertical="center"/>
    </xf>
    <xf numFmtId="0" fontId="53" fillId="0" borderId="0" xfId="0" applyNumberFormat="1" applyFont="1" applyFill="1" applyAlignment="1">
      <alignment horizontal="left" vertical="center" wrapText="1"/>
    </xf>
    <xf numFmtId="0" fontId="53" fillId="0" borderId="0" xfId="0" applyNumberFormat="1" applyFont="1" applyFill="1" applyAlignment="1">
      <alignment horizontal="left" vertical="center"/>
    </xf>
    <xf numFmtId="0" fontId="16" fillId="0" borderId="0" xfId="0" applyNumberFormat="1" applyFont="1" applyFill="1" applyAlignment="1">
      <alignment vertical="center"/>
    </xf>
    <xf numFmtId="0" fontId="53" fillId="0" borderId="82" xfId="0" applyNumberFormat="1" applyFont="1" applyFill="1" applyBorder="1" applyAlignment="1">
      <alignment horizontal="center" vertical="center" wrapText="1"/>
    </xf>
    <xf numFmtId="199" fontId="11" fillId="28" borderId="31" xfId="0" applyNumberFormat="1" applyFont="1" applyFill="1" applyBorder="1" applyAlignment="1">
      <alignment vertical="center" wrapText="1"/>
    </xf>
    <xf numFmtId="200" fontId="16" fillId="28" borderId="25" xfId="0" applyNumberFormat="1" applyFont="1" applyFill="1" applyBorder="1" applyAlignment="1">
      <alignment horizontal="center" vertical="center" wrapText="1"/>
    </xf>
    <xf numFmtId="179" fontId="16" fillId="28" borderId="25" xfId="0" applyNumberFormat="1" applyFont="1" applyFill="1" applyBorder="1" applyAlignment="1">
      <alignment horizontal="center" vertical="center" wrapText="1"/>
    </xf>
    <xf numFmtId="199" fontId="16" fillId="20" borderId="25" xfId="0" applyNumberFormat="1" applyFont="1" applyFill="1" applyBorder="1" applyAlignment="1">
      <alignment horizontal="center" vertical="center" wrapText="1"/>
    </xf>
    <xf numFmtId="194" fontId="16" fillId="20" borderId="25" xfId="0" applyNumberFormat="1" applyFont="1" applyFill="1" applyBorder="1" applyAlignment="1">
      <alignment horizontal="center" vertical="center" wrapText="1"/>
    </xf>
    <xf numFmtId="182" fontId="16" fillId="20" borderId="25" xfId="0" applyNumberFormat="1" applyFont="1" applyFill="1" applyBorder="1" applyAlignment="1">
      <alignment horizontal="center" vertical="center" wrapText="1"/>
    </xf>
    <xf numFmtId="10" fontId="16" fillId="20" borderId="25" xfId="0" applyNumberFormat="1" applyFont="1" applyFill="1" applyBorder="1" applyAlignment="1">
      <alignment horizontal="center" vertical="center" wrapText="1"/>
    </xf>
    <xf numFmtId="196" fontId="16" fillId="20" borderId="25" xfId="0" applyNumberFormat="1" applyFont="1" applyFill="1" applyBorder="1" applyAlignment="1">
      <alignment horizontal="center" vertical="center"/>
    </xf>
    <xf numFmtId="179" fontId="16" fillId="29" borderId="25" xfId="0" applyNumberFormat="1" applyFont="1" applyFill="1" applyBorder="1" applyAlignment="1">
      <alignment horizontal="center" vertical="center"/>
    </xf>
    <xf numFmtId="182" fontId="16" fillId="30" borderId="25" xfId="0" applyNumberFormat="1" applyFont="1" applyFill="1" applyBorder="1" applyAlignment="1">
      <alignment horizontal="center" vertical="center" wrapText="1"/>
    </xf>
    <xf numFmtId="9" fontId="16" fillId="29" borderId="25" xfId="0" applyNumberFormat="1" applyFont="1" applyFill="1" applyBorder="1" applyAlignment="1">
      <alignment horizontal="center" vertical="center"/>
    </xf>
    <xf numFmtId="182" fontId="16" fillId="26" borderId="25" xfId="0" applyNumberFormat="1" applyFont="1" applyFill="1" applyBorder="1" applyAlignment="1">
      <alignment horizontal="center" vertical="center" wrapText="1"/>
    </xf>
    <xf numFmtId="10" fontId="16" fillId="31" borderId="25" xfId="0" applyNumberFormat="1" applyFont="1" applyFill="1" applyBorder="1" applyAlignment="1">
      <alignment horizontal="center" vertical="center"/>
    </xf>
    <xf numFmtId="9" fontId="16" fillId="31" borderId="25" xfId="0" applyNumberFormat="1" applyFont="1" applyFill="1" applyBorder="1" applyAlignment="1">
      <alignment horizontal="center" vertical="center"/>
    </xf>
    <xf numFmtId="187" fontId="16" fillId="31" borderId="25" xfId="0" applyNumberFormat="1" applyFont="1" applyFill="1" applyBorder="1" applyAlignment="1">
      <alignment horizontal="center" vertical="center"/>
    </xf>
    <xf numFmtId="182" fontId="16" fillId="31" borderId="25" xfId="0" applyNumberFormat="1" applyFont="1" applyFill="1" applyBorder="1" applyAlignment="1">
      <alignment horizontal="center" vertical="center" wrapText="1"/>
    </xf>
    <xf numFmtId="10" fontId="49" fillId="31" borderId="25" xfId="3" applyNumberFormat="1" applyFont="1" applyFill="1" applyBorder="1" applyAlignment="1">
      <alignment horizontal="center" vertical="center"/>
    </xf>
    <xf numFmtId="9" fontId="49" fillId="31" borderId="83" xfId="0" applyNumberFormat="1" applyFont="1" applyFill="1" applyBorder="1" applyAlignment="1">
      <alignment horizontal="center" vertical="center"/>
    </xf>
    <xf numFmtId="10" fontId="53" fillId="24" borderId="25" xfId="0" applyNumberFormat="1" applyFont="1" applyFill="1" applyBorder="1" applyAlignment="1">
      <alignment horizontal="center" vertical="center"/>
    </xf>
    <xf numFmtId="10" fontId="53" fillId="24" borderId="78" xfId="0" applyNumberFormat="1" applyFont="1" applyFill="1" applyBorder="1" applyAlignment="1">
      <alignment horizontal="center" vertical="center"/>
    </xf>
    <xf numFmtId="0" fontId="16" fillId="0" borderId="31" xfId="0" applyNumberFormat="1" applyFont="1" applyFill="1" applyBorder="1" applyAlignment="1">
      <alignment horizontal="center" vertical="center" wrapText="1"/>
    </xf>
    <xf numFmtId="0" fontId="16" fillId="0" borderId="84" xfId="0" applyNumberFormat="1" applyFont="1" applyFill="1" applyBorder="1" applyAlignment="1">
      <alignment horizontal="center" vertical="center"/>
    </xf>
    <xf numFmtId="0" fontId="16" fillId="0" borderId="85" xfId="0" applyNumberFormat="1" applyFont="1" applyFill="1" applyBorder="1" applyAlignment="1">
      <alignment horizontal="center" vertical="center"/>
    </xf>
    <xf numFmtId="0" fontId="53" fillId="0" borderId="86" xfId="0" applyNumberFormat="1" applyFont="1" applyFill="1" applyBorder="1" applyAlignment="1">
      <alignment horizontal="center" vertical="center" wrapText="1"/>
    </xf>
    <xf numFmtId="0" fontId="16" fillId="32" borderId="31" xfId="0" applyNumberFormat="1" applyFont="1" applyFill="1" applyBorder="1" applyAlignment="1">
      <alignment vertical="center" wrapText="1"/>
    </xf>
    <xf numFmtId="0" fontId="16" fillId="32" borderId="25" xfId="0" applyNumberFormat="1" applyFont="1" applyFill="1" applyBorder="1" applyAlignment="1">
      <alignment horizontal="center" vertical="center"/>
    </xf>
    <xf numFmtId="179" fontId="16" fillId="32" borderId="25" xfId="0" applyNumberFormat="1" applyFont="1" applyFill="1" applyBorder="1" applyAlignment="1">
      <alignment horizontal="center" vertical="center"/>
    </xf>
    <xf numFmtId="0" fontId="53" fillId="0" borderId="87" xfId="0" applyNumberFormat="1" applyFont="1" applyFill="1" applyBorder="1" applyAlignment="1">
      <alignment horizontal="center" vertical="center" wrapText="1"/>
    </xf>
    <xf numFmtId="0" fontId="16" fillId="33" borderId="88" xfId="0" applyNumberFormat="1" applyFont="1" applyFill="1" applyBorder="1" applyAlignment="1">
      <alignment vertical="center" wrapText="1"/>
    </xf>
    <xf numFmtId="0" fontId="16" fillId="33" borderId="89" xfId="0" applyNumberFormat="1" applyFont="1" applyFill="1" applyBorder="1" applyAlignment="1">
      <alignment horizontal="center" vertical="center"/>
    </xf>
    <xf numFmtId="179" fontId="16" fillId="33" borderId="89" xfId="0" applyNumberFormat="1" applyFont="1" applyFill="1" applyBorder="1" applyAlignment="1">
      <alignment horizontal="center" vertical="center"/>
    </xf>
    <xf numFmtId="199" fontId="16" fillId="20" borderId="89" xfId="0" applyNumberFormat="1" applyFont="1" applyFill="1" applyBorder="1" applyAlignment="1">
      <alignment horizontal="center" vertical="center" wrapText="1"/>
    </xf>
    <xf numFmtId="194" fontId="16" fillId="20" borderId="89" xfId="0" applyNumberFormat="1" applyFont="1" applyFill="1" applyBorder="1" applyAlignment="1">
      <alignment horizontal="center" vertical="center" wrapText="1"/>
    </xf>
    <xf numFmtId="182" fontId="16" fillId="20" borderId="89" xfId="0" applyNumberFormat="1" applyFont="1" applyFill="1" applyBorder="1" applyAlignment="1">
      <alignment horizontal="center" vertical="center" wrapText="1"/>
    </xf>
    <xf numFmtId="10" fontId="16" fillId="20" borderId="89" xfId="0" applyNumberFormat="1" applyFont="1" applyFill="1" applyBorder="1" applyAlignment="1">
      <alignment horizontal="center" vertical="center" wrapText="1"/>
    </xf>
    <xf numFmtId="196" fontId="16" fillId="20" borderId="89" xfId="0" applyNumberFormat="1" applyFont="1" applyFill="1" applyBorder="1" applyAlignment="1">
      <alignment horizontal="center" vertical="center"/>
    </xf>
    <xf numFmtId="179" fontId="16" fillId="29" borderId="89" xfId="0" applyNumberFormat="1" applyFont="1" applyFill="1" applyBorder="1" applyAlignment="1">
      <alignment horizontal="center" vertical="center"/>
    </xf>
    <xf numFmtId="182" fontId="16" fillId="30" borderId="89" xfId="0" applyNumberFormat="1" applyFont="1" applyFill="1" applyBorder="1" applyAlignment="1">
      <alignment horizontal="center" vertical="center" wrapText="1"/>
    </xf>
    <xf numFmtId="9" fontId="16" fillId="29" borderId="89" xfId="0" applyNumberFormat="1" applyFont="1" applyFill="1" applyBorder="1" applyAlignment="1">
      <alignment horizontal="center" vertical="center"/>
    </xf>
    <xf numFmtId="182" fontId="16" fillId="26" borderId="89" xfId="0" applyNumberFormat="1" applyFont="1" applyFill="1" applyBorder="1" applyAlignment="1">
      <alignment horizontal="center" vertical="center" wrapText="1"/>
    </xf>
    <xf numFmtId="10" fontId="16" fillId="31" borderId="89" xfId="0" applyNumberFormat="1" applyFont="1" applyFill="1" applyBorder="1" applyAlignment="1">
      <alignment horizontal="center" vertical="center"/>
    </xf>
    <xf numFmtId="9" fontId="16" fillId="31" borderId="89" xfId="0" applyNumberFormat="1" applyFont="1" applyFill="1" applyBorder="1" applyAlignment="1">
      <alignment horizontal="center" vertical="center"/>
    </xf>
    <xf numFmtId="187" fontId="16" fillId="31" borderId="89" xfId="0" applyNumberFormat="1" applyFont="1" applyFill="1" applyBorder="1" applyAlignment="1">
      <alignment horizontal="center" vertical="center"/>
    </xf>
    <xf numFmtId="182" fontId="16" fillId="31" borderId="89" xfId="0" applyNumberFormat="1" applyFont="1" applyFill="1" applyBorder="1" applyAlignment="1">
      <alignment horizontal="center" vertical="center" wrapText="1"/>
    </xf>
    <xf numFmtId="10" fontId="49" fillId="31" borderId="89" xfId="3" applyNumberFormat="1" applyFont="1" applyFill="1" applyBorder="1" applyAlignment="1">
      <alignment horizontal="center" vertical="center"/>
    </xf>
    <xf numFmtId="9" fontId="49" fillId="31" borderId="90" xfId="0" applyNumberFormat="1" applyFont="1" applyFill="1" applyBorder="1" applyAlignment="1">
      <alignment horizontal="center" vertical="center"/>
    </xf>
    <xf numFmtId="10" fontId="53" fillId="24" borderId="89" xfId="0" applyNumberFormat="1" applyFont="1" applyFill="1" applyBorder="1" applyAlignment="1">
      <alignment horizontal="center" vertical="center"/>
    </xf>
    <xf numFmtId="10" fontId="53" fillId="24" borderId="91" xfId="0" applyNumberFormat="1" applyFont="1" applyFill="1" applyBorder="1" applyAlignment="1">
      <alignment horizontal="center" vertical="center"/>
    </xf>
    <xf numFmtId="0" fontId="16" fillId="0" borderId="92" xfId="0" applyNumberFormat="1" applyFont="1" applyFill="1" applyBorder="1" applyAlignment="1">
      <alignment horizontal="center" vertical="center" wrapText="1"/>
    </xf>
    <xf numFmtId="0" fontId="16" fillId="0" borderId="93" xfId="0" applyNumberFormat="1" applyFont="1" applyFill="1" applyBorder="1" applyAlignment="1">
      <alignment horizontal="center" vertical="center"/>
    </xf>
    <xf numFmtId="0" fontId="16" fillId="0" borderId="94" xfId="0" applyNumberFormat="1" applyFont="1" applyFill="1" applyBorder="1" applyAlignment="1">
      <alignment horizontal="center" vertical="center"/>
    </xf>
    <xf numFmtId="0" fontId="9" fillId="6" borderId="0" xfId="0" applyFont="1" applyFill="1" applyAlignment="1">
      <alignment horizontal="center" vertical="center" wrapText="1"/>
    </xf>
    <xf numFmtId="0" fontId="53" fillId="6" borderId="0" xfId="0" applyNumberFormat="1" applyFont="1" applyFill="1" applyAlignment="1">
      <alignment horizontal="center" vertical="center" wrapText="1"/>
    </xf>
    <xf numFmtId="193" fontId="53" fillId="19" borderId="31" xfId="0" applyNumberFormat="1" applyFont="1" applyFill="1" applyBorder="1" applyAlignment="1">
      <alignment horizontal="center" vertical="center" wrapText="1"/>
    </xf>
    <xf numFmtId="193" fontId="53" fillId="19" borderId="25" xfId="0" applyNumberFormat="1" applyFont="1" applyFill="1" applyBorder="1" applyAlignment="1">
      <alignment horizontal="center" vertical="center" wrapText="1"/>
    </xf>
    <xf numFmtId="194" fontId="53" fillId="19" borderId="25" xfId="0" applyNumberFormat="1" applyFont="1" applyFill="1" applyBorder="1" applyAlignment="1">
      <alignment horizontal="center" vertical="center" wrapText="1"/>
    </xf>
    <xf numFmtId="195" fontId="53" fillId="19" borderId="25" xfId="0" applyNumberFormat="1" applyFont="1" applyFill="1" applyBorder="1" applyAlignment="1">
      <alignment horizontal="center" vertical="center" wrapText="1"/>
    </xf>
    <xf numFmtId="196" fontId="53" fillId="19" borderId="25" xfId="0" applyNumberFormat="1" applyFont="1" applyFill="1" applyBorder="1" applyAlignment="1">
      <alignment horizontal="center" vertical="center" wrapText="1"/>
    </xf>
    <xf numFmtId="0" fontId="55" fillId="0" borderId="0" xfId="6" applyNumberFormat="1" applyFont="1" applyFill="1" applyAlignment="1">
      <alignment horizontal="center" vertical="center" wrapText="1"/>
    </xf>
    <xf numFmtId="0" fontId="53" fillId="0" borderId="61" xfId="0" applyNumberFormat="1" applyFont="1" applyFill="1" applyBorder="1" applyAlignment="1">
      <alignment horizontal="center" vertical="center" wrapText="1"/>
    </xf>
    <xf numFmtId="0" fontId="16" fillId="0" borderId="0" xfId="0" applyNumberFormat="1" applyFont="1" applyFill="1" applyBorder="1" applyAlignment="1">
      <alignment vertical="center" wrapText="1"/>
    </xf>
    <xf numFmtId="0" fontId="16" fillId="0" borderId="0" xfId="0" applyNumberFormat="1" applyFont="1" applyFill="1" applyBorder="1" applyAlignment="1">
      <alignment horizontal="center" vertical="center"/>
    </xf>
    <xf numFmtId="179" fontId="16" fillId="0" borderId="0" xfId="0" applyNumberFormat="1" applyFont="1" applyFill="1" applyBorder="1" applyAlignment="1">
      <alignment horizontal="center" vertical="center"/>
    </xf>
    <xf numFmtId="199" fontId="16" fillId="0" borderId="0" xfId="0" applyNumberFormat="1" applyFont="1" applyFill="1" applyBorder="1" applyAlignment="1">
      <alignment horizontal="center" vertical="center" wrapText="1"/>
    </xf>
    <xf numFmtId="194" fontId="16" fillId="0" borderId="0" xfId="0" applyNumberFormat="1" applyFont="1" applyFill="1" applyBorder="1" applyAlignment="1">
      <alignment horizontal="center" vertical="center" wrapText="1"/>
    </xf>
    <xf numFmtId="182" fontId="16" fillId="0" borderId="0" xfId="0" applyNumberFormat="1" applyFont="1" applyFill="1" applyBorder="1" applyAlignment="1">
      <alignment horizontal="center" vertical="center" wrapText="1"/>
    </xf>
    <xf numFmtId="10" fontId="16" fillId="0" borderId="0" xfId="0" applyNumberFormat="1" applyFont="1" applyFill="1" applyBorder="1" applyAlignment="1">
      <alignment horizontal="center" vertical="center" wrapText="1"/>
    </xf>
    <xf numFmtId="196" fontId="16" fillId="0" borderId="0" xfId="0" applyNumberFormat="1" applyFont="1" applyFill="1" applyBorder="1" applyAlignment="1">
      <alignment horizontal="center" vertical="center"/>
    </xf>
    <xf numFmtId="9" fontId="16" fillId="0" borderId="0" xfId="0" applyNumberFormat="1" applyFont="1" applyFill="1" applyBorder="1" applyAlignment="1">
      <alignment horizontal="center" vertical="center"/>
    </xf>
    <xf numFmtId="10" fontId="16" fillId="0" borderId="0" xfId="0" applyNumberFormat="1" applyFont="1" applyFill="1" applyBorder="1" applyAlignment="1">
      <alignment horizontal="center" vertical="center"/>
    </xf>
    <xf numFmtId="187" fontId="16" fillId="0" borderId="0" xfId="0" applyNumberFormat="1" applyFont="1" applyFill="1" applyBorder="1" applyAlignment="1">
      <alignment horizontal="center" vertical="center"/>
    </xf>
    <xf numFmtId="10" fontId="49" fillId="0" borderId="0" xfId="3" applyNumberFormat="1" applyFont="1" applyFill="1" applyBorder="1" applyAlignment="1">
      <alignment horizontal="center" vertical="center"/>
    </xf>
    <xf numFmtId="9" fontId="49" fillId="0" borderId="0" xfId="0" applyNumberFormat="1" applyFont="1" applyFill="1" applyBorder="1" applyAlignment="1">
      <alignment horizontal="center" vertical="center"/>
    </xf>
    <xf numFmtId="10" fontId="53" fillId="0" borderId="0" xfId="0" applyNumberFormat="1" applyFont="1" applyFill="1" applyBorder="1" applyAlignment="1">
      <alignment horizontal="center" vertical="center"/>
    </xf>
    <xf numFmtId="10" fontId="53" fillId="0" borderId="47" xfId="0" applyNumberFormat="1" applyFont="1" applyFill="1" applyBorder="1" applyAlignment="1">
      <alignment horizontal="center" vertical="center"/>
    </xf>
    <xf numFmtId="0" fontId="26" fillId="0" borderId="0" xfId="6" applyNumberFormat="1" applyFont="1" applyFill="1" applyAlignment="1">
      <alignment horizontal="center" vertical="center" wrapText="1"/>
    </xf>
    <xf numFmtId="0" fontId="26" fillId="0" borderId="0" xfId="6" applyNumberFormat="1" applyFill="1" applyAlignment="1">
      <alignment horizontal="center" vertical="center" wrapText="1"/>
    </xf>
    <xf numFmtId="0" fontId="56" fillId="0" borderId="0" xfId="0" applyFont="1"/>
    <xf numFmtId="0" fontId="56" fillId="0" borderId="0" xfId="0" applyFont="1" applyAlignment="1">
      <alignment horizontal="center"/>
    </xf>
    <xf numFmtId="0" fontId="19" fillId="7" borderId="22" xfId="0" applyFont="1" applyFill="1" applyBorder="1" applyAlignment="1">
      <alignment horizontal="center" vertical="center"/>
    </xf>
    <xf numFmtId="0" fontId="19" fillId="7" borderId="23" xfId="0" applyFont="1" applyFill="1" applyBorder="1" applyAlignment="1">
      <alignment horizontal="center" vertical="center"/>
    </xf>
    <xf numFmtId="0" fontId="9" fillId="7" borderId="10" xfId="0" applyFont="1" applyFill="1" applyBorder="1" applyAlignment="1">
      <alignment horizontal="center" vertical="center" wrapText="1"/>
    </xf>
    <xf numFmtId="0" fontId="9" fillId="7" borderId="12" xfId="0" applyFont="1" applyFill="1" applyBorder="1" applyAlignment="1">
      <alignment horizontal="center" vertical="center"/>
    </xf>
    <xf numFmtId="0" fontId="19" fillId="7" borderId="10" xfId="0" applyFont="1" applyFill="1" applyBorder="1" applyAlignment="1">
      <alignment horizontal="center" vertical="center"/>
    </xf>
    <xf numFmtId="0" fontId="19" fillId="7" borderId="11" xfId="0" applyFont="1" applyFill="1" applyBorder="1" applyAlignment="1">
      <alignment horizontal="center" vertical="center"/>
    </xf>
    <xf numFmtId="0" fontId="19" fillId="7" borderId="37" xfId="0" applyFont="1" applyFill="1" applyBorder="1" applyAlignment="1">
      <alignment horizontal="center" vertical="center"/>
    </xf>
    <xf numFmtId="0" fontId="19" fillId="7" borderId="12" xfId="0" applyFont="1" applyFill="1" applyBorder="1" applyAlignment="1">
      <alignment horizontal="center" vertical="center"/>
    </xf>
    <xf numFmtId="0" fontId="8" fillId="0" borderId="10" xfId="0" applyFont="1" applyFill="1" applyBorder="1" applyAlignment="1">
      <alignment horizontal="center" vertical="center"/>
    </xf>
    <xf numFmtId="0" fontId="11" fillId="0" borderId="11" xfId="0" applyFont="1" applyFill="1" applyBorder="1" applyAlignment="1">
      <alignment horizontal="center" vertical="center" wrapText="1"/>
    </xf>
    <xf numFmtId="0" fontId="11" fillId="0" borderId="37" xfId="0" applyFont="1" applyFill="1" applyBorder="1" applyAlignment="1">
      <alignment horizontal="center" vertical="center" wrapText="1"/>
    </xf>
    <xf numFmtId="0" fontId="11" fillId="0" borderId="12" xfId="0" applyFont="1" applyFill="1" applyBorder="1" applyAlignment="1">
      <alignment horizontal="center" vertical="center" wrapText="1"/>
    </xf>
    <xf numFmtId="183" fontId="11" fillId="0" borderId="11" xfId="0" applyNumberFormat="1" applyFont="1" applyFill="1" applyBorder="1" applyAlignment="1">
      <alignment horizontal="center" vertical="center" wrapText="1"/>
    </xf>
    <xf numFmtId="183" fontId="11" fillId="0" borderId="37" xfId="0" applyNumberFormat="1" applyFont="1" applyFill="1" applyBorder="1" applyAlignment="1">
      <alignment horizontal="center" vertical="center" wrapText="1"/>
    </xf>
    <xf numFmtId="183" fontId="11" fillId="0" borderId="12" xfId="0" applyNumberFormat="1" applyFont="1" applyFill="1" applyBorder="1" applyAlignment="1">
      <alignment horizontal="center" vertical="center" wrapText="1"/>
    </xf>
    <xf numFmtId="183" fontId="8" fillId="0" borderId="10" xfId="0" applyNumberFormat="1" applyFont="1" applyFill="1" applyBorder="1" applyAlignment="1">
      <alignment horizontal="center" vertical="center"/>
    </xf>
    <xf numFmtId="0" fontId="9" fillId="7" borderId="20" xfId="0" applyFont="1" applyFill="1" applyBorder="1" applyAlignment="1">
      <alignment horizontal="center" vertical="center" wrapText="1"/>
    </xf>
    <xf numFmtId="0" fontId="8" fillId="0" borderId="22" xfId="0" applyNumberFormat="1" applyFont="1" applyFill="1" applyBorder="1" applyAlignment="1">
      <alignment horizontal="center" vertical="center" wrapText="1"/>
    </xf>
    <xf numFmtId="0" fontId="8" fillId="0" borderId="23" xfId="0" applyNumberFormat="1" applyFont="1" applyFill="1" applyBorder="1" applyAlignment="1">
      <alignment horizontal="center" vertical="center" wrapText="1"/>
    </xf>
    <xf numFmtId="0" fontId="8" fillId="0" borderId="50" xfId="0" applyNumberFormat="1" applyFont="1" applyFill="1" applyBorder="1" applyAlignment="1">
      <alignment horizontal="center" vertical="center" wrapText="1"/>
    </xf>
    <xf numFmtId="0" fontId="8" fillId="0" borderId="95" xfId="0" applyNumberFormat="1" applyFont="1" applyFill="1" applyBorder="1" applyAlignment="1">
      <alignment horizontal="center" vertical="center" wrapText="1"/>
    </xf>
    <xf numFmtId="0" fontId="8" fillId="0" borderId="0" xfId="0" applyNumberFormat="1" applyFont="1" applyFill="1" applyAlignment="1">
      <alignment horizontal="center" vertical="center" wrapText="1"/>
    </xf>
    <xf numFmtId="0" fontId="8" fillId="0" borderId="49" xfId="0" applyNumberFormat="1" applyFont="1" applyFill="1" applyBorder="1" applyAlignment="1">
      <alignment horizontal="center" vertical="center" wrapText="1"/>
    </xf>
    <xf numFmtId="0" fontId="8" fillId="0" borderId="13" xfId="0" applyNumberFormat="1" applyFont="1" applyFill="1" applyBorder="1" applyAlignment="1">
      <alignment horizontal="center" vertical="center" wrapText="1"/>
    </xf>
    <xf numFmtId="0" fontId="8" fillId="0" borderId="24" xfId="0" applyNumberFormat="1" applyFont="1" applyFill="1" applyBorder="1" applyAlignment="1">
      <alignment horizontal="center" vertical="center" wrapText="1"/>
    </xf>
    <xf numFmtId="0" fontId="8" fillId="0" borderId="96" xfId="0" applyNumberFormat="1" applyFont="1" applyFill="1" applyBorder="1" applyAlignment="1">
      <alignment horizontal="center" vertical="center" wrapText="1"/>
    </xf>
    <xf numFmtId="0" fontId="9" fillId="7" borderId="10"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12" xfId="0" applyFont="1" applyFill="1" applyBorder="1" applyAlignment="1">
      <alignment horizontal="center" vertical="center"/>
    </xf>
    <xf numFmtId="0" fontId="9" fillId="7" borderId="50" xfId="0" applyFont="1" applyFill="1" applyBorder="1" applyAlignment="1">
      <alignment horizontal="center" vertical="center" wrapText="1"/>
    </xf>
    <xf numFmtId="0" fontId="9" fillId="7" borderId="96" xfId="0" applyFont="1" applyFill="1" applyBorder="1" applyAlignment="1">
      <alignment horizontal="center" vertical="center"/>
    </xf>
    <xf numFmtId="0" fontId="9" fillId="0" borderId="0" xfId="0" applyFont="1" applyFill="1" applyBorder="1" applyAlignment="1">
      <alignment horizontal="center" vertical="center"/>
    </xf>
    <xf numFmtId="0" fontId="9" fillId="7" borderId="49" xfId="0" applyFont="1" applyFill="1" applyBorder="1" applyAlignment="1">
      <alignment horizontal="center" vertical="center" wrapText="1"/>
    </xf>
    <xf numFmtId="0" fontId="8" fillId="7" borderId="12"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10" xfId="0" applyFont="1" applyFill="1" applyBorder="1" applyAlignment="1">
      <alignment horizontal="left" vertical="center"/>
    </xf>
    <xf numFmtId="0" fontId="8" fillId="7" borderId="1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xf>
    <xf numFmtId="0" fontId="49" fillId="7" borderId="10" xfId="0" applyFont="1" applyFill="1" applyBorder="1" applyAlignment="1">
      <alignment horizontal="left" vertical="center"/>
    </xf>
    <xf numFmtId="0" fontId="9" fillId="7" borderId="96" xfId="0" applyFont="1" applyFill="1" applyBorder="1" applyAlignment="1">
      <alignment horizontal="center" vertical="center" wrapText="1"/>
    </xf>
    <xf numFmtId="0" fontId="57" fillId="0" borderId="0" xfId="0" applyFont="1" applyAlignment="1">
      <alignment horizontal="center"/>
    </xf>
    <xf numFmtId="0" fontId="57" fillId="0" borderId="0" xfId="0" applyFont="1"/>
    <xf numFmtId="184" fontId="0" fillId="0" borderId="0" xfId="0" applyNumberFormat="1"/>
    <xf numFmtId="0" fontId="0" fillId="0" borderId="0" xfId="0" applyFill="1" applyAlignment="1">
      <alignment horizontal="center" vertical="center"/>
    </xf>
    <xf numFmtId="0" fontId="19" fillId="7" borderId="95" xfId="0" applyFont="1" applyFill="1" applyBorder="1" applyAlignment="1">
      <alignment horizontal="center" vertical="center"/>
    </xf>
    <xf numFmtId="0" fontId="19" fillId="7" borderId="0" xfId="0" applyFont="1" applyFill="1" applyBorder="1" applyAlignment="1">
      <alignment vertical="center"/>
    </xf>
    <xf numFmtId="0" fontId="19" fillId="7" borderId="0" xfId="0" applyFont="1" applyFill="1" applyAlignment="1">
      <alignment vertical="center"/>
    </xf>
    <xf numFmtId="0" fontId="58" fillId="7" borderId="22" xfId="0" applyFont="1" applyFill="1" applyBorder="1" applyAlignment="1">
      <alignment horizontal="center" vertical="center"/>
    </xf>
    <xf numFmtId="0" fontId="58" fillId="7" borderId="23" xfId="0" applyFont="1" applyFill="1" applyBorder="1" applyAlignment="1">
      <alignment horizontal="center" vertical="center"/>
    </xf>
    <xf numFmtId="0" fontId="58" fillId="6" borderId="11" xfId="0" applyFont="1" applyFill="1" applyBorder="1" applyAlignment="1">
      <alignment horizontal="center" vertical="center"/>
    </xf>
    <xf numFmtId="0" fontId="58" fillId="6" borderId="37" xfId="0" applyFont="1" applyFill="1" applyBorder="1" applyAlignment="1">
      <alignment horizontal="center" vertical="center"/>
    </xf>
    <xf numFmtId="0" fontId="58" fillId="6" borderId="12" xfId="0" applyFont="1" applyFill="1" applyBorder="1" applyAlignment="1">
      <alignment horizontal="center" vertical="center"/>
    </xf>
    <xf numFmtId="0" fontId="58" fillId="34" borderId="10" xfId="0" applyFont="1" applyFill="1" applyBorder="1" applyAlignment="1">
      <alignment horizontal="center" vertical="center" wrapText="1"/>
    </xf>
    <xf numFmtId="0" fontId="58" fillId="34" borderId="50" xfId="0" applyFont="1" applyFill="1" applyBorder="1" applyAlignment="1">
      <alignment horizontal="center" vertical="center" wrapText="1"/>
    </xf>
    <xf numFmtId="0" fontId="58" fillId="35" borderId="23" xfId="0" applyFont="1" applyFill="1" applyBorder="1" applyAlignment="1">
      <alignment horizontal="center" vertical="center"/>
    </xf>
    <xf numFmtId="0" fontId="58" fillId="7" borderId="95" xfId="0" applyFont="1" applyFill="1" applyBorder="1" applyAlignment="1">
      <alignment horizontal="center" vertical="center"/>
    </xf>
    <xf numFmtId="0" fontId="58" fillId="7" borderId="0" xfId="0" applyFont="1" applyFill="1" applyAlignment="1">
      <alignment horizontal="center" vertical="center"/>
    </xf>
    <xf numFmtId="0" fontId="51" fillId="36" borderId="11" xfId="0" applyFont="1" applyFill="1" applyBorder="1" applyAlignment="1">
      <alignment horizontal="center" vertical="center"/>
    </xf>
    <xf numFmtId="0" fontId="51" fillId="36" borderId="37" xfId="0" applyFont="1" applyFill="1" applyBorder="1" applyAlignment="1">
      <alignment horizontal="center" vertical="center"/>
    </xf>
    <xf numFmtId="0" fontId="58" fillId="8" borderId="10" xfId="0" applyFont="1" applyFill="1" applyBorder="1" applyAlignment="1">
      <alignment horizontal="center" vertical="center"/>
    </xf>
    <xf numFmtId="0" fontId="58" fillId="37" borderId="11" xfId="0" applyFont="1" applyFill="1" applyBorder="1" applyAlignment="1">
      <alignment horizontal="center" vertical="center"/>
    </xf>
    <xf numFmtId="0" fontId="58" fillId="37" borderId="12" xfId="0" applyFont="1" applyFill="1" applyBorder="1" applyAlignment="1">
      <alignment horizontal="center" vertical="center"/>
    </xf>
    <xf numFmtId="0" fontId="58" fillId="38" borderId="10" xfId="0" applyFont="1" applyFill="1" applyBorder="1" applyAlignment="1">
      <alignment horizontal="center" vertical="center" wrapText="1"/>
    </xf>
    <xf numFmtId="0" fontId="58" fillId="17" borderId="10"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21" xfId="0" applyFont="1" applyFill="1" applyBorder="1" applyAlignment="1">
      <alignment horizontal="center" vertical="center" wrapText="1"/>
    </xf>
    <xf numFmtId="0" fontId="59" fillId="8" borderId="11" xfId="0" applyFont="1" applyFill="1" applyBorder="1" applyAlignment="1">
      <alignment horizontal="center" vertical="center" wrapText="1"/>
    </xf>
    <xf numFmtId="0" fontId="59" fillId="8" borderId="37" xfId="0" applyFont="1" applyFill="1" applyBorder="1" applyAlignment="1">
      <alignment horizontal="center" vertical="center" wrapText="1"/>
    </xf>
    <xf numFmtId="0" fontId="59" fillId="8" borderId="12" xfId="0" applyFont="1" applyFill="1" applyBorder="1" applyAlignment="1">
      <alignment horizontal="center" vertical="center" wrapText="1"/>
    </xf>
    <xf numFmtId="0" fontId="59" fillId="0" borderId="10" xfId="0" applyFont="1" applyFill="1" applyBorder="1" applyAlignment="1">
      <alignment horizontal="center" vertical="center" wrapText="1"/>
    </xf>
    <xf numFmtId="0" fontId="27" fillId="0" borderId="10" xfId="6" applyFont="1" applyFill="1" applyBorder="1" applyAlignment="1">
      <alignment horizontal="center" vertical="center" wrapText="1"/>
    </xf>
    <xf numFmtId="0" fontId="26" fillId="0" borderId="10" xfId="6" applyFill="1" applyBorder="1" applyAlignment="1">
      <alignment horizontal="center" vertical="center" wrapText="1"/>
    </xf>
    <xf numFmtId="0" fontId="60" fillId="0" borderId="0" xfId="0" applyFont="1" applyAlignment="1">
      <alignment horizontal="center" vertical="center"/>
    </xf>
    <xf numFmtId="0" fontId="59" fillId="0" borderId="11" xfId="0" applyFont="1" applyFill="1" applyBorder="1" applyAlignment="1">
      <alignment horizontal="center" vertical="center" wrapText="1"/>
    </xf>
    <xf numFmtId="0" fontId="59" fillId="0" borderId="12" xfId="0" applyFont="1" applyFill="1" applyBorder="1" applyAlignment="1">
      <alignment horizontal="center" vertical="center" wrapText="1"/>
    </xf>
    <xf numFmtId="0" fontId="52" fillId="0" borderId="10" xfId="0" applyFont="1" applyFill="1" applyBorder="1" applyAlignment="1">
      <alignment horizontal="center" vertical="center" wrapText="1"/>
    </xf>
    <xf numFmtId="184" fontId="59" fillId="0" borderId="22" xfId="0" applyNumberFormat="1" applyFont="1" applyFill="1" applyBorder="1" applyAlignment="1">
      <alignment horizontal="center" vertical="center" wrapText="1"/>
    </xf>
    <xf numFmtId="184" fontId="59" fillId="0" borderId="50" xfId="0" applyNumberFormat="1" applyFont="1" applyFill="1" applyBorder="1" applyAlignment="1">
      <alignment horizontal="center" vertical="center" wrapText="1"/>
    </xf>
    <xf numFmtId="182" fontId="15" fillId="0" borderId="10" xfId="0" applyNumberFormat="1" applyFont="1" applyFill="1" applyBorder="1" applyAlignment="1">
      <alignment horizontal="center" vertical="center" wrapText="1"/>
    </xf>
    <xf numFmtId="182" fontId="52" fillId="0" borderId="10" xfId="0" applyNumberFormat="1" applyFont="1" applyFill="1" applyBorder="1" applyAlignment="1">
      <alignment horizontal="center" vertical="center" wrapText="1"/>
    </xf>
    <xf numFmtId="0" fontId="31" fillId="0" borderId="11" xfId="0" applyFont="1" applyFill="1" applyBorder="1" applyAlignment="1" applyProtection="1">
      <alignment horizontal="center" vertical="center" wrapText="1"/>
    </xf>
    <xf numFmtId="0" fontId="31" fillId="0" borderId="12" xfId="0" applyFont="1" applyFill="1" applyBorder="1" applyAlignment="1" applyProtection="1">
      <alignment horizontal="center" vertical="center" wrapText="1"/>
    </xf>
    <xf numFmtId="0" fontId="61" fillId="0" borderId="10" xfId="0" applyFont="1" applyFill="1" applyBorder="1" applyAlignment="1">
      <alignment horizontal="center" vertical="center" wrapText="1"/>
    </xf>
    <xf numFmtId="201" fontId="62" fillId="0" borderId="10" xfId="0" applyNumberFormat="1" applyFont="1" applyFill="1" applyBorder="1" applyAlignment="1">
      <alignment horizontal="center" vertical="center" wrapText="1"/>
    </xf>
    <xf numFmtId="0" fontId="32" fillId="0" borderId="11"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179" fontId="15" fillId="0" borderId="10" xfId="0" applyNumberFormat="1" applyFont="1" applyFill="1" applyBorder="1" applyAlignment="1">
      <alignment horizontal="center" vertical="center" wrapText="1"/>
    </xf>
    <xf numFmtId="0" fontId="52" fillId="6" borderId="10" xfId="0" applyNumberFormat="1" applyFont="1" applyFill="1" applyBorder="1" applyAlignment="1">
      <alignment horizontal="center" vertical="center" wrapText="1"/>
    </xf>
    <xf numFmtId="184" fontId="52" fillId="6" borderId="10" xfId="0" applyNumberFormat="1" applyFont="1" applyFill="1" applyBorder="1" applyAlignment="1">
      <alignment horizontal="center" vertical="center" wrapText="1"/>
    </xf>
    <xf numFmtId="184" fontId="14" fillId="0" borderId="10" xfId="0" applyNumberFormat="1" applyFont="1" applyFill="1" applyBorder="1" applyAlignment="1">
      <alignment horizontal="center" vertical="center" wrapText="1"/>
    </xf>
    <xf numFmtId="184" fontId="59" fillId="0" borderId="11" xfId="0" applyNumberFormat="1" applyFont="1" applyFill="1" applyBorder="1" applyAlignment="1">
      <alignment horizontal="center" vertical="center" wrapText="1"/>
    </xf>
    <xf numFmtId="184" fontId="59" fillId="0" borderId="12" xfId="0" applyNumberFormat="1" applyFont="1" applyFill="1" applyBorder="1" applyAlignment="1">
      <alignment horizontal="center" vertical="center" wrapText="1"/>
    </xf>
    <xf numFmtId="0" fontId="62" fillId="0" borderId="10" xfId="0" applyFont="1" applyFill="1" applyBorder="1" applyAlignment="1">
      <alignment horizontal="center" vertical="center" wrapText="1"/>
    </xf>
    <xf numFmtId="0" fontId="31" fillId="0" borderId="10" xfId="0" applyFont="1" applyFill="1" applyBorder="1" applyAlignment="1">
      <alignment horizontal="center" vertical="center" wrapText="1"/>
    </xf>
    <xf numFmtId="0" fontId="31" fillId="0" borderId="11" xfId="0" applyFont="1" applyFill="1" applyBorder="1" applyAlignment="1">
      <alignment horizontal="center" vertical="center" wrapText="1"/>
    </xf>
    <xf numFmtId="0" fontId="31" fillId="0" borderId="12"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43" fillId="0" borderId="10" xfId="0" applyFont="1" applyFill="1" applyBorder="1" applyAlignment="1">
      <alignment horizontal="center" vertical="center" wrapText="1"/>
    </xf>
    <xf numFmtId="0" fontId="3" fillId="0" borderId="10" xfId="0" applyFont="1" applyFill="1" applyBorder="1" applyAlignment="1">
      <alignment horizontal="center" vertical="center" wrapText="1"/>
    </xf>
    <xf numFmtId="31" fontId="54" fillId="0" borderId="10" xfId="6" applyNumberFormat="1" applyFont="1" applyFill="1" applyBorder="1" applyAlignment="1">
      <alignment horizontal="center" vertical="center" wrapText="1"/>
    </xf>
    <xf numFmtId="31" fontId="26" fillId="0" borderId="10" xfId="6" applyNumberFormat="1" applyFill="1" applyBorder="1" applyAlignment="1">
      <alignment horizontal="center" vertical="center" wrapText="1"/>
    </xf>
    <xf numFmtId="31" fontId="27" fillId="0" borderId="10" xfId="6" applyNumberFormat="1" applyFont="1" applyFill="1" applyBorder="1" applyAlignment="1">
      <alignment horizontal="center" vertical="center" wrapText="1"/>
    </xf>
    <xf numFmtId="31" fontId="3" fillId="0" borderId="10" xfId="0" applyNumberFormat="1" applyFont="1" applyFill="1" applyBorder="1" applyAlignment="1">
      <alignment horizontal="center" vertical="center" wrapText="1"/>
    </xf>
    <xf numFmtId="0" fontId="54" fillId="0" borderId="10" xfId="6" applyFont="1" applyFill="1" applyBorder="1" applyAlignment="1">
      <alignment horizontal="center" vertical="center" wrapText="1"/>
    </xf>
    <xf numFmtId="0" fontId="26" fillId="0" borderId="10" xfId="6" applyFont="1" applyFill="1" applyBorder="1" applyAlignment="1">
      <alignment horizontal="center" vertical="center" wrapText="1"/>
    </xf>
    <xf numFmtId="0" fontId="55" fillId="0" borderId="10" xfId="6" applyFont="1" applyFill="1" applyBorder="1" applyAlignment="1">
      <alignment horizontal="center" vertical="center" wrapText="1"/>
    </xf>
    <xf numFmtId="3" fontId="63" fillId="0" borderId="0" xfId="0" applyNumberFormat="1" applyFont="1" applyAlignment="1">
      <alignment horizontal="right" vertical="center" wrapText="1"/>
    </xf>
    <xf numFmtId="0" fontId="0" fillId="0" borderId="0" xfId="0" applyFont="1" applyFill="1" applyAlignment="1">
      <alignment horizontal="center" vertical="center"/>
    </xf>
    <xf numFmtId="0" fontId="0" fillId="0" borderId="0" xfId="0" applyFont="1" applyFill="1" applyAlignment="1">
      <alignment horizontal="center"/>
    </xf>
    <xf numFmtId="0" fontId="3" fillId="0" borderId="0" xfId="0" applyFont="1"/>
    <xf numFmtId="0" fontId="3" fillId="0" borderId="0" xfId="0" applyFont="1" applyAlignment="1">
      <alignment horizontal="left"/>
    </xf>
    <xf numFmtId="0" fontId="21" fillId="0" borderId="0" xfId="0" applyFont="1" applyAlignment="1">
      <alignment horizontal="left"/>
    </xf>
    <xf numFmtId="179" fontId="3" fillId="0" borderId="0" xfId="0" applyNumberFormat="1" applyFont="1"/>
    <xf numFmtId="0" fontId="3" fillId="0" borderId="0" xfId="0" applyFont="1" applyAlignment="1">
      <alignment horizontal="center"/>
    </xf>
    <xf numFmtId="10" fontId="3" fillId="0" borderId="0" xfId="3" applyNumberFormat="1" applyFont="1" applyAlignment="1">
      <alignment horizontal="center"/>
    </xf>
    <xf numFmtId="0" fontId="64" fillId="0" borderId="0" xfId="0" applyFont="1"/>
    <xf numFmtId="0" fontId="65" fillId="39" borderId="17" xfId="0" applyFont="1" applyFill="1" applyBorder="1" applyAlignment="1">
      <alignment horizontal="center" vertical="center"/>
    </xf>
    <xf numFmtId="0" fontId="65" fillId="39" borderId="18" xfId="0" applyFont="1" applyFill="1" applyBorder="1" applyAlignment="1">
      <alignment horizontal="center" vertical="center"/>
    </xf>
    <xf numFmtId="179" fontId="66" fillId="39" borderId="18" xfId="0" applyNumberFormat="1" applyFont="1" applyFill="1" applyBorder="1" applyAlignment="1">
      <alignment horizontal="center" vertical="center"/>
    </xf>
    <xf numFmtId="187" fontId="67" fillId="40" borderId="18" xfId="0" applyNumberFormat="1" applyFont="1" applyFill="1" applyBorder="1" applyAlignment="1">
      <alignment horizontal="center" vertical="center" wrapText="1"/>
    </xf>
    <xf numFmtId="10" fontId="67" fillId="40" borderId="18" xfId="3" applyNumberFormat="1" applyFont="1" applyFill="1" applyBorder="1" applyAlignment="1">
      <alignment horizontal="center" vertical="center" wrapText="1"/>
    </xf>
    <xf numFmtId="187" fontId="67" fillId="41" borderId="18" xfId="0" applyNumberFormat="1" applyFont="1" applyFill="1" applyBorder="1" applyAlignment="1">
      <alignment horizontal="center" vertical="center" wrapText="1"/>
    </xf>
    <xf numFmtId="187" fontId="67" fillId="27" borderId="18" xfId="0" applyNumberFormat="1" applyFont="1" applyFill="1" applyBorder="1" applyAlignment="1">
      <alignment horizontal="center" vertical="center" wrapText="1"/>
    </xf>
    <xf numFmtId="187" fontId="67" fillId="27" borderId="52" xfId="0" applyNumberFormat="1" applyFont="1" applyFill="1" applyBorder="1" applyAlignment="1">
      <alignment horizontal="center" vertical="center" wrapText="1"/>
    </xf>
    <xf numFmtId="0" fontId="3" fillId="0" borderId="0" xfId="0" applyFont="1" applyAlignment="1">
      <alignment vertical="top" wrapText="1"/>
    </xf>
    <xf numFmtId="0" fontId="3" fillId="0" borderId="0" xfId="0" applyFont="1" applyAlignment="1">
      <alignment horizontal="left" vertical="top" wrapText="1"/>
    </xf>
    <xf numFmtId="179" fontId="3" fillId="0" borderId="0" xfId="0" applyNumberFormat="1" applyFont="1" applyAlignment="1">
      <alignment horizontal="left" vertical="top" wrapText="1"/>
    </xf>
    <xf numFmtId="0" fontId="43" fillId="0" borderId="9" xfId="0" applyFont="1" applyFill="1" applyBorder="1" applyAlignment="1">
      <alignment horizontal="center" vertical="center"/>
    </xf>
    <xf numFmtId="0" fontId="43" fillId="0" borderId="10" xfId="0" applyNumberFormat="1" applyFont="1" applyFill="1" applyBorder="1" applyAlignment="1">
      <alignment horizontal="center" vertical="center"/>
    </xf>
    <xf numFmtId="184" fontId="43" fillId="0" borderId="10" xfId="0" applyNumberFormat="1" applyFont="1" applyFill="1" applyBorder="1" applyAlignment="1">
      <alignment horizontal="center" vertical="center"/>
    </xf>
    <xf numFmtId="0" fontId="62" fillId="0" borderId="10" xfId="0" applyFont="1" applyFill="1" applyBorder="1" applyAlignment="1">
      <alignment horizontal="left" vertical="center"/>
    </xf>
    <xf numFmtId="0" fontId="21" fillId="0" borderId="10" xfId="0" applyFont="1" applyBorder="1" applyAlignment="1">
      <alignment horizontal="left"/>
    </xf>
    <xf numFmtId="0" fontId="21" fillId="0" borderId="53" xfId="0" applyFont="1" applyBorder="1" applyAlignment="1">
      <alignment horizontal="left"/>
    </xf>
    <xf numFmtId="184" fontId="3" fillId="0" borderId="0" xfId="0" applyNumberFormat="1" applyFont="1" applyAlignment="1">
      <alignment horizontal="left" vertical="top" wrapText="1"/>
    </xf>
    <xf numFmtId="0" fontId="65" fillId="0" borderId="0" xfId="0" applyFont="1" applyFill="1" applyBorder="1" applyAlignment="1">
      <alignment horizontal="left" vertical="center"/>
    </xf>
    <xf numFmtId="0" fontId="65" fillId="39" borderId="51" xfId="0" applyFont="1" applyFill="1" applyBorder="1" applyAlignment="1">
      <alignment horizontal="left" vertical="center"/>
    </xf>
    <xf numFmtId="179" fontId="66" fillId="39" borderId="18" xfId="0" applyNumberFormat="1" applyFont="1" applyFill="1" applyBorder="1" applyAlignment="1">
      <alignment horizontal="left" vertical="center"/>
    </xf>
    <xf numFmtId="178" fontId="62" fillId="0" borderId="10" xfId="0" applyNumberFormat="1" applyFont="1" applyFill="1" applyBorder="1" applyAlignment="1">
      <alignment horizontal="left" vertical="center"/>
    </xf>
    <xf numFmtId="10" fontId="21" fillId="0" borderId="10" xfId="3" applyNumberFormat="1" applyFont="1" applyBorder="1" applyAlignment="1">
      <alignment horizontal="left"/>
    </xf>
    <xf numFmtId="9" fontId="62" fillId="0" borderId="10" xfId="3" applyFont="1" applyFill="1" applyBorder="1" applyAlignment="1">
      <alignment horizontal="left" vertical="center"/>
    </xf>
    <xf numFmtId="9" fontId="62" fillId="0" borderId="10" xfId="0" applyNumberFormat="1" applyFont="1" applyFill="1" applyBorder="1" applyAlignment="1">
      <alignment horizontal="left" vertical="center"/>
    </xf>
    <xf numFmtId="10" fontId="21" fillId="0" borderId="53" xfId="3" applyNumberFormat="1" applyFont="1" applyBorder="1" applyAlignment="1">
      <alignment horizontal="left"/>
    </xf>
    <xf numFmtId="0" fontId="43" fillId="0" borderId="0" xfId="0" applyNumberFormat="1" applyFont="1" applyFill="1" applyBorder="1" applyAlignment="1">
      <alignment horizontal="left" vertical="center"/>
    </xf>
    <xf numFmtId="0" fontId="43" fillId="0" borderId="12" xfId="0" applyNumberFormat="1" applyFont="1" applyFill="1" applyBorder="1" applyAlignment="1">
      <alignment horizontal="left" vertical="center"/>
    </xf>
    <xf numFmtId="184" fontId="43" fillId="0" borderId="10" xfId="0" applyNumberFormat="1" applyFont="1" applyFill="1" applyBorder="1" applyAlignment="1">
      <alignment horizontal="left" vertical="center"/>
    </xf>
    <xf numFmtId="0" fontId="43" fillId="0" borderId="0" xfId="0" applyFont="1" applyFill="1" applyBorder="1" applyAlignment="1">
      <alignment horizontal="left" vertical="center"/>
    </xf>
    <xf numFmtId="10" fontId="3" fillId="0" borderId="0" xfId="3" applyNumberFormat="1" applyFont="1" applyAlignment="1">
      <alignment horizontal="left"/>
    </xf>
    <xf numFmtId="3" fontId="43" fillId="0" borderId="10" xfId="0" applyNumberFormat="1" applyFont="1" applyFill="1" applyBorder="1" applyAlignment="1">
      <alignment horizontal="center" vertical="center"/>
    </xf>
    <xf numFmtId="0" fontId="43" fillId="0" borderId="14" xfId="0" applyFont="1" applyFill="1" applyBorder="1" applyAlignment="1">
      <alignment horizontal="center" vertical="center"/>
    </xf>
    <xf numFmtId="3" fontId="43" fillId="0" borderId="15" xfId="0" applyNumberFormat="1" applyFont="1" applyFill="1" applyBorder="1" applyAlignment="1">
      <alignment horizontal="center" vertical="center"/>
    </xf>
    <xf numFmtId="184" fontId="43" fillId="0" borderId="15" xfId="0" applyNumberFormat="1" applyFont="1" applyFill="1" applyBorder="1" applyAlignment="1">
      <alignment horizontal="center" vertical="center"/>
    </xf>
    <xf numFmtId="178" fontId="62" fillId="0" borderId="15" xfId="0" applyNumberFormat="1" applyFont="1" applyFill="1" applyBorder="1" applyAlignment="1">
      <alignment horizontal="left" vertical="center"/>
    </xf>
    <xf numFmtId="178" fontId="62" fillId="0" borderId="19" xfId="0" applyNumberFormat="1" applyFont="1" applyFill="1" applyBorder="1" applyAlignment="1">
      <alignment horizontal="left" vertical="center"/>
    </xf>
    <xf numFmtId="10" fontId="21" fillId="0" borderId="19" xfId="3" applyNumberFormat="1" applyFont="1" applyBorder="1" applyAlignment="1">
      <alignment horizontal="left"/>
    </xf>
    <xf numFmtId="9" fontId="62" fillId="0" borderId="19" xfId="3" applyFont="1" applyFill="1" applyBorder="1" applyAlignment="1">
      <alignment horizontal="left" vertical="center"/>
    </xf>
    <xf numFmtId="9" fontId="62" fillId="0" borderId="19" xfId="0" applyNumberFormat="1" applyFont="1" applyFill="1" applyBorder="1" applyAlignment="1">
      <alignment horizontal="left" vertical="center"/>
    </xf>
    <xf numFmtId="9" fontId="62" fillId="0" borderId="15" xfId="0" applyNumberFormat="1" applyFont="1" applyFill="1" applyBorder="1" applyAlignment="1">
      <alignment horizontal="left" vertical="center"/>
    </xf>
    <xf numFmtId="10" fontId="21" fillId="0" borderId="56" xfId="3" applyNumberFormat="1" applyFont="1" applyBorder="1" applyAlignment="1">
      <alignment horizontal="left"/>
    </xf>
    <xf numFmtId="3" fontId="43" fillId="0" borderId="0" xfId="0" applyNumberFormat="1" applyFont="1" applyFill="1" applyBorder="1" applyAlignment="1">
      <alignment horizontal="left" vertical="center"/>
    </xf>
    <xf numFmtId="3" fontId="43" fillId="0" borderId="12" xfId="0" applyNumberFormat="1" applyFont="1" applyFill="1" applyBorder="1" applyAlignment="1">
      <alignment horizontal="left" vertical="center"/>
    </xf>
    <xf numFmtId="0" fontId="30" fillId="0" borderId="97" xfId="0" applyFont="1" applyBorder="1" applyAlignment="1">
      <alignment horizontal="center" vertical="center" wrapText="1"/>
    </xf>
    <xf numFmtId="184" fontId="30" fillId="0" borderId="20" xfId="3" applyNumberFormat="1" applyFont="1" applyBorder="1" applyAlignment="1">
      <alignment horizontal="center" vertical="center"/>
    </xf>
    <xf numFmtId="179" fontId="30" fillId="0" borderId="20" xfId="3" applyNumberFormat="1" applyFont="1" applyBorder="1" applyAlignment="1">
      <alignment horizontal="center" vertical="center"/>
    </xf>
    <xf numFmtId="0" fontId="30" fillId="0" borderId="0" xfId="0" applyFont="1" applyAlignment="1">
      <alignment horizontal="center" vertical="center" wrapText="1"/>
    </xf>
    <xf numFmtId="10" fontId="30" fillId="0" borderId="0" xfId="3" applyNumberFormat="1" applyFont="1" applyAlignment="1">
      <alignment horizontal="center" vertical="center" wrapText="1"/>
    </xf>
    <xf numFmtId="0" fontId="30" fillId="27" borderId="17" xfId="0" applyFont="1" applyFill="1" applyBorder="1" applyAlignment="1">
      <alignment horizontal="center" vertical="center"/>
    </xf>
    <xf numFmtId="0" fontId="30" fillId="27" borderId="18" xfId="0" applyFont="1" applyFill="1" applyBorder="1" applyAlignment="1">
      <alignment horizontal="center" vertical="center"/>
    </xf>
    <xf numFmtId="0" fontId="30" fillId="27" borderId="52" xfId="0" applyFont="1" applyFill="1" applyBorder="1" applyAlignment="1">
      <alignment horizontal="center" vertical="center"/>
    </xf>
    <xf numFmtId="0" fontId="43" fillId="0" borderId="0" xfId="0" applyFont="1" applyFill="1" applyBorder="1" applyAlignment="1">
      <alignment horizontal="center" vertical="center"/>
    </xf>
    <xf numFmtId="3" fontId="43" fillId="0" borderId="0" xfId="0" applyNumberFormat="1" applyFont="1" applyFill="1" applyBorder="1" applyAlignment="1">
      <alignment horizontal="center" vertical="center"/>
    </xf>
    <xf numFmtId="3" fontId="43" fillId="0" borderId="98" xfId="0" applyNumberFormat="1" applyFont="1" applyFill="1" applyBorder="1" applyAlignment="1">
      <alignment horizontal="center" vertical="center"/>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0" fillId="0" borderId="9" xfId="0" applyFont="1" applyBorder="1" applyAlignment="1">
      <alignment horizontal="center" vertical="center"/>
    </xf>
    <xf numFmtId="0" fontId="30" fillId="0" borderId="10" xfId="0" applyFont="1" applyBorder="1" applyAlignment="1">
      <alignment horizontal="center" vertical="center"/>
    </xf>
    <xf numFmtId="0" fontId="3" fillId="0" borderId="10" xfId="0" applyFont="1" applyBorder="1" applyAlignment="1">
      <alignment horizontal="center"/>
    </xf>
    <xf numFmtId="0" fontId="30" fillId="0" borderId="10" xfId="0" applyFont="1" applyBorder="1" applyAlignment="1">
      <alignment horizontal="center"/>
    </xf>
    <xf numFmtId="0" fontId="30" fillId="0" borderId="53" xfId="0" applyFont="1" applyBorder="1" applyAlignment="1">
      <alignment horizontal="center" vertical="center"/>
    </xf>
    <xf numFmtId="0" fontId="3" fillId="0" borderId="61" xfId="0" applyFont="1" applyBorder="1" applyAlignment="1">
      <alignment horizontal="left" vertical="top" wrapText="1"/>
    </xf>
    <xf numFmtId="0" fontId="3" fillId="0" borderId="9" xfId="0" applyFont="1" applyBorder="1" applyAlignment="1">
      <alignment horizontal="center"/>
    </xf>
    <xf numFmtId="0" fontId="62" fillId="0" borderId="10" xfId="0" applyFont="1" applyFill="1" applyBorder="1" applyAlignment="1">
      <alignment horizontal="center" vertical="center"/>
    </xf>
    <xf numFmtId="0" fontId="3" fillId="0" borderId="10" xfId="0" applyFont="1" applyBorder="1" applyAlignment="1">
      <alignment horizontal="left"/>
    </xf>
    <xf numFmtId="0" fontId="27" fillId="0" borderId="10" xfId="6" applyFont="1" applyBorder="1" applyAlignment="1">
      <alignment horizontal="left"/>
    </xf>
    <xf numFmtId="9" fontId="27" fillId="0" borderId="10" xfId="6" applyNumberFormat="1" applyFont="1" applyBorder="1" applyAlignment="1">
      <alignment horizontal="left"/>
    </xf>
    <xf numFmtId="0" fontId="27" fillId="0" borderId="53" xfId="6" applyFont="1" applyBorder="1" applyAlignment="1">
      <alignment horizontal="left"/>
    </xf>
    <xf numFmtId="0" fontId="3" fillId="0" borderId="10" xfId="0" applyFont="1" applyBorder="1" applyAlignment="1">
      <alignment horizontal="left" vertical="top" wrapText="1"/>
    </xf>
    <xf numFmtId="0" fontId="3" fillId="0" borderId="10" xfId="0" applyFont="1" applyBorder="1" applyAlignment="1">
      <alignment horizontal="center" vertic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5" xfId="0" applyFont="1" applyBorder="1" applyAlignment="1">
      <alignment horizontal="left" vertical="top" wrapText="1"/>
    </xf>
    <xf numFmtId="0" fontId="27" fillId="0" borderId="15" xfId="6" applyFont="1" applyBorder="1" applyAlignment="1">
      <alignment horizontal="left"/>
    </xf>
    <xf numFmtId="9" fontId="27" fillId="0" borderId="15" xfId="6" applyNumberFormat="1" applyFont="1" applyBorder="1" applyAlignment="1">
      <alignment horizontal="left"/>
    </xf>
    <xf numFmtId="0" fontId="27" fillId="0" borderId="56" xfId="6" applyFont="1" applyBorder="1" applyAlignment="1">
      <alignment horizontal="left"/>
    </xf>
    <xf numFmtId="179" fontId="3" fillId="0" borderId="8" xfId="0" applyNumberFormat="1" applyFont="1" applyBorder="1" applyAlignment="1">
      <alignment horizontal="left" vertical="top" wrapText="1"/>
    </xf>
    <xf numFmtId="10" fontId="3" fillId="0" borderId="8" xfId="3" applyNumberFormat="1" applyFont="1" applyBorder="1" applyAlignment="1">
      <alignment horizontal="left" vertical="top" wrapText="1"/>
    </xf>
    <xf numFmtId="0" fontId="3" fillId="0" borderId="0" xfId="0" applyFont="1" applyBorder="1" applyAlignment="1">
      <alignment horizontal="center"/>
    </xf>
    <xf numFmtId="0" fontId="3" fillId="0" borderId="0" xfId="0" applyFont="1" applyBorder="1" applyAlignment="1">
      <alignment horizontal="left"/>
    </xf>
    <xf numFmtId="0" fontId="3" fillId="0" borderId="0" xfId="0" applyFont="1" applyBorder="1" applyAlignment="1">
      <alignment horizontal="left" vertical="top" wrapText="1"/>
    </xf>
    <xf numFmtId="0" fontId="68" fillId="0" borderId="0" xfId="6" applyFont="1" applyBorder="1" applyAlignment="1">
      <alignment horizontal="left"/>
    </xf>
    <xf numFmtId="0" fontId="3" fillId="0" borderId="0" xfId="0" applyFont="1" applyBorder="1"/>
    <xf numFmtId="0" fontId="3" fillId="0" borderId="47" xfId="0" applyFont="1" applyBorder="1"/>
    <xf numFmtId="0" fontId="3" fillId="0" borderId="61" xfId="0" applyFont="1" applyBorder="1" applyAlignment="1">
      <alignment vertical="top" wrapText="1"/>
    </xf>
    <xf numFmtId="10" fontId="3" fillId="0" borderId="0" xfId="3" applyNumberFormat="1" applyFont="1" applyAlignment="1">
      <alignment horizontal="left" vertical="top" wrapText="1"/>
    </xf>
    <xf numFmtId="0" fontId="68" fillId="0" borderId="0" xfId="6" applyFont="1" applyAlignment="1">
      <alignment horizontal="left"/>
    </xf>
    <xf numFmtId="0" fontId="3" fillId="0" borderId="99" xfId="0" applyFont="1" applyBorder="1" applyAlignment="1">
      <alignment horizontal="left" vertical="top" wrapText="1"/>
    </xf>
    <xf numFmtId="0" fontId="3" fillId="0" borderId="100" xfId="0" applyFont="1" applyBorder="1" applyAlignment="1">
      <alignment horizontal="left" vertical="top" wrapText="1"/>
    </xf>
    <xf numFmtId="179" fontId="3" fillId="0" borderId="100" xfId="0" applyNumberFormat="1" applyFont="1" applyBorder="1" applyAlignment="1">
      <alignment horizontal="left" vertical="top" wrapText="1"/>
    </xf>
    <xf numFmtId="10" fontId="3" fillId="0" borderId="100" xfId="3" applyNumberFormat="1" applyFont="1" applyBorder="1" applyAlignment="1">
      <alignment horizontal="left" vertical="top" wrapText="1"/>
    </xf>
    <xf numFmtId="0" fontId="3" fillId="0" borderId="100" xfId="0" applyFont="1" applyBorder="1" applyAlignment="1">
      <alignment horizontal="center"/>
    </xf>
    <xf numFmtId="0" fontId="3" fillId="0" borderId="100" xfId="0" applyFont="1" applyBorder="1" applyAlignment="1">
      <alignment horizontal="left"/>
    </xf>
    <xf numFmtId="0" fontId="68" fillId="0" borderId="100" xfId="6" applyFont="1" applyBorder="1" applyAlignment="1">
      <alignment horizontal="left"/>
    </xf>
    <xf numFmtId="0" fontId="3" fillId="0" borderId="100" xfId="0" applyFont="1" applyBorder="1"/>
    <xf numFmtId="0" fontId="3" fillId="0" borderId="101" xfId="0" applyFont="1" applyBorder="1"/>
    <xf numFmtId="0" fontId="69" fillId="39" borderId="17" xfId="0" applyFont="1" applyFill="1" applyBorder="1" applyAlignment="1">
      <alignment horizontal="center" vertical="center"/>
    </xf>
    <xf numFmtId="0" fontId="69" fillId="39" borderId="18" xfId="0" applyFont="1" applyFill="1" applyBorder="1" applyAlignment="1">
      <alignment horizontal="center" vertical="center"/>
    </xf>
    <xf numFmtId="0" fontId="67" fillId="39" borderId="18" xfId="0" applyFont="1" applyFill="1" applyBorder="1" applyAlignment="1">
      <alignment horizontal="center" vertical="center"/>
    </xf>
    <xf numFmtId="0" fontId="69" fillId="39" borderId="52" xfId="0" applyFont="1" applyFill="1" applyBorder="1" applyAlignment="1">
      <alignment horizontal="center" vertical="center"/>
    </xf>
    <xf numFmtId="10" fontId="3" fillId="0" borderId="17" xfId="3" applyNumberFormat="1" applyFont="1" applyBorder="1" applyAlignment="1">
      <alignment horizontal="center" vertical="top" wrapText="1"/>
    </xf>
    <xf numFmtId="10" fontId="3" fillId="0" borderId="18" xfId="3" applyNumberFormat="1" applyFont="1" applyBorder="1" applyAlignment="1">
      <alignment horizontal="center" vertical="top" wrapText="1"/>
    </xf>
    <xf numFmtId="10" fontId="3" fillId="0" borderId="52" xfId="3" applyNumberFormat="1" applyFont="1" applyBorder="1" applyAlignment="1">
      <alignment horizontal="center" vertical="top" wrapText="1"/>
    </xf>
    <xf numFmtId="0" fontId="31" fillId="0" borderId="9" xfId="0" applyFont="1" applyFill="1" applyBorder="1" applyAlignment="1">
      <alignment horizontal="center" vertical="center"/>
    </xf>
    <xf numFmtId="3" fontId="31" fillId="0" borderId="10" xfId="0" applyNumberFormat="1" applyFont="1" applyFill="1" applyBorder="1" applyAlignment="1">
      <alignment horizontal="center" vertical="center"/>
    </xf>
    <xf numFmtId="0" fontId="31" fillId="0" borderId="53" xfId="0" applyFont="1" applyFill="1" applyBorder="1" applyAlignment="1">
      <alignment horizontal="center" vertical="center"/>
    </xf>
    <xf numFmtId="10" fontId="3" fillId="0" borderId="9" xfId="3" applyNumberFormat="1" applyFont="1" applyBorder="1" applyAlignment="1">
      <alignment horizontal="center" vertical="top" wrapText="1"/>
    </xf>
    <xf numFmtId="10" fontId="3" fillId="0" borderId="10" xfId="3" applyNumberFormat="1" applyFont="1" applyBorder="1" applyAlignment="1">
      <alignment horizontal="center" vertical="top" wrapText="1"/>
    </xf>
    <xf numFmtId="10" fontId="3" fillId="0" borderId="53" xfId="3" applyNumberFormat="1" applyFont="1" applyBorder="1" applyAlignment="1">
      <alignment horizontal="center" vertical="top" wrapText="1"/>
    </xf>
    <xf numFmtId="0" fontId="70" fillId="0" borderId="102" xfId="0" applyFont="1" applyFill="1" applyBorder="1" applyAlignment="1">
      <alignment horizontal="center" vertical="center"/>
    </xf>
    <xf numFmtId="0" fontId="70" fillId="0" borderId="23" xfId="0" applyFont="1" applyFill="1" applyBorder="1" applyAlignment="1">
      <alignment horizontal="center" vertical="center"/>
    </xf>
    <xf numFmtId="0" fontId="70" fillId="0" borderId="45" xfId="0" applyFont="1" applyFill="1" applyBorder="1" applyAlignment="1">
      <alignment horizontal="center" vertical="center"/>
    </xf>
    <xf numFmtId="0" fontId="70" fillId="0" borderId="61" xfId="0" applyFont="1" applyFill="1" applyBorder="1" applyAlignment="1">
      <alignment horizontal="center" vertical="center"/>
    </xf>
    <xf numFmtId="0" fontId="70" fillId="0" borderId="0" xfId="0" applyFont="1" applyFill="1" applyAlignment="1">
      <alignment horizontal="center" vertical="center"/>
    </xf>
    <xf numFmtId="0" fontId="70" fillId="0" borderId="47" xfId="0" applyFont="1" applyFill="1" applyBorder="1" applyAlignment="1">
      <alignment horizontal="center" vertical="center"/>
    </xf>
    <xf numFmtId="0" fontId="70" fillId="0" borderId="99" xfId="0" applyFont="1" applyFill="1" applyBorder="1" applyAlignment="1">
      <alignment horizontal="center" vertical="center"/>
    </xf>
    <xf numFmtId="0" fontId="70" fillId="0" borderId="100" xfId="0" applyFont="1" applyFill="1" applyBorder="1" applyAlignment="1">
      <alignment horizontal="center" vertical="center"/>
    </xf>
    <xf numFmtId="0" fontId="70" fillId="0" borderId="101" xfId="0" applyFont="1" applyFill="1" applyBorder="1" applyAlignment="1">
      <alignment horizontal="center" vertical="center"/>
    </xf>
    <xf numFmtId="10" fontId="3" fillId="0" borderId="14" xfId="3" applyNumberFormat="1" applyFont="1" applyBorder="1" applyAlignment="1">
      <alignment horizontal="center" vertical="top" wrapText="1"/>
    </xf>
    <xf numFmtId="10" fontId="3" fillId="0" borderId="15" xfId="3" applyNumberFormat="1" applyFont="1" applyBorder="1" applyAlignment="1">
      <alignment horizontal="center" vertical="top" wrapText="1"/>
    </xf>
    <xf numFmtId="10" fontId="3" fillId="0" borderId="56" xfId="3" applyNumberFormat="1" applyFont="1" applyBorder="1" applyAlignment="1">
      <alignment horizontal="center" vertical="top" wrapText="1"/>
    </xf>
    <xf numFmtId="0" fontId="71" fillId="0" borderId="0" xfId="0" applyFont="1" applyFill="1" applyAlignment="1">
      <alignment horizontal="center" vertical="center"/>
    </xf>
    <xf numFmtId="3" fontId="71" fillId="0" borderId="0" xfId="0" applyNumberFormat="1" applyFont="1" applyFill="1" applyAlignment="1">
      <alignment horizontal="center" vertical="center"/>
    </xf>
    <xf numFmtId="4" fontId="71" fillId="0" borderId="0" xfId="0" applyNumberFormat="1" applyFont="1" applyFill="1" applyAlignment="1">
      <alignment horizontal="right" vertical="center"/>
    </xf>
    <xf numFmtId="0" fontId="30" fillId="8" borderId="57" xfId="0" applyFont="1" applyFill="1" applyBorder="1"/>
    <xf numFmtId="0" fontId="3" fillId="0" borderId="7" xfId="0" applyFont="1" applyBorder="1"/>
    <xf numFmtId="0" fontId="3" fillId="0" borderId="8" xfId="0" applyFont="1" applyBorder="1"/>
    <xf numFmtId="179" fontId="3" fillId="0" borderId="8" xfId="0" applyNumberFormat="1" applyFont="1" applyBorder="1"/>
    <xf numFmtId="0" fontId="30" fillId="42" borderId="8" xfId="0" applyFont="1" applyFill="1" applyBorder="1"/>
    <xf numFmtId="0" fontId="30" fillId="42" borderId="60" xfId="0" applyFont="1" applyFill="1" applyBorder="1"/>
    <xf numFmtId="0" fontId="3" fillId="0" borderId="61" xfId="0" applyFont="1" applyBorder="1"/>
    <xf numFmtId="10" fontId="3" fillId="0" borderId="47" xfId="3" applyNumberFormat="1" applyFont="1" applyBorder="1" applyAlignment="1">
      <alignment horizontal="left" vertical="top" wrapText="1"/>
    </xf>
    <xf numFmtId="0" fontId="31" fillId="0" borderId="61" xfId="0" applyFont="1" applyBorder="1" applyAlignment="1">
      <alignment horizontal="left" vertical="top" wrapText="1"/>
    </xf>
    <xf numFmtId="184" fontId="3" fillId="0" borderId="0" xfId="0" applyNumberFormat="1" applyFont="1" applyBorder="1" applyAlignment="1">
      <alignment horizontal="left" vertical="top"/>
    </xf>
    <xf numFmtId="179" fontId="3" fillId="0" borderId="0" xfId="0" applyNumberFormat="1" applyFont="1" applyBorder="1" applyAlignment="1">
      <alignment horizontal="left" vertical="top"/>
    </xf>
    <xf numFmtId="0" fontId="3" fillId="0" borderId="0" xfId="0" applyFont="1" applyBorder="1" applyAlignment="1">
      <alignment horizontal="left" vertical="top"/>
    </xf>
    <xf numFmtId="0" fontId="3" fillId="0" borderId="47" xfId="0" applyFont="1" applyBorder="1" applyAlignment="1">
      <alignment horizontal="left" vertical="top"/>
    </xf>
    <xf numFmtId="0" fontId="30" fillId="0" borderId="51" xfId="0" applyFont="1" applyBorder="1" applyAlignment="1">
      <alignment horizontal="center" vertical="center"/>
    </xf>
    <xf numFmtId="0" fontId="30" fillId="0" borderId="52" xfId="0" applyFont="1" applyBorder="1" applyAlignment="1">
      <alignment horizontal="center" vertical="center"/>
    </xf>
    <xf numFmtId="0" fontId="3" fillId="0" borderId="61" xfId="0" applyFont="1" applyBorder="1" applyAlignment="1">
      <alignment horizontal="left" vertical="top"/>
    </xf>
    <xf numFmtId="0" fontId="3" fillId="0" borderId="98" xfId="0" applyFont="1" applyBorder="1" applyAlignment="1">
      <alignment horizontal="center" vertical="center"/>
    </xf>
    <xf numFmtId="10" fontId="3" fillId="0" borderId="56" xfId="3" applyNumberFormat="1" applyFont="1" applyBorder="1" applyAlignment="1">
      <alignment horizontal="center" vertical="center"/>
    </xf>
    <xf numFmtId="0" fontId="3" fillId="0" borderId="99" xfId="0" applyFont="1" applyBorder="1" applyAlignment="1">
      <alignment horizontal="left" vertical="top"/>
    </xf>
    <xf numFmtId="184" fontId="3" fillId="0" borderId="100" xfId="0" applyNumberFormat="1" applyFont="1" applyBorder="1" applyAlignment="1">
      <alignment horizontal="left" vertical="top"/>
    </xf>
    <xf numFmtId="179" fontId="3" fillId="0" borderId="100" xfId="0" applyNumberFormat="1" applyFont="1" applyBorder="1" applyAlignment="1">
      <alignment horizontal="left" vertical="top"/>
    </xf>
    <xf numFmtId="0" fontId="3" fillId="0" borderId="100" xfId="0" applyFont="1" applyBorder="1" applyAlignment="1">
      <alignment horizontal="left" vertical="top"/>
    </xf>
    <xf numFmtId="0" fontId="3" fillId="0" borderId="101" xfId="0" applyFont="1" applyBorder="1" applyAlignment="1">
      <alignment horizontal="left" vertical="top"/>
    </xf>
    <xf numFmtId="10" fontId="3" fillId="0" borderId="0" xfId="3" applyNumberFormat="1" applyFont="1" applyBorder="1" applyAlignment="1">
      <alignment horizontal="left" vertical="top" wrapText="1"/>
    </xf>
    <xf numFmtId="0" fontId="30" fillId="0" borderId="61" xfId="0" applyFont="1" applyBorder="1" applyAlignment="1">
      <alignment horizontal="left" vertical="top" wrapText="1"/>
    </xf>
    <xf numFmtId="0" fontId="3" fillId="6" borderId="61" xfId="0" applyFont="1" applyFill="1" applyBorder="1"/>
    <xf numFmtId="0" fontId="3" fillId="6" borderId="0" xfId="0" applyFont="1" applyFill="1"/>
    <xf numFmtId="184" fontId="30" fillId="0" borderId="0" xfId="0" applyNumberFormat="1" applyFont="1" applyBorder="1" applyAlignment="1">
      <alignment horizontal="left" vertical="top" wrapText="1"/>
    </xf>
    <xf numFmtId="179" fontId="30" fillId="0" borderId="0" xfId="0" applyNumberFormat="1" applyFont="1" applyBorder="1" applyAlignment="1">
      <alignment horizontal="left" vertical="top" wrapText="1"/>
    </xf>
    <xf numFmtId="0" fontId="30" fillId="0" borderId="0" xfId="0" applyFont="1" applyBorder="1" applyAlignment="1">
      <alignment horizontal="left" vertical="top" wrapText="1"/>
    </xf>
    <xf numFmtId="0" fontId="30" fillId="0" borderId="47" xfId="0" applyFont="1" applyBorder="1" applyAlignment="1">
      <alignment horizontal="left" vertical="top" wrapText="1"/>
    </xf>
    <xf numFmtId="0" fontId="30" fillId="0" borderId="99" xfId="0" applyFont="1" applyBorder="1" applyAlignment="1">
      <alignment horizontal="left" vertical="top" wrapText="1"/>
    </xf>
    <xf numFmtId="184" fontId="30" fillId="0" borderId="100" xfId="0" applyNumberFormat="1" applyFont="1" applyBorder="1" applyAlignment="1">
      <alignment horizontal="left" vertical="top" wrapText="1"/>
    </xf>
    <xf numFmtId="179" fontId="30" fillId="0" borderId="100" xfId="0" applyNumberFormat="1" applyFont="1" applyBorder="1" applyAlignment="1">
      <alignment horizontal="left" vertical="top" wrapText="1"/>
    </xf>
    <xf numFmtId="0" fontId="30" fillId="0" borderId="100" xfId="0" applyFont="1" applyBorder="1" applyAlignment="1">
      <alignment horizontal="left" vertical="top" wrapText="1"/>
    </xf>
    <xf numFmtId="0" fontId="30" fillId="0" borderId="101" xfId="0" applyFont="1" applyBorder="1" applyAlignment="1">
      <alignment horizontal="left" vertical="top" wrapText="1"/>
    </xf>
    <xf numFmtId="0" fontId="0" fillId="0" borderId="7" xfId="0" applyBorder="1"/>
    <xf numFmtId="0" fontId="0" fillId="0" borderId="8" xfId="0" applyBorder="1"/>
    <xf numFmtId="0" fontId="0" fillId="0" borderId="61" xfId="0" applyBorder="1"/>
    <xf numFmtId="179" fontId="0" fillId="0" borderId="0" xfId="0" applyNumberFormat="1"/>
    <xf numFmtId="0" fontId="3" fillId="12" borderId="0" xfId="0" applyFont="1" applyFill="1"/>
    <xf numFmtId="0" fontId="3" fillId="0" borderId="0" xfId="0" applyFont="1" applyFill="1"/>
    <xf numFmtId="0" fontId="3" fillId="0" borderId="99" xfId="0" applyFont="1" applyBorder="1"/>
    <xf numFmtId="10" fontId="3" fillId="0" borderId="101" xfId="3" applyNumberFormat="1" applyFont="1" applyBorder="1" applyAlignment="1">
      <alignment horizontal="left" vertical="top" wrapText="1"/>
    </xf>
    <xf numFmtId="0" fontId="3" fillId="6" borderId="0" xfId="0" applyFont="1" applyFill="1" applyBorder="1"/>
    <xf numFmtId="0" fontId="3" fillId="0" borderId="0" xfId="0" applyFont="1" applyFill="1" applyBorder="1"/>
    <xf numFmtId="0" fontId="0" fillId="0" borderId="0" xfId="0" applyAlignment="1">
      <alignment horizontal="center"/>
    </xf>
    <xf numFmtId="201" fontId="0" fillId="0" borderId="0" xfId="0" applyNumberFormat="1" applyAlignment="1">
      <alignment wrapText="1"/>
    </xf>
    <xf numFmtId="201" fontId="0" fillId="0" borderId="0" xfId="0" applyNumberFormat="1"/>
    <xf numFmtId="201" fontId="1" fillId="3" borderId="0" xfId="0" applyNumberFormat="1" applyFont="1" applyFill="1" applyAlignment="1">
      <alignment horizontal="center" vertical="center" wrapText="1"/>
    </xf>
    <xf numFmtId="3" fontId="2" fillId="0" borderId="0" xfId="0" applyNumberFormat="1" applyFont="1" applyFill="1" applyAlignment="1">
      <alignment horizontal="right" vertical="center"/>
    </xf>
    <xf numFmtId="0" fontId="2" fillId="0" borderId="0" xfId="0" applyFont="1" applyFill="1" applyAlignment="1">
      <alignment horizontal="left" vertical="center" wrapText="1"/>
    </xf>
    <xf numFmtId="3" fontId="2" fillId="0" borderId="0" xfId="0" applyNumberFormat="1" applyFont="1" applyFill="1" applyAlignment="1">
      <alignment horizontal="right" vertical="center" wrapText="1"/>
    </xf>
    <xf numFmtId="201" fontId="2" fillId="0" borderId="0" xfId="0" applyNumberFormat="1" applyFont="1" applyAlignment="1">
      <alignment horizontal="right" vertical="center" wrapText="1"/>
    </xf>
    <xf numFmtId="3" fontId="2" fillId="0" borderId="0" xfId="0" applyNumberFormat="1" applyFont="1" applyAlignment="1">
      <alignment horizontal="center" vertical="center" wrapText="1"/>
    </xf>
    <xf numFmtId="4" fontId="2" fillId="0" borderId="0" xfId="0" applyNumberFormat="1" applyFont="1" applyFill="1" applyAlignment="1">
      <alignment horizontal="right" vertical="center"/>
    </xf>
    <xf numFmtId="176" fontId="2" fillId="0" borderId="0" xfId="0" applyNumberFormat="1" applyFont="1" applyFill="1" applyAlignment="1">
      <alignment horizontal="right" vertical="center"/>
    </xf>
    <xf numFmtId="177" fontId="2" fillId="0" borderId="0" xfId="0" applyNumberFormat="1" applyFont="1" applyFill="1" applyAlignment="1">
      <alignment horizontal="center" vertical="center"/>
    </xf>
    <xf numFmtId="178" fontId="2" fillId="0" borderId="0" xfId="0" applyNumberFormat="1" applyFont="1" applyFill="1" applyAlignment="1">
      <alignment horizontal="right" vertical="center"/>
    </xf>
    <xf numFmtId="3" fontId="0" fillId="0" borderId="0" xfId="0" applyNumberFormat="1" applyFont="1" applyFill="1" applyAlignment="1">
      <alignment horizontal="center" vertical="center"/>
    </xf>
    <xf numFmtId="3" fontId="2" fillId="0" borderId="0" xfId="0" applyNumberFormat="1" applyFont="1" applyFill="1" applyAlignment="1">
      <alignment horizontal="center" vertical="center"/>
    </xf>
    <xf numFmtId="0" fontId="2" fillId="0" borderId="0" xfId="0" applyFont="1" applyFill="1" applyAlignment="1">
      <alignment horizontal="right" vertical="center"/>
    </xf>
    <xf numFmtId="3" fontId="2" fillId="6" borderId="0" xfId="0" applyNumberFormat="1" applyFont="1" applyFill="1" applyAlignment="1">
      <alignment horizontal="center" vertical="center" wrapText="1"/>
    </xf>
    <xf numFmtId="179" fontId="2" fillId="0" borderId="0" xfId="0" applyNumberFormat="1" applyFont="1" applyAlignment="1">
      <alignment horizontal="right" vertical="center" wrapText="1"/>
    </xf>
    <xf numFmtId="0" fontId="2" fillId="0" borderId="0" xfId="3" applyNumberFormat="1" applyFont="1" applyAlignment="1">
      <alignment horizontal="right" vertical="center" wrapText="1"/>
    </xf>
    <xf numFmtId="3" fontId="70" fillId="0" borderId="0" xfId="0" applyNumberFormat="1" applyFont="1" applyAlignment="1">
      <alignment horizontal="right" vertical="center" wrapText="1"/>
    </xf>
    <xf numFmtId="3" fontId="2" fillId="6" borderId="0" xfId="0" applyNumberFormat="1" applyFont="1" applyFill="1" applyAlignment="1">
      <alignment horizontal="right" vertical="center" wrapText="1"/>
    </xf>
    <xf numFmtId="4" fontId="0" fillId="0" borderId="0" xfId="0" applyNumberFormat="1" applyFont="1" applyFill="1" applyAlignment="1">
      <alignment horizontal="center" vertical="center"/>
    </xf>
    <xf numFmtId="176" fontId="0" fillId="0" borderId="0" xfId="0" applyNumberFormat="1" applyFont="1" applyFill="1" applyAlignment="1">
      <alignment horizontal="center" vertical="center"/>
    </xf>
    <xf numFmtId="177" fontId="0" fillId="0" borderId="0" xfId="0" applyNumberFormat="1" applyFont="1" applyFill="1" applyAlignment="1">
      <alignment horizontal="center" vertical="center"/>
    </xf>
    <xf numFmtId="178" fontId="0" fillId="0" borderId="0" xfId="0" applyNumberFormat="1" applyFont="1" applyFill="1" applyAlignment="1">
      <alignment horizontal="center" vertical="center"/>
    </xf>
    <xf numFmtId="0" fontId="72" fillId="0" borderId="0" xfId="0" applyFont="1" applyFill="1" applyAlignment="1">
      <alignment horizontal="center" vertical="center"/>
    </xf>
    <xf numFmtId="177" fontId="72" fillId="0" borderId="0" xfId="0" applyNumberFormat="1" applyFont="1" applyFill="1" applyAlignment="1">
      <alignment horizontal="center" vertical="center"/>
    </xf>
    <xf numFmtId="185" fontId="72" fillId="0" borderId="0" xfId="0" applyNumberFormat="1" applyFont="1" applyFill="1" applyAlignment="1">
      <alignment horizontal="center" vertical="center"/>
    </xf>
    <xf numFmtId="178" fontId="72" fillId="0" borderId="0" xfId="0" applyNumberFormat="1" applyFont="1" applyFill="1" applyAlignment="1">
      <alignment horizontal="center" vertical="center"/>
    </xf>
    <xf numFmtId="177" fontId="72" fillId="0" borderId="0" xfId="0" applyNumberFormat="1" applyFont="1" applyFill="1" applyAlignment="1">
      <alignment horizontal="right" vertical="center"/>
    </xf>
    <xf numFmtId="202" fontId="72" fillId="0" borderId="0" xfId="0" applyNumberFormat="1" applyFont="1" applyFill="1" applyAlignment="1">
      <alignment horizontal="center" vertical="center"/>
    </xf>
    <xf numFmtId="49" fontId="72" fillId="0" borderId="0" xfId="0" applyNumberFormat="1" applyFont="1" applyFill="1" applyAlignment="1">
      <alignment horizontal="center" vertical="center"/>
    </xf>
    <xf numFmtId="49" fontId="72" fillId="0" borderId="0" xfId="0" applyNumberFormat="1" applyFont="1" applyFill="1" applyAlignment="1">
      <alignment horizontal="right" vertical="center"/>
    </xf>
    <xf numFmtId="185" fontId="72" fillId="0" borderId="0" xfId="0" applyNumberFormat="1" applyFont="1" applyFill="1" applyAlignment="1">
      <alignment horizontal="right" vertical="center"/>
    </xf>
    <xf numFmtId="0" fontId="72" fillId="0" borderId="0" xfId="0" applyFont="1" applyFill="1" applyAlignment="1">
      <alignment vertical="center"/>
    </xf>
    <xf numFmtId="0" fontId="73" fillId="39" borderId="0" xfId="0" applyFont="1" applyFill="1" applyAlignment="1">
      <alignment horizontal="center" vertical="center"/>
    </xf>
    <xf numFmtId="0" fontId="74" fillId="39" borderId="0" xfId="0" applyFont="1" applyFill="1" applyAlignment="1">
      <alignment horizontal="center" vertical="center"/>
    </xf>
    <xf numFmtId="177" fontId="74" fillId="39" borderId="0" xfId="0" applyNumberFormat="1" applyFont="1" applyFill="1" applyAlignment="1">
      <alignment horizontal="center" vertical="center"/>
    </xf>
    <xf numFmtId="185" fontId="73" fillId="8" borderId="0" xfId="0" applyNumberFormat="1" applyFont="1" applyFill="1" applyAlignment="1">
      <alignment horizontal="center" vertical="center"/>
    </xf>
    <xf numFmtId="185" fontId="73" fillId="39" borderId="0" xfId="0" applyNumberFormat="1" applyFont="1" applyFill="1" applyAlignment="1">
      <alignment horizontal="center" vertical="center"/>
    </xf>
    <xf numFmtId="178" fontId="73" fillId="39" borderId="0" xfId="0" applyNumberFormat="1" applyFont="1" applyFill="1" applyAlignment="1">
      <alignment horizontal="center" vertical="center"/>
    </xf>
    <xf numFmtId="177" fontId="73" fillId="8" borderId="0" xfId="0" applyNumberFormat="1" applyFont="1" applyFill="1" applyAlignment="1">
      <alignment horizontal="center" vertical="center"/>
    </xf>
    <xf numFmtId="202" fontId="73" fillId="39" borderId="0" xfId="0" applyNumberFormat="1" applyFont="1" applyFill="1" applyAlignment="1">
      <alignment horizontal="center" vertical="center"/>
    </xf>
    <xf numFmtId="202" fontId="74" fillId="39" borderId="0" xfId="0" applyNumberFormat="1" applyFont="1" applyFill="1" applyAlignment="1">
      <alignment horizontal="center" vertical="center"/>
    </xf>
    <xf numFmtId="49" fontId="75" fillId="8" borderId="0" xfId="0" applyNumberFormat="1" applyFont="1" applyFill="1" applyAlignment="1">
      <alignment horizontal="center" vertical="center"/>
    </xf>
    <xf numFmtId="49" fontId="75" fillId="39" borderId="0" xfId="0" applyNumberFormat="1" applyFont="1" applyFill="1" applyAlignment="1">
      <alignment horizontal="center" vertical="center"/>
    </xf>
    <xf numFmtId="49" fontId="73" fillId="39" borderId="0" xfId="0" applyNumberFormat="1" applyFont="1" applyFill="1" applyAlignment="1">
      <alignment horizontal="center" vertical="center"/>
    </xf>
    <xf numFmtId="177" fontId="75" fillId="39" borderId="0" xfId="0" applyNumberFormat="1" applyFont="1" applyFill="1" applyAlignment="1">
      <alignment horizontal="center" vertical="center"/>
    </xf>
    <xf numFmtId="185" fontId="76" fillId="39" borderId="0" xfId="0" applyNumberFormat="1" applyFont="1" applyFill="1" applyAlignment="1">
      <alignment horizontal="center" vertical="center"/>
    </xf>
    <xf numFmtId="187" fontId="76" fillId="39" borderId="0" xfId="0" applyNumberFormat="1" applyFont="1" applyFill="1" applyAlignment="1">
      <alignment horizontal="center" vertical="center"/>
    </xf>
    <xf numFmtId="187" fontId="76" fillId="0" borderId="0" xfId="0" applyNumberFormat="1" applyFont="1" applyFill="1" applyAlignment="1">
      <alignment horizontal="center" vertical="center"/>
    </xf>
    <xf numFmtId="0" fontId="30" fillId="7" borderId="10" xfId="0" applyFont="1" applyFill="1" applyBorder="1" applyAlignment="1">
      <alignment horizontal="center" vertical="center"/>
    </xf>
    <xf numFmtId="0" fontId="77" fillId="7" borderId="10" xfId="0" applyFont="1" applyFill="1" applyBorder="1" applyAlignment="1">
      <alignment horizontal="center" vertical="center"/>
    </xf>
    <xf numFmtId="185" fontId="2" fillId="0" borderId="0" xfId="0" applyNumberFormat="1" applyFont="1" applyFill="1" applyAlignment="1">
      <alignment horizontal="center" vertical="center"/>
    </xf>
    <xf numFmtId="185" fontId="2" fillId="0" borderId="0" xfId="0" applyNumberFormat="1" applyFont="1" applyFill="1" applyAlignment="1">
      <alignment horizontal="right" vertical="center"/>
    </xf>
    <xf numFmtId="177" fontId="2" fillId="0" borderId="0" xfId="0" applyNumberFormat="1" applyFont="1" applyFill="1" applyAlignment="1">
      <alignment horizontal="right" vertical="center"/>
    </xf>
    <xf numFmtId="202" fontId="2" fillId="0" borderId="0" xfId="0" applyNumberFormat="1" applyFont="1" applyFill="1" applyAlignment="1">
      <alignment horizontal="right" vertical="center"/>
    </xf>
    <xf numFmtId="187" fontId="2" fillId="0" borderId="0" xfId="0" applyNumberFormat="1" applyFont="1" applyFill="1" applyAlignment="1">
      <alignment horizontal="right" vertical="center"/>
    </xf>
    <xf numFmtId="49" fontId="2" fillId="0" borderId="0" xfId="0" applyNumberFormat="1" applyFont="1" applyFill="1" applyAlignment="1">
      <alignment horizontal="center" vertical="center"/>
    </xf>
    <xf numFmtId="49" fontId="2" fillId="0" borderId="0" xfId="0" applyNumberFormat="1" applyFont="1" applyFill="1" applyAlignment="1">
      <alignment horizontal="right" vertical="center"/>
    </xf>
    <xf numFmtId="185" fontId="2" fillId="0" borderId="0" xfId="0" applyNumberFormat="1" applyFont="1" applyFill="1" applyAlignment="1">
      <alignment horizontal="left" vertical="center"/>
    </xf>
    <xf numFmtId="187" fontId="72" fillId="0" borderId="0" xfId="0" applyNumberFormat="1" applyFont="1" applyFill="1" applyAlignment="1">
      <alignment vertical="center"/>
    </xf>
    <xf numFmtId="179" fontId="3" fillId="0" borderId="10" xfId="0" applyNumberFormat="1" applyFont="1" applyFill="1" applyBorder="1" applyAlignment="1">
      <alignment horizontal="center" vertical="center"/>
    </xf>
    <xf numFmtId="0" fontId="0" fillId="0" borderId="10" xfId="0" applyFill="1" applyBorder="1" applyAlignment="1">
      <alignment horizontal="center" vertical="center"/>
    </xf>
    <xf numFmtId="0" fontId="25" fillId="43" borderId="0" xfId="0" applyFont="1" applyFill="1" applyBorder="1" applyAlignment="1">
      <alignment vertical="top" wrapText="1"/>
    </xf>
    <xf numFmtId="0" fontId="25" fillId="43" borderId="0" xfId="0" applyFont="1" applyFill="1" applyAlignment="1">
      <alignment horizontal="left" vertical="top" wrapText="1"/>
    </xf>
    <xf numFmtId="0" fontId="32" fillId="7" borderId="10" xfId="0" applyFont="1" applyFill="1" applyBorder="1" applyAlignment="1">
      <alignment horizontal="left" vertical="center" wrapText="1"/>
    </xf>
    <xf numFmtId="0" fontId="3" fillId="7" borderId="10" xfId="0" applyFont="1" applyFill="1" applyBorder="1" applyAlignment="1">
      <alignment horizontal="left" vertical="center"/>
    </xf>
    <xf numFmtId="0" fontId="78" fillId="43" borderId="0" xfId="0" applyFont="1" applyFill="1" applyAlignment="1">
      <alignment horizontal="left" vertical="top"/>
    </xf>
    <xf numFmtId="0" fontId="19" fillId="7" borderId="50" xfId="0" applyFont="1" applyFill="1" applyBorder="1" applyAlignment="1">
      <alignment horizontal="center" vertical="center"/>
    </xf>
    <xf numFmtId="0" fontId="35" fillId="7" borderId="10" xfId="0" applyFont="1" applyFill="1" applyBorder="1" applyAlignment="1">
      <alignment horizontal="left" vertical="center"/>
    </xf>
    <xf numFmtId="0" fontId="78" fillId="43" borderId="0" xfId="0" applyFont="1" applyFill="1" applyBorder="1" applyAlignment="1">
      <alignment horizontal="left" vertical="center" wrapText="1"/>
    </xf>
    <xf numFmtId="0" fontId="78" fillId="43" borderId="0" xfId="0" applyFont="1" applyFill="1" applyBorder="1" applyAlignment="1">
      <alignment horizontal="left" vertical="center"/>
    </xf>
    <xf numFmtId="0" fontId="0" fillId="0" borderId="10" xfId="0" applyFont="1" applyFill="1" applyBorder="1" applyAlignment="1">
      <alignment horizontal="center" vertical="center"/>
    </xf>
    <xf numFmtId="0" fontId="78" fillId="43" borderId="0" xfId="0" applyFont="1" applyFill="1" applyAlignment="1">
      <alignment horizontal="left" vertical="top" wrapText="1"/>
    </xf>
    <xf numFmtId="0" fontId="32" fillId="7" borderId="22" xfId="0" applyFont="1" applyFill="1" applyBorder="1" applyAlignment="1">
      <alignment horizontal="left" vertical="top" wrapText="1"/>
    </xf>
    <xf numFmtId="0" fontId="3" fillId="7" borderId="23" xfId="0" applyFont="1" applyFill="1" applyBorder="1" applyAlignment="1">
      <alignment horizontal="left" vertical="top" wrapText="1"/>
    </xf>
    <xf numFmtId="0" fontId="3" fillId="7" borderId="50" xfId="0" applyFont="1" applyFill="1" applyBorder="1" applyAlignment="1">
      <alignment horizontal="left" vertical="top" wrapText="1"/>
    </xf>
    <xf numFmtId="0" fontId="3" fillId="7" borderId="95" xfId="0" applyFont="1" applyFill="1" applyBorder="1" applyAlignment="1">
      <alignment horizontal="left" vertical="top" wrapText="1"/>
    </xf>
    <xf numFmtId="0" fontId="3" fillId="7" borderId="0" xfId="0" applyFont="1" applyFill="1" applyAlignment="1">
      <alignment horizontal="left" vertical="top" wrapText="1"/>
    </xf>
    <xf numFmtId="0" fontId="3" fillId="7" borderId="49" xfId="0" applyFont="1" applyFill="1" applyBorder="1" applyAlignment="1">
      <alignment horizontal="left" vertical="top" wrapText="1"/>
    </xf>
    <xf numFmtId="0" fontId="78" fillId="0" borderId="0" xfId="0" applyFont="1" applyFill="1" applyAlignment="1">
      <alignment vertical="top" wrapText="1"/>
    </xf>
    <xf numFmtId="0" fontId="3" fillId="7" borderId="13" xfId="0" applyFont="1" applyFill="1" applyBorder="1" applyAlignment="1">
      <alignment horizontal="left" vertical="top" wrapText="1"/>
    </xf>
    <xf numFmtId="0" fontId="3" fillId="7" borderId="24" xfId="0" applyFont="1" applyFill="1" applyBorder="1" applyAlignment="1">
      <alignment horizontal="left" vertical="top" wrapText="1"/>
    </xf>
    <xf numFmtId="0" fontId="3" fillId="7" borderId="96" xfId="0" applyFont="1" applyFill="1" applyBorder="1" applyAlignment="1">
      <alignment horizontal="left" vertical="top" wrapText="1"/>
    </xf>
    <xf numFmtId="0" fontId="19" fillId="7" borderId="57" xfId="0" applyFont="1" applyFill="1" applyBorder="1" applyAlignment="1">
      <alignment horizontal="center" vertical="center"/>
    </xf>
    <xf numFmtId="0" fontId="19" fillId="7" borderId="58" xfId="0" applyFont="1" applyFill="1" applyBorder="1" applyAlignment="1">
      <alignment horizontal="center" vertical="center"/>
    </xf>
    <xf numFmtId="0" fontId="19" fillId="7" borderId="59" xfId="0" applyFont="1" applyFill="1" applyBorder="1" applyAlignment="1">
      <alignment horizontal="center" vertical="center"/>
    </xf>
    <xf numFmtId="0" fontId="19" fillId="7" borderId="21" xfId="0" applyFont="1" applyFill="1" applyBorder="1" applyAlignment="1">
      <alignment horizontal="left" vertical="center"/>
    </xf>
    <xf numFmtId="0" fontId="19" fillId="7" borderId="13" xfId="0" applyFont="1" applyFill="1" applyBorder="1" applyAlignment="1">
      <alignment horizontal="left" vertical="center"/>
    </xf>
    <xf numFmtId="0" fontId="52" fillId="43" borderId="61" xfId="0" applyFont="1" applyFill="1" applyBorder="1" applyAlignment="1">
      <alignment horizontal="left" vertical="top" wrapText="1"/>
    </xf>
    <xf numFmtId="0" fontId="78" fillId="43" borderId="0" xfId="0" applyFont="1" applyFill="1" applyBorder="1" applyAlignment="1">
      <alignment horizontal="left" vertical="top" wrapText="1"/>
    </xf>
    <xf numFmtId="0" fontId="78" fillId="43" borderId="47" xfId="0" applyFont="1" applyFill="1" applyBorder="1" applyAlignment="1">
      <alignment horizontal="left" vertical="top" wrapText="1"/>
    </xf>
    <xf numFmtId="0" fontId="24" fillId="35" borderId="0" xfId="0" applyFont="1" applyFill="1" applyAlignment="1">
      <alignment horizontal="center" vertical="center"/>
    </xf>
    <xf numFmtId="0" fontId="24" fillId="17" borderId="0" xfId="0" applyFont="1" applyFill="1" applyAlignment="1">
      <alignment horizontal="center" vertical="center"/>
    </xf>
    <xf numFmtId="0" fontId="19" fillId="7" borderId="10" xfId="0" applyFont="1" applyFill="1" applyBorder="1" applyAlignment="1">
      <alignment horizontal="left" vertical="center"/>
    </xf>
    <xf numFmtId="0" fontId="19" fillId="7" borderId="11" xfId="0" applyFont="1" applyFill="1" applyBorder="1" applyAlignment="1">
      <alignment horizontal="left" vertical="center"/>
    </xf>
    <xf numFmtId="0" fontId="78" fillId="43" borderId="61" xfId="0" applyFont="1" applyFill="1" applyBorder="1" applyAlignment="1">
      <alignment horizontal="left" vertical="top" wrapText="1"/>
    </xf>
    <xf numFmtId="0" fontId="79" fillId="0" borderId="22" xfId="0" applyFont="1" applyFill="1" applyBorder="1" applyAlignment="1">
      <alignment horizontal="center" vertical="top" wrapText="1"/>
    </xf>
    <xf numFmtId="0" fontId="79" fillId="0" borderId="23" xfId="0" applyFont="1" applyFill="1" applyBorder="1" applyAlignment="1">
      <alignment horizontal="center" vertical="top" wrapText="1"/>
    </xf>
    <xf numFmtId="0" fontId="79" fillId="0" borderId="95" xfId="0" applyFont="1" applyFill="1" applyBorder="1" applyAlignment="1">
      <alignment horizontal="center" vertical="top" wrapText="1"/>
    </xf>
    <xf numFmtId="0" fontId="79" fillId="0" borderId="0" xfId="0" applyFont="1" applyFill="1" applyAlignment="1">
      <alignment horizontal="center" vertical="top" wrapText="1"/>
    </xf>
    <xf numFmtId="0" fontId="79" fillId="0" borderId="0" xfId="0" applyFont="1" applyFill="1" applyBorder="1" applyAlignment="1">
      <alignment horizontal="center" vertical="top" wrapText="1"/>
    </xf>
    <xf numFmtId="0" fontId="78" fillId="43" borderId="99" xfId="0" applyFont="1" applyFill="1" applyBorder="1" applyAlignment="1">
      <alignment horizontal="left" vertical="top" wrapText="1"/>
    </xf>
    <xf numFmtId="0" fontId="78" fillId="43" borderId="100" xfId="0" applyFont="1" applyFill="1" applyBorder="1" applyAlignment="1">
      <alignment horizontal="left" vertical="top" wrapText="1"/>
    </xf>
    <xf numFmtId="0" fontId="78" fillId="43" borderId="101" xfId="0" applyFont="1" applyFill="1" applyBorder="1" applyAlignment="1">
      <alignment horizontal="left" vertical="top" wrapText="1"/>
    </xf>
    <xf numFmtId="0" fontId="19" fillId="7" borderId="17" xfId="0" applyFont="1" applyFill="1" applyBorder="1" applyAlignment="1">
      <alignment horizontal="left" vertical="center"/>
    </xf>
    <xf numFmtId="0" fontId="19" fillId="7" borderId="18" xfId="0" applyFont="1" applyFill="1" applyBorder="1" applyAlignment="1">
      <alignment horizontal="left" vertical="center"/>
    </xf>
    <xf numFmtId="0" fontId="19" fillId="7" borderId="52" xfId="0" applyFont="1" applyFill="1" applyBorder="1" applyAlignment="1">
      <alignment horizontal="left" vertical="center"/>
    </xf>
    <xf numFmtId="0" fontId="78" fillId="43" borderId="8" xfId="0" applyFont="1" applyFill="1" applyBorder="1" applyAlignment="1">
      <alignment horizontal="left" vertical="top" wrapText="1"/>
    </xf>
    <xf numFmtId="0" fontId="78" fillId="43" borderId="60" xfId="0" applyFont="1" applyFill="1" applyBorder="1" applyAlignment="1">
      <alignment horizontal="left" vertical="top" wrapText="1"/>
    </xf>
    <xf numFmtId="0" fontId="19" fillId="7" borderId="9" xfId="0" applyFont="1" applyFill="1" applyBorder="1" applyAlignment="1">
      <alignment horizontal="left" vertical="center"/>
    </xf>
    <xf numFmtId="0" fontId="19" fillId="7" borderId="53" xfId="0" applyFont="1" applyFill="1" applyBorder="1" applyAlignment="1">
      <alignment horizontal="left" vertical="center"/>
    </xf>
    <xf numFmtId="0" fontId="21" fillId="17" borderId="0" xfId="0" applyFont="1" applyFill="1" applyAlignment="1">
      <alignment horizontal="center" vertical="center"/>
    </xf>
    <xf numFmtId="0" fontId="21" fillId="35" borderId="0" xfId="0" applyFont="1" applyFill="1" applyAlignment="1">
      <alignment horizontal="center" vertical="center"/>
    </xf>
    <xf numFmtId="0" fontId="79" fillId="0" borderId="9" xfId="0" applyFont="1" applyFill="1" applyBorder="1" applyAlignment="1">
      <alignment horizontal="center" vertical="top" wrapText="1"/>
    </xf>
    <xf numFmtId="0" fontId="79" fillId="0" borderId="10" xfId="0" applyFont="1" applyFill="1" applyBorder="1" applyAlignment="1">
      <alignment horizontal="center" vertical="top" wrapText="1"/>
    </xf>
    <xf numFmtId="0" fontId="79" fillId="0" borderId="53" xfId="0" applyFont="1" applyFill="1" applyBorder="1" applyAlignment="1">
      <alignment horizontal="center" vertical="top" wrapText="1"/>
    </xf>
    <xf numFmtId="3" fontId="21" fillId="0" borderId="0" xfId="0" applyNumberFormat="1" applyFont="1" applyFill="1" applyAlignment="1">
      <alignment horizontal="center" vertical="center"/>
    </xf>
    <xf numFmtId="0" fontId="21" fillId="0" borderId="0" xfId="0" applyFont="1" applyFill="1" applyAlignment="1">
      <alignment horizontal="center" vertical="center"/>
    </xf>
    <xf numFmtId="10" fontId="0" fillId="0" borderId="0" xfId="0" applyNumberFormat="1" applyFont="1" applyFill="1" applyAlignment="1">
      <alignment vertical="center"/>
    </xf>
    <xf numFmtId="10" fontId="21" fillId="35" borderId="0" xfId="3" applyNumberFormat="1" applyFont="1" applyFill="1" applyAlignment="1">
      <alignment horizontal="center" vertical="center"/>
    </xf>
    <xf numFmtId="4" fontId="21" fillId="0" borderId="0" xfId="0" applyNumberFormat="1" applyFont="1" applyFill="1" applyAlignment="1">
      <alignment horizontal="center" vertical="center"/>
    </xf>
    <xf numFmtId="9" fontId="0" fillId="0" borderId="0" xfId="0" applyNumberFormat="1" applyFont="1" applyFill="1" applyAlignment="1">
      <alignment vertical="center"/>
    </xf>
    <xf numFmtId="0" fontId="79" fillId="0" borderId="14" xfId="0" applyFont="1" applyFill="1" applyBorder="1" applyAlignment="1">
      <alignment horizontal="center" vertical="top" wrapText="1"/>
    </xf>
    <xf numFmtId="0" fontId="79" fillId="0" borderId="15" xfId="0" applyFont="1" applyFill="1" applyBorder="1" applyAlignment="1">
      <alignment horizontal="center" vertical="top" wrapText="1"/>
    </xf>
    <xf numFmtId="0" fontId="79" fillId="0" borderId="56" xfId="0" applyFont="1" applyFill="1" applyBorder="1" applyAlignment="1">
      <alignment horizontal="center" vertical="top" wrapText="1"/>
    </xf>
    <xf numFmtId="0" fontId="32" fillId="0" borderId="7" xfId="0" applyFont="1" applyFill="1" applyBorder="1" applyAlignment="1">
      <alignment horizontal="left" vertical="top" wrapText="1"/>
    </xf>
    <xf numFmtId="0" fontId="3" fillId="0" borderId="8" xfId="0" applyFont="1" applyFill="1" applyBorder="1" applyAlignment="1">
      <alignment horizontal="left" vertical="top"/>
    </xf>
    <xf numFmtId="0" fontId="3" fillId="0" borderId="60" xfId="0" applyFont="1" applyFill="1" applyBorder="1" applyAlignment="1">
      <alignment horizontal="left" vertical="top"/>
    </xf>
    <xf numFmtId="0" fontId="3" fillId="0" borderId="61" xfId="0" applyFont="1" applyFill="1" applyBorder="1" applyAlignment="1">
      <alignment horizontal="left" vertical="top"/>
    </xf>
    <xf numFmtId="0" fontId="3" fillId="0" borderId="0" xfId="0" applyFont="1" applyFill="1" applyAlignment="1">
      <alignment horizontal="left" vertical="top"/>
    </xf>
    <xf numFmtId="0" fontId="3" fillId="0" borderId="47" xfId="0" applyFont="1" applyFill="1" applyBorder="1" applyAlignment="1">
      <alignment horizontal="left" vertical="top"/>
    </xf>
    <xf numFmtId="0" fontId="79" fillId="0" borderId="50" xfId="0" applyFont="1" applyFill="1" applyBorder="1" applyAlignment="1">
      <alignment horizontal="center" vertical="top" wrapText="1"/>
    </xf>
    <xf numFmtId="0" fontId="79" fillId="0" borderId="49" xfId="0" applyFont="1" applyFill="1" applyBorder="1" applyAlignment="1">
      <alignment horizontal="center" vertical="top" wrapText="1"/>
    </xf>
    <xf numFmtId="0" fontId="79" fillId="0" borderId="13" xfId="0" applyFont="1" applyFill="1" applyBorder="1" applyAlignment="1">
      <alignment horizontal="center" vertical="top" wrapText="1"/>
    </xf>
    <xf numFmtId="0" fontId="79" fillId="0" borderId="24" xfId="0" applyFont="1" applyFill="1" applyBorder="1" applyAlignment="1">
      <alignment horizontal="center" vertical="top" wrapText="1"/>
    </xf>
    <xf numFmtId="0" fontId="79" fillId="0" borderId="96" xfId="0" applyFont="1" applyFill="1" applyBorder="1" applyAlignment="1">
      <alignment horizontal="center" vertical="top" wrapText="1"/>
    </xf>
    <xf numFmtId="0" fontId="0" fillId="0" borderId="11" xfId="0" applyFont="1" applyFill="1" applyBorder="1" applyAlignment="1">
      <alignment horizontal="center" vertical="center"/>
    </xf>
    <xf numFmtId="0" fontId="0" fillId="0" borderId="17" xfId="0" applyFont="1" applyFill="1" applyBorder="1" applyAlignment="1">
      <alignment horizontal="center" vertical="center"/>
    </xf>
    <xf numFmtId="0" fontId="0" fillId="0" borderId="18" xfId="0" applyFont="1" applyFill="1" applyBorder="1" applyAlignment="1">
      <alignment horizontal="center" vertical="center"/>
    </xf>
    <xf numFmtId="0" fontId="0" fillId="0" borderId="52"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53" xfId="0" applyFont="1" applyFill="1" applyBorder="1" applyAlignment="1">
      <alignment horizontal="center" vertical="center"/>
    </xf>
    <xf numFmtId="0" fontId="0" fillId="0" borderId="19" xfId="0" applyFont="1" applyFill="1" applyBorder="1" applyAlignment="1">
      <alignment horizontal="center" vertical="center"/>
    </xf>
    <xf numFmtId="0" fontId="0" fillId="0" borderId="22"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56" xfId="0" applyFont="1" applyFill="1" applyBorder="1" applyAlignment="1">
      <alignment horizontal="center" vertical="center"/>
    </xf>
    <xf numFmtId="0" fontId="3" fillId="0" borderId="99" xfId="0" applyFont="1" applyFill="1" applyBorder="1" applyAlignment="1">
      <alignment horizontal="left" vertical="top"/>
    </xf>
    <xf numFmtId="0" fontId="3" fillId="0" borderId="100" xfId="0" applyFont="1" applyFill="1" applyBorder="1" applyAlignment="1">
      <alignment horizontal="left" vertical="top"/>
    </xf>
    <xf numFmtId="0" fontId="3" fillId="0" borderId="101" xfId="0" applyFont="1" applyFill="1" applyBorder="1" applyAlignment="1">
      <alignment horizontal="left" vertical="top"/>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60" xfId="0" applyFont="1" applyFill="1" applyBorder="1" applyAlignment="1">
      <alignment horizontal="center" vertical="center"/>
    </xf>
    <xf numFmtId="0" fontId="3" fillId="0" borderId="0" xfId="0" applyFont="1" applyFill="1" applyAlignment="1">
      <alignment horizontal="center" vertical="top"/>
    </xf>
    <xf numFmtId="0" fontId="0" fillId="0" borderId="61"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47" xfId="0" applyFont="1" applyFill="1" applyBorder="1" applyAlignment="1">
      <alignment horizontal="center" vertical="center"/>
    </xf>
    <xf numFmtId="0" fontId="0" fillId="0" borderId="51" xfId="0" applyFont="1" applyFill="1" applyBorder="1" applyAlignment="1">
      <alignment horizontal="center" vertical="center"/>
    </xf>
    <xf numFmtId="0" fontId="0" fillId="0" borderId="12" xfId="0" applyFont="1" applyFill="1" applyBorder="1" applyAlignment="1">
      <alignment horizontal="center" vertical="center"/>
    </xf>
    <xf numFmtId="0" fontId="0" fillId="0" borderId="98" xfId="0" applyFont="1" applyFill="1" applyBorder="1" applyAlignment="1">
      <alignment horizontal="center" vertical="center"/>
    </xf>
    <xf numFmtId="203" fontId="19" fillId="7" borderId="10" xfId="0" applyNumberFormat="1" applyFont="1" applyFill="1" applyBorder="1" applyAlignment="1">
      <alignment horizontal="center" vertical="center"/>
    </xf>
    <xf numFmtId="203" fontId="30" fillId="43" borderId="10" xfId="0" applyNumberFormat="1" applyFont="1" applyFill="1" applyBorder="1" applyAlignment="1">
      <alignment horizontal="center" vertical="center"/>
    </xf>
    <xf numFmtId="203" fontId="3" fillId="0" borderId="10" xfId="0" applyNumberFormat="1" applyFont="1" applyFill="1" applyBorder="1" applyAlignment="1">
      <alignment horizontal="center" vertical="center"/>
    </xf>
    <xf numFmtId="183" fontId="3" fillId="0" borderId="10" xfId="0" applyNumberFormat="1" applyFont="1" applyFill="1" applyBorder="1" applyAlignment="1">
      <alignment horizontal="center" vertical="center" wrapText="1"/>
    </xf>
    <xf numFmtId="203" fontId="30" fillId="0" borderId="0" xfId="0" applyNumberFormat="1" applyFont="1" applyFill="1" applyAlignment="1">
      <alignment horizontal="center" vertical="center"/>
    </xf>
    <xf numFmtId="0" fontId="19" fillId="43" borderId="22" xfId="0" applyFont="1" applyFill="1" applyBorder="1" applyAlignment="1">
      <alignment horizontal="center" vertical="center"/>
    </xf>
    <xf numFmtId="0" fontId="19" fillId="43" borderId="23" xfId="0" applyFont="1" applyFill="1" applyBorder="1" applyAlignment="1">
      <alignment horizontal="center" vertical="center"/>
    </xf>
    <xf numFmtId="0" fontId="19" fillId="43" borderId="50" xfId="0" applyFont="1" applyFill="1" applyBorder="1" applyAlignment="1">
      <alignment horizontal="center" vertical="center"/>
    </xf>
    <xf numFmtId="0" fontId="19" fillId="43" borderId="95" xfId="0" applyFont="1" applyFill="1" applyBorder="1" applyAlignment="1">
      <alignment horizontal="center" vertical="center"/>
    </xf>
    <xf numFmtId="0" fontId="19" fillId="43" borderId="0" xfId="0" applyFont="1" applyFill="1" applyBorder="1" applyAlignment="1">
      <alignment horizontal="center" vertical="center"/>
    </xf>
    <xf numFmtId="0" fontId="19" fillId="43" borderId="49" xfId="0" applyFont="1" applyFill="1" applyBorder="1" applyAlignment="1">
      <alignment horizontal="center" vertical="center"/>
    </xf>
    <xf numFmtId="0" fontId="3" fillId="43" borderId="22" xfId="0" applyFont="1" applyFill="1" applyBorder="1" applyAlignment="1">
      <alignment horizontal="left" vertical="top" wrapText="1" indent="2"/>
    </xf>
    <xf numFmtId="0" fontId="3" fillId="43" borderId="23" xfId="0" applyFont="1" applyFill="1" applyBorder="1" applyAlignment="1">
      <alignment horizontal="left" vertical="top" wrapText="1" indent="2"/>
    </xf>
    <xf numFmtId="0" fontId="3" fillId="43" borderId="50" xfId="0" applyFont="1" applyFill="1" applyBorder="1" applyAlignment="1">
      <alignment horizontal="left" vertical="top" wrapText="1" indent="2"/>
    </xf>
    <xf numFmtId="0" fontId="3" fillId="43" borderId="95" xfId="0" applyFont="1" applyFill="1" applyBorder="1" applyAlignment="1">
      <alignment horizontal="left" vertical="top" wrapText="1" indent="2"/>
    </xf>
    <xf numFmtId="0" fontId="3" fillId="43" borderId="0" xfId="0" applyFont="1" applyFill="1" applyAlignment="1">
      <alignment horizontal="left" vertical="top" wrapText="1" indent="2"/>
    </xf>
    <xf numFmtId="0" fontId="3" fillId="43" borderId="49" xfId="0" applyFont="1" applyFill="1" applyBorder="1" applyAlignment="1">
      <alignment horizontal="left" vertical="top" wrapText="1" indent="2"/>
    </xf>
    <xf numFmtId="0" fontId="0" fillId="0" borderId="0" xfId="0" applyFont="1" applyFill="1" applyAlignment="1">
      <alignment horizontal="left" vertical="center" indent="2"/>
    </xf>
    <xf numFmtId="0" fontId="3" fillId="43" borderId="13" xfId="0" applyFont="1" applyFill="1" applyBorder="1" applyAlignment="1">
      <alignment horizontal="left" vertical="top" wrapText="1" indent="2"/>
    </xf>
    <xf numFmtId="0" fontId="3" fillId="43" borderId="24" xfId="0" applyFont="1" applyFill="1" applyBorder="1" applyAlignment="1">
      <alignment horizontal="left" vertical="top" wrapText="1" indent="2"/>
    </xf>
    <xf numFmtId="0" fontId="3" fillId="43" borderId="96" xfId="0" applyFont="1" applyFill="1" applyBorder="1" applyAlignment="1">
      <alignment horizontal="left" vertical="top" wrapText="1" indent="2"/>
    </xf>
    <xf numFmtId="0" fontId="80" fillId="0" borderId="0" xfId="0" applyFont="1" applyFill="1" applyAlignment="1">
      <alignment vertical="center"/>
    </xf>
    <xf numFmtId="0" fontId="81" fillId="0" borderId="0" xfId="0"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dxfs count="219">
    <dxf>
      <font>
        <name val="微软雅黑"/>
        <scheme val="none"/>
      </font>
    </dxf>
    <dxf>
      <font>
        <sz val="10"/>
      </font>
    </dxf>
    <dxf>
      <font>
        <sz val="11"/>
      </font>
    </dxf>
    <dxf>
      <font>
        <name val="微软雅黑"/>
        <scheme val="none"/>
      </font>
    </dxf>
    <dxf>
      <font>
        <sz val="10"/>
      </font>
    </dxf>
    <dxf>
      <font>
        <sz val="11"/>
      </font>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ont>
        <name val="微软雅黑"/>
        <scheme val="none"/>
      </font>
    </dxf>
    <dxf>
      <font>
        <sz val="10"/>
      </font>
    </dxf>
    <dxf>
      <font>
        <sz val="11"/>
      </font>
    </dxf>
    <dxf>
      <font>
        <name val="微软雅黑"/>
        <scheme val="none"/>
      </font>
    </dxf>
    <dxf>
      <font>
        <sz val="10"/>
      </font>
    </dxf>
    <dxf>
      <font>
        <sz val="11"/>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ont>
        <name val="微软雅黑"/>
        <scheme val="none"/>
      </font>
    </dxf>
    <dxf>
      <font>
        <sz val="10"/>
      </font>
    </dxf>
    <dxf>
      <font>
        <sz val="11"/>
      </font>
    </dxf>
    <dxf>
      <font>
        <name val="微软雅黑"/>
        <scheme val="none"/>
      </font>
    </dxf>
    <dxf>
      <font>
        <name val="微软雅黑"/>
        <scheme val="none"/>
      </font>
    </dxf>
    <dxf>
      <numFmt numFmtId="179" formatCode="0.00_ "/>
    </dxf>
    <dxf>
      <numFmt numFmtId="179" formatCode="0.00_ "/>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name val="微软雅黑"/>
        <scheme val="none"/>
      </font>
    </dxf>
    <dxf>
      <numFmt numFmtId="179" formatCode="0.00_ "/>
    </dxf>
    <dxf>
      <numFmt numFmtId="179" formatCode="0.00_ "/>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font>
        <name val="微软雅黑"/>
        <scheme val="none"/>
      </font>
    </dxf>
    <dxf>
      <font>
        <sz val="10"/>
      </font>
    </dxf>
    <dxf>
      <font>
        <sz val="11"/>
      </font>
    </dxf>
    <dxf>
      <font>
        <name val="微软雅黑"/>
        <scheme val="none"/>
      </font>
    </dxf>
    <dxf>
      <font>
        <name val="微软雅黑"/>
        <scheme val="none"/>
      </font>
    </dxf>
    <dxf>
      <numFmt numFmtId="179" formatCode="0.00_ "/>
    </dxf>
    <dxf>
      <numFmt numFmtId="179" formatCode="0.00_ "/>
    </dxf>
    <dxf>
      <font>
        <name val="微软雅黑"/>
        <scheme val="none"/>
      </font>
    </dxf>
    <dxf>
      <font>
        <sz val="10"/>
      </font>
    </dxf>
    <dxf>
      <font>
        <sz val="11"/>
      </font>
    </dxf>
    <dxf>
      <border>
        <left/>
        <right/>
        <top/>
        <bottom/>
      </border>
    </dxf>
    <dxf/>
    <dxf>
      <font>
        <sz val="11"/>
      </font>
    </dxf>
    <dxf>
      <font>
        <name val="微软雅黑"/>
        <scheme val="none"/>
      </font>
    </dxf>
    <dxf>
      <font>
        <name val="微软雅黑"/>
        <scheme val="none"/>
      </font>
    </dxf>
    <dxf>
      <font>
        <sz val="10"/>
      </font>
    </dxf>
    <dxf>
      <font>
        <sz val="11"/>
      </font>
    </dxf>
    <dxf>
      <font>
        <name val="微软雅黑"/>
        <scheme val="none"/>
      </font>
    </dxf>
    <dxf>
      <font>
        <sz val="10"/>
      </font>
    </dxf>
    <dxf>
      <font>
        <sz val="11"/>
      </font>
    </dxf>
    <dxf>
      <font>
        <name val="微软雅黑"/>
        <scheme val="none"/>
      </font>
    </dxf>
    <dxf>
      <font>
        <sz val="10"/>
      </font>
    </dxf>
    <dxf>
      <font>
        <sz val="11"/>
      </font>
    </dxf>
    <dxf>
      <fill>
        <patternFill patternType="solid">
          <bgColor theme="6"/>
        </patternFill>
      </fill>
    </dxf>
    <dxf>
      <fill>
        <patternFill patternType="solid">
          <bgColor theme="6"/>
        </patternFill>
      </fill>
    </dxf>
    <dxf>
      <fill>
        <patternFill patternType="none"/>
      </fill>
    </dxf>
    <dxf>
      <fill>
        <patternFill patternType="none"/>
      </fill>
    </dxf>
    <dxf>
      <fill>
        <patternFill patternType="solid">
          <bgColor theme="6"/>
        </patternFill>
      </fill>
    </dxf>
    <dxf>
      <fill>
        <patternFill patternType="solid">
          <bgColor theme="6"/>
        </patternFill>
      </fill>
    </dxf>
    <dxf>
      <fill>
        <patternFill patternType="none"/>
      </fill>
    </dxf>
    <dxf>
      <fill>
        <patternFill patternType="none"/>
      </fill>
    </dxf>
    <dxf>
      <border>
        <left/>
        <right/>
        <top/>
        <bottom/>
      </border>
    </dxf>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微软雅黑"/>
        <scheme val="none"/>
      </font>
    </dxf>
    <dxf>
      <font>
        <sz val="10"/>
      </font>
    </dxf>
    <dxf>
      <font>
        <sz val="11"/>
      </font>
    </dxf>
    <dxf>
      <font>
        <name val="微软雅黑"/>
        <scheme val="none"/>
      </font>
    </dxf>
    <dxf>
      <font>
        <sz val="10"/>
      </font>
    </dxf>
    <dxf>
      <font>
        <sz val="11"/>
      </font>
    </dxf>
    <dxf>
      <font>
        <name val="微软雅黑"/>
        <scheme val="none"/>
      </font>
    </dxf>
    <dxf>
      <font>
        <sz val="10"/>
      </font>
    </dxf>
    <dxf>
      <font>
        <sz val="11"/>
      </font>
    </dxf>
    <dxf>
      <font>
        <name val="微软雅黑"/>
        <scheme val="none"/>
      </font>
    </dxf>
    <dxf>
      <font>
        <name val="微软雅黑"/>
        <scheme val="none"/>
      </font>
    </dxf>
    <dxf>
      <font>
        <sz val="10"/>
      </font>
    </dxf>
    <dxf>
      <font>
        <sz val="11"/>
      </font>
    </dxf>
    <dxf>
      <fill>
        <patternFill patternType="solid">
          <bgColor theme="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523.jpeg"/><Relationship Id="rId98" Type="http://schemas.openxmlformats.org/officeDocument/2006/relationships/image" Target="media/image522.jpeg"/><Relationship Id="rId97" Type="http://schemas.openxmlformats.org/officeDocument/2006/relationships/image" Target="media/image521.jpeg"/><Relationship Id="rId96" Type="http://schemas.openxmlformats.org/officeDocument/2006/relationships/image" Target="media/image520.jpeg"/><Relationship Id="rId95" Type="http://schemas.openxmlformats.org/officeDocument/2006/relationships/image" Target="media/image519.jpeg"/><Relationship Id="rId94" Type="http://schemas.openxmlformats.org/officeDocument/2006/relationships/image" Target="media/image518.jpeg"/><Relationship Id="rId93" Type="http://schemas.openxmlformats.org/officeDocument/2006/relationships/image" Target="media/image517.jpeg"/><Relationship Id="rId92" Type="http://schemas.openxmlformats.org/officeDocument/2006/relationships/image" Target="media/image516.jpeg"/><Relationship Id="rId91" Type="http://schemas.openxmlformats.org/officeDocument/2006/relationships/image" Target="media/image515.jpeg"/><Relationship Id="rId90" Type="http://schemas.openxmlformats.org/officeDocument/2006/relationships/image" Target="media/image514.jpeg"/><Relationship Id="rId9" Type="http://schemas.openxmlformats.org/officeDocument/2006/relationships/image" Target="media/image433.jpeg"/><Relationship Id="rId89" Type="http://schemas.openxmlformats.org/officeDocument/2006/relationships/image" Target="media/image513.jpeg"/><Relationship Id="rId88" Type="http://schemas.openxmlformats.org/officeDocument/2006/relationships/image" Target="media/image512.jpeg"/><Relationship Id="rId87" Type="http://schemas.openxmlformats.org/officeDocument/2006/relationships/image" Target="media/image511.jpeg"/><Relationship Id="rId86" Type="http://schemas.openxmlformats.org/officeDocument/2006/relationships/image" Target="media/image510.jpeg"/><Relationship Id="rId85" Type="http://schemas.openxmlformats.org/officeDocument/2006/relationships/image" Target="media/image509.jpeg"/><Relationship Id="rId84" Type="http://schemas.openxmlformats.org/officeDocument/2006/relationships/image" Target="media/image508.jpeg"/><Relationship Id="rId83" Type="http://schemas.openxmlformats.org/officeDocument/2006/relationships/image" Target="media/image507.jpeg"/><Relationship Id="rId82" Type="http://schemas.openxmlformats.org/officeDocument/2006/relationships/image" Target="media/image506.jpeg"/><Relationship Id="rId81" Type="http://schemas.openxmlformats.org/officeDocument/2006/relationships/image" Target="media/image505.jpeg"/><Relationship Id="rId80" Type="http://schemas.openxmlformats.org/officeDocument/2006/relationships/image" Target="media/image504.jpeg"/><Relationship Id="rId8" Type="http://schemas.openxmlformats.org/officeDocument/2006/relationships/image" Target="media/image432.jpeg"/><Relationship Id="rId79" Type="http://schemas.openxmlformats.org/officeDocument/2006/relationships/image" Target="media/image503.jpeg"/><Relationship Id="rId78" Type="http://schemas.openxmlformats.org/officeDocument/2006/relationships/image" Target="media/image502.jpeg"/><Relationship Id="rId77" Type="http://schemas.openxmlformats.org/officeDocument/2006/relationships/image" Target="media/image501.jpeg"/><Relationship Id="rId76" Type="http://schemas.openxmlformats.org/officeDocument/2006/relationships/image" Target="media/image500.jpeg"/><Relationship Id="rId75" Type="http://schemas.openxmlformats.org/officeDocument/2006/relationships/image" Target="media/image499.jpeg"/><Relationship Id="rId74" Type="http://schemas.openxmlformats.org/officeDocument/2006/relationships/image" Target="media/image498.jpeg"/><Relationship Id="rId73" Type="http://schemas.openxmlformats.org/officeDocument/2006/relationships/image" Target="media/image497.jpeg"/><Relationship Id="rId72" Type="http://schemas.openxmlformats.org/officeDocument/2006/relationships/image" Target="media/image496.jpeg"/><Relationship Id="rId71" Type="http://schemas.openxmlformats.org/officeDocument/2006/relationships/image" Target="media/image495.jpeg"/><Relationship Id="rId70" Type="http://schemas.openxmlformats.org/officeDocument/2006/relationships/image" Target="media/image494.jpeg"/><Relationship Id="rId7" Type="http://schemas.openxmlformats.org/officeDocument/2006/relationships/image" Target="media/image431.jpeg"/><Relationship Id="rId69" Type="http://schemas.openxmlformats.org/officeDocument/2006/relationships/image" Target="media/image493.jpeg"/><Relationship Id="rId68" Type="http://schemas.openxmlformats.org/officeDocument/2006/relationships/image" Target="media/image492.jpeg"/><Relationship Id="rId67" Type="http://schemas.openxmlformats.org/officeDocument/2006/relationships/image" Target="media/image491.jpeg"/><Relationship Id="rId66" Type="http://schemas.openxmlformats.org/officeDocument/2006/relationships/image" Target="media/image490.jpeg"/><Relationship Id="rId65" Type="http://schemas.openxmlformats.org/officeDocument/2006/relationships/image" Target="media/image489.jpeg"/><Relationship Id="rId64" Type="http://schemas.openxmlformats.org/officeDocument/2006/relationships/image" Target="media/image488.jpeg"/><Relationship Id="rId63" Type="http://schemas.openxmlformats.org/officeDocument/2006/relationships/image" Target="media/image487.jpeg"/><Relationship Id="rId62" Type="http://schemas.openxmlformats.org/officeDocument/2006/relationships/image" Target="media/image486.jpeg"/><Relationship Id="rId61" Type="http://schemas.openxmlformats.org/officeDocument/2006/relationships/image" Target="media/image485.jpeg"/><Relationship Id="rId60" Type="http://schemas.openxmlformats.org/officeDocument/2006/relationships/image" Target="media/image484.jpeg"/><Relationship Id="rId6" Type="http://schemas.openxmlformats.org/officeDocument/2006/relationships/image" Target="media/image430.jpeg"/><Relationship Id="rId59" Type="http://schemas.openxmlformats.org/officeDocument/2006/relationships/image" Target="media/image483.jpeg"/><Relationship Id="rId58" Type="http://schemas.openxmlformats.org/officeDocument/2006/relationships/image" Target="media/image482.jpeg"/><Relationship Id="rId57" Type="http://schemas.openxmlformats.org/officeDocument/2006/relationships/image" Target="media/image481.jpeg"/><Relationship Id="rId56" Type="http://schemas.openxmlformats.org/officeDocument/2006/relationships/image" Target="media/image480.jpeg"/><Relationship Id="rId55" Type="http://schemas.openxmlformats.org/officeDocument/2006/relationships/image" Target="media/image479.jpeg"/><Relationship Id="rId54" Type="http://schemas.openxmlformats.org/officeDocument/2006/relationships/image" Target="media/image478.jpeg"/><Relationship Id="rId53" Type="http://schemas.openxmlformats.org/officeDocument/2006/relationships/image" Target="media/image477.jpeg"/><Relationship Id="rId52" Type="http://schemas.openxmlformats.org/officeDocument/2006/relationships/image" Target="media/image476.jpeg"/><Relationship Id="rId51" Type="http://schemas.openxmlformats.org/officeDocument/2006/relationships/image" Target="media/image475.jpeg"/><Relationship Id="rId50" Type="http://schemas.openxmlformats.org/officeDocument/2006/relationships/image" Target="media/image474.jpeg"/><Relationship Id="rId5" Type="http://schemas.openxmlformats.org/officeDocument/2006/relationships/image" Target="media/image429.jpeg"/><Relationship Id="rId49" Type="http://schemas.openxmlformats.org/officeDocument/2006/relationships/image" Target="media/image473.jpeg"/><Relationship Id="rId48" Type="http://schemas.openxmlformats.org/officeDocument/2006/relationships/image" Target="media/image472.jpeg"/><Relationship Id="rId47" Type="http://schemas.openxmlformats.org/officeDocument/2006/relationships/image" Target="media/image471.jpeg"/><Relationship Id="rId46" Type="http://schemas.openxmlformats.org/officeDocument/2006/relationships/image" Target="media/image470.jpeg"/><Relationship Id="rId45" Type="http://schemas.openxmlformats.org/officeDocument/2006/relationships/image" Target="media/image469.jpeg"/><Relationship Id="rId44" Type="http://schemas.openxmlformats.org/officeDocument/2006/relationships/image" Target="media/image468.jpeg"/><Relationship Id="rId43" Type="http://schemas.openxmlformats.org/officeDocument/2006/relationships/image" Target="media/image467.jpeg"/><Relationship Id="rId42" Type="http://schemas.openxmlformats.org/officeDocument/2006/relationships/image" Target="media/image466.jpeg"/><Relationship Id="rId41" Type="http://schemas.openxmlformats.org/officeDocument/2006/relationships/image" Target="media/image465.jpeg"/><Relationship Id="rId404" Type="http://schemas.openxmlformats.org/officeDocument/2006/relationships/image" Target="media/image409.png"/><Relationship Id="rId403" Type="http://schemas.openxmlformats.org/officeDocument/2006/relationships/image" Target="media/image630.png"/><Relationship Id="rId402" Type="http://schemas.openxmlformats.org/officeDocument/2006/relationships/image" Target="media/image629.png"/><Relationship Id="rId401" Type="http://schemas.openxmlformats.org/officeDocument/2006/relationships/image" Target="media/image628.jpeg"/><Relationship Id="rId400" Type="http://schemas.openxmlformats.org/officeDocument/2006/relationships/image" Target="media/image627.jpeg"/><Relationship Id="rId40" Type="http://schemas.openxmlformats.org/officeDocument/2006/relationships/image" Target="media/image464.jpeg"/><Relationship Id="rId4" Type="http://schemas.openxmlformats.org/officeDocument/2006/relationships/image" Target="media/image428.jpeg"/><Relationship Id="rId399" Type="http://schemas.openxmlformats.org/officeDocument/2006/relationships/image" Target="media/image626.png"/><Relationship Id="rId398" Type="http://schemas.openxmlformats.org/officeDocument/2006/relationships/image" Target="media/image625.jpeg"/><Relationship Id="rId397" Type="http://schemas.openxmlformats.org/officeDocument/2006/relationships/image" Target="media/image408.png"/><Relationship Id="rId396" Type="http://schemas.openxmlformats.org/officeDocument/2006/relationships/image" Target="media/image624.png"/><Relationship Id="rId395" Type="http://schemas.openxmlformats.org/officeDocument/2006/relationships/image" Target="media/image623.jpeg"/><Relationship Id="rId394" Type="http://schemas.openxmlformats.org/officeDocument/2006/relationships/image" Target="media/image622.png"/><Relationship Id="rId393" Type="http://schemas.openxmlformats.org/officeDocument/2006/relationships/image" Target="media/image621.png"/><Relationship Id="rId392" Type="http://schemas.openxmlformats.org/officeDocument/2006/relationships/image" Target="media/image620.png"/><Relationship Id="rId391" Type="http://schemas.openxmlformats.org/officeDocument/2006/relationships/image" Target="media/image619.png"/><Relationship Id="rId390" Type="http://schemas.openxmlformats.org/officeDocument/2006/relationships/image" Target="media/image618.png"/><Relationship Id="rId39" Type="http://schemas.openxmlformats.org/officeDocument/2006/relationships/image" Target="media/image463.jpeg"/><Relationship Id="rId389" Type="http://schemas.openxmlformats.org/officeDocument/2006/relationships/image" Target="media/image617.png"/><Relationship Id="rId388" Type="http://schemas.openxmlformats.org/officeDocument/2006/relationships/image" Target="media/image616.png"/><Relationship Id="rId387" Type="http://schemas.openxmlformats.org/officeDocument/2006/relationships/image" Target="media/image615.png"/><Relationship Id="rId386" Type="http://schemas.openxmlformats.org/officeDocument/2006/relationships/image" Target="media/image614.png"/><Relationship Id="rId385" Type="http://schemas.openxmlformats.org/officeDocument/2006/relationships/image" Target="media/image613.png"/><Relationship Id="rId384" Type="http://schemas.openxmlformats.org/officeDocument/2006/relationships/image" Target="media/image612.png"/><Relationship Id="rId383" Type="http://schemas.openxmlformats.org/officeDocument/2006/relationships/image" Target="media/image611.png"/><Relationship Id="rId382" Type="http://schemas.openxmlformats.org/officeDocument/2006/relationships/image" Target="media/image610.png"/><Relationship Id="rId381" Type="http://schemas.openxmlformats.org/officeDocument/2006/relationships/image" Target="media/image609.png"/><Relationship Id="rId380" Type="http://schemas.openxmlformats.org/officeDocument/2006/relationships/image" Target="media/image608.png"/><Relationship Id="rId38" Type="http://schemas.openxmlformats.org/officeDocument/2006/relationships/image" Target="media/image462.jpeg"/><Relationship Id="rId379" Type="http://schemas.openxmlformats.org/officeDocument/2006/relationships/image" Target="media/image607.png"/><Relationship Id="rId378" Type="http://schemas.openxmlformats.org/officeDocument/2006/relationships/image" Target="media/image606.png"/><Relationship Id="rId377" Type="http://schemas.openxmlformats.org/officeDocument/2006/relationships/image" Target="media/image605.png"/><Relationship Id="rId376" Type="http://schemas.openxmlformats.org/officeDocument/2006/relationships/image" Target="media/image604.png"/><Relationship Id="rId375" Type="http://schemas.openxmlformats.org/officeDocument/2006/relationships/image" Target="media/image603.png"/><Relationship Id="rId374" Type="http://schemas.openxmlformats.org/officeDocument/2006/relationships/image" Target="media/image602.png"/><Relationship Id="rId373" Type="http://schemas.openxmlformats.org/officeDocument/2006/relationships/image" Target="media/image601.png"/><Relationship Id="rId372" Type="http://schemas.openxmlformats.org/officeDocument/2006/relationships/image" Target="media/image600.png"/><Relationship Id="rId371" Type="http://schemas.openxmlformats.org/officeDocument/2006/relationships/image" Target="media/image599.png"/><Relationship Id="rId370" Type="http://schemas.openxmlformats.org/officeDocument/2006/relationships/image" Target="media/image598.png"/><Relationship Id="rId37" Type="http://schemas.openxmlformats.org/officeDocument/2006/relationships/image" Target="media/image461.jpeg"/><Relationship Id="rId369" Type="http://schemas.openxmlformats.org/officeDocument/2006/relationships/image" Target="media/image597.png"/><Relationship Id="rId368" Type="http://schemas.openxmlformats.org/officeDocument/2006/relationships/image" Target="media/image596.png"/><Relationship Id="rId367" Type="http://schemas.openxmlformats.org/officeDocument/2006/relationships/image" Target="media/image595.png"/><Relationship Id="rId366" Type="http://schemas.openxmlformats.org/officeDocument/2006/relationships/image" Target="media/image594.png"/><Relationship Id="rId365" Type="http://schemas.openxmlformats.org/officeDocument/2006/relationships/image" Target="media/image593.png"/><Relationship Id="rId364" Type="http://schemas.openxmlformats.org/officeDocument/2006/relationships/image" Target="media/image592.png"/><Relationship Id="rId363" Type="http://schemas.openxmlformats.org/officeDocument/2006/relationships/image" Target="media/image591.png"/><Relationship Id="rId362" Type="http://schemas.openxmlformats.org/officeDocument/2006/relationships/image" Target="media/image590.png"/><Relationship Id="rId361" Type="http://schemas.openxmlformats.org/officeDocument/2006/relationships/image" Target="media/image589.png"/><Relationship Id="rId360" Type="http://schemas.openxmlformats.org/officeDocument/2006/relationships/image" Target="media/image588.png"/><Relationship Id="rId36" Type="http://schemas.openxmlformats.org/officeDocument/2006/relationships/image" Target="media/image460.jpeg"/><Relationship Id="rId359" Type="http://schemas.openxmlformats.org/officeDocument/2006/relationships/image" Target="media/image587.png"/><Relationship Id="rId358" Type="http://schemas.openxmlformats.org/officeDocument/2006/relationships/image" Target="media/image586.png"/><Relationship Id="rId357" Type="http://schemas.openxmlformats.org/officeDocument/2006/relationships/image" Target="media/image585.png"/><Relationship Id="rId356" Type="http://schemas.openxmlformats.org/officeDocument/2006/relationships/image" Target="media/image584.png"/><Relationship Id="rId355" Type="http://schemas.openxmlformats.org/officeDocument/2006/relationships/image" Target="media/image583.png"/><Relationship Id="rId354" Type="http://schemas.openxmlformats.org/officeDocument/2006/relationships/image" Target="media/image582.png"/><Relationship Id="rId353" Type="http://schemas.openxmlformats.org/officeDocument/2006/relationships/image" Target="media/image581.png"/><Relationship Id="rId352" Type="http://schemas.openxmlformats.org/officeDocument/2006/relationships/image" Target="media/image580.png"/><Relationship Id="rId351" Type="http://schemas.openxmlformats.org/officeDocument/2006/relationships/image" Target="media/image579.png"/><Relationship Id="rId350" Type="http://schemas.openxmlformats.org/officeDocument/2006/relationships/image" Target="media/image578.png"/><Relationship Id="rId35" Type="http://schemas.openxmlformats.org/officeDocument/2006/relationships/image" Target="media/image459.jpeg"/><Relationship Id="rId349" Type="http://schemas.openxmlformats.org/officeDocument/2006/relationships/image" Target="media/image577.png"/><Relationship Id="rId348" Type="http://schemas.openxmlformats.org/officeDocument/2006/relationships/image" Target="media/image576.png"/><Relationship Id="rId347" Type="http://schemas.openxmlformats.org/officeDocument/2006/relationships/image" Target="media/image575.png"/><Relationship Id="rId346" Type="http://schemas.openxmlformats.org/officeDocument/2006/relationships/image" Target="media/image574.png"/><Relationship Id="rId345" Type="http://schemas.openxmlformats.org/officeDocument/2006/relationships/image" Target="media/image573.png"/><Relationship Id="rId344" Type="http://schemas.openxmlformats.org/officeDocument/2006/relationships/image" Target="media/image572.png"/><Relationship Id="rId343" Type="http://schemas.openxmlformats.org/officeDocument/2006/relationships/image" Target="media/image571.png"/><Relationship Id="rId342" Type="http://schemas.openxmlformats.org/officeDocument/2006/relationships/image" Target="media/image570.png"/><Relationship Id="rId341" Type="http://schemas.openxmlformats.org/officeDocument/2006/relationships/image" Target="media/image569.png"/><Relationship Id="rId340" Type="http://schemas.openxmlformats.org/officeDocument/2006/relationships/image" Target="media/image568.png"/><Relationship Id="rId34" Type="http://schemas.openxmlformats.org/officeDocument/2006/relationships/image" Target="media/image458.jpeg"/><Relationship Id="rId339" Type="http://schemas.openxmlformats.org/officeDocument/2006/relationships/image" Target="media/image567.png"/><Relationship Id="rId338" Type="http://schemas.openxmlformats.org/officeDocument/2006/relationships/image" Target="media/image566.png"/><Relationship Id="rId337" Type="http://schemas.openxmlformats.org/officeDocument/2006/relationships/image" Target="media/image565.png"/><Relationship Id="rId336" Type="http://schemas.openxmlformats.org/officeDocument/2006/relationships/image" Target="media/image564.png"/><Relationship Id="rId335" Type="http://schemas.openxmlformats.org/officeDocument/2006/relationships/image" Target="media/image563.png"/><Relationship Id="rId334" Type="http://schemas.openxmlformats.org/officeDocument/2006/relationships/image" Target="media/image562.png"/><Relationship Id="rId333" Type="http://schemas.openxmlformats.org/officeDocument/2006/relationships/image" Target="media/image561.png"/><Relationship Id="rId332" Type="http://schemas.openxmlformats.org/officeDocument/2006/relationships/image" Target="media/image560.png"/><Relationship Id="rId331" Type="http://schemas.openxmlformats.org/officeDocument/2006/relationships/image" Target="media/image559.png"/><Relationship Id="rId330" Type="http://schemas.openxmlformats.org/officeDocument/2006/relationships/image" Target="media/image558.png"/><Relationship Id="rId33" Type="http://schemas.openxmlformats.org/officeDocument/2006/relationships/image" Target="media/image457.jpeg"/><Relationship Id="rId329" Type="http://schemas.openxmlformats.org/officeDocument/2006/relationships/image" Target="media/image557.png"/><Relationship Id="rId328" Type="http://schemas.openxmlformats.org/officeDocument/2006/relationships/image" Target="media/image556.png"/><Relationship Id="rId327" Type="http://schemas.openxmlformats.org/officeDocument/2006/relationships/image" Target="media/image555.png"/><Relationship Id="rId326" Type="http://schemas.openxmlformats.org/officeDocument/2006/relationships/image" Target="media/image554.png"/><Relationship Id="rId325" Type="http://schemas.openxmlformats.org/officeDocument/2006/relationships/image" Target="media/image553.png"/><Relationship Id="rId324" Type="http://schemas.openxmlformats.org/officeDocument/2006/relationships/image" Target="media/image307.jpeg"/><Relationship Id="rId323" Type="http://schemas.openxmlformats.org/officeDocument/2006/relationships/image" Target="media/image308.jpeg"/><Relationship Id="rId322" Type="http://schemas.openxmlformats.org/officeDocument/2006/relationships/image" Target="media/image309.jpeg"/><Relationship Id="rId321" Type="http://schemas.openxmlformats.org/officeDocument/2006/relationships/image" Target="media/image310.jpeg"/><Relationship Id="rId320" Type="http://schemas.openxmlformats.org/officeDocument/2006/relationships/image" Target="media/image311.jpeg"/><Relationship Id="rId32" Type="http://schemas.openxmlformats.org/officeDocument/2006/relationships/image" Target="media/image456.jpeg"/><Relationship Id="rId319" Type="http://schemas.openxmlformats.org/officeDocument/2006/relationships/image" Target="media/image313.jpeg"/><Relationship Id="rId318" Type="http://schemas.openxmlformats.org/officeDocument/2006/relationships/image" Target="media/image314.jpeg"/><Relationship Id="rId317" Type="http://schemas.openxmlformats.org/officeDocument/2006/relationships/image" Target="media/image302.jpeg"/><Relationship Id="rId316" Type="http://schemas.openxmlformats.org/officeDocument/2006/relationships/image" Target="media/image301.jpeg"/><Relationship Id="rId315" Type="http://schemas.openxmlformats.org/officeDocument/2006/relationships/image" Target="media/image300.jpeg"/><Relationship Id="rId314" Type="http://schemas.openxmlformats.org/officeDocument/2006/relationships/image" Target="media/image305.jpeg"/><Relationship Id="rId313" Type="http://schemas.openxmlformats.org/officeDocument/2006/relationships/image" Target="media/image306.jpeg"/><Relationship Id="rId312" Type="http://schemas.openxmlformats.org/officeDocument/2006/relationships/image" Target="media/image315.jpeg"/><Relationship Id="rId311" Type="http://schemas.openxmlformats.org/officeDocument/2006/relationships/image" Target="media/image297.jpeg"/><Relationship Id="rId310" Type="http://schemas.openxmlformats.org/officeDocument/2006/relationships/image" Target="media/image298.jpeg"/><Relationship Id="rId31" Type="http://schemas.openxmlformats.org/officeDocument/2006/relationships/image" Target="media/image455.jpeg"/><Relationship Id="rId309" Type="http://schemas.openxmlformats.org/officeDocument/2006/relationships/image" Target="media/image295.jpeg"/><Relationship Id="rId308" Type="http://schemas.openxmlformats.org/officeDocument/2006/relationships/image" Target="media/image299.jpeg"/><Relationship Id="rId307" Type="http://schemas.openxmlformats.org/officeDocument/2006/relationships/image" Target="media/image552.png"/><Relationship Id="rId306" Type="http://schemas.openxmlformats.org/officeDocument/2006/relationships/image" Target="media/image551.png"/><Relationship Id="rId305" Type="http://schemas.openxmlformats.org/officeDocument/2006/relationships/image" Target="media/image550.png"/><Relationship Id="rId304" Type="http://schemas.openxmlformats.org/officeDocument/2006/relationships/image" Target="media/image549.png"/><Relationship Id="rId303" Type="http://schemas.openxmlformats.org/officeDocument/2006/relationships/image" Target="media/image548.png"/><Relationship Id="rId302" Type="http://schemas.openxmlformats.org/officeDocument/2006/relationships/image" Target="media/image547.png"/><Relationship Id="rId301" Type="http://schemas.openxmlformats.org/officeDocument/2006/relationships/image" Target="media/image546.png"/><Relationship Id="rId300" Type="http://schemas.openxmlformats.org/officeDocument/2006/relationships/image" Target="media/image545.png"/><Relationship Id="rId30" Type="http://schemas.openxmlformats.org/officeDocument/2006/relationships/image" Target="media/image454.jpeg"/><Relationship Id="rId3" Type="http://schemas.openxmlformats.org/officeDocument/2006/relationships/image" Target="media/image427.jpeg"/><Relationship Id="rId299" Type="http://schemas.openxmlformats.org/officeDocument/2006/relationships/image" Target="media/image544.png"/><Relationship Id="rId298" Type="http://schemas.openxmlformats.org/officeDocument/2006/relationships/image" Target="media/image543.png"/><Relationship Id="rId297" Type="http://schemas.openxmlformats.org/officeDocument/2006/relationships/image" Target="media/image542.png"/><Relationship Id="rId296" Type="http://schemas.openxmlformats.org/officeDocument/2006/relationships/image" Target="media/image541.png"/><Relationship Id="rId295" Type="http://schemas.openxmlformats.org/officeDocument/2006/relationships/image" Target="media/image540.png"/><Relationship Id="rId294" Type="http://schemas.openxmlformats.org/officeDocument/2006/relationships/image" Target="media/image539.png"/><Relationship Id="rId293" Type="http://schemas.openxmlformats.org/officeDocument/2006/relationships/image" Target="media/image538.png"/><Relationship Id="rId292" Type="http://schemas.openxmlformats.org/officeDocument/2006/relationships/image" Target="media/image537.png"/><Relationship Id="rId291" Type="http://schemas.openxmlformats.org/officeDocument/2006/relationships/image" Target="media/image536.png"/><Relationship Id="rId290" Type="http://schemas.openxmlformats.org/officeDocument/2006/relationships/image" Target="media/image535.png"/><Relationship Id="rId29" Type="http://schemas.openxmlformats.org/officeDocument/2006/relationships/image" Target="media/image453.jpeg"/><Relationship Id="rId289" Type="http://schemas.openxmlformats.org/officeDocument/2006/relationships/image" Target="media/image534.png"/><Relationship Id="rId288" Type="http://schemas.openxmlformats.org/officeDocument/2006/relationships/image" Target="media/image533.png"/><Relationship Id="rId287" Type="http://schemas.openxmlformats.org/officeDocument/2006/relationships/image" Target="media/image532.png"/><Relationship Id="rId286" Type="http://schemas.openxmlformats.org/officeDocument/2006/relationships/image" Target="media/image531.png"/><Relationship Id="rId285" Type="http://schemas.openxmlformats.org/officeDocument/2006/relationships/image" Target="media/image530.png"/><Relationship Id="rId284" Type="http://schemas.openxmlformats.org/officeDocument/2006/relationships/image" Target="media/image529.png"/><Relationship Id="rId283" Type="http://schemas.openxmlformats.org/officeDocument/2006/relationships/image" Target="media/image528.png"/><Relationship Id="rId282" Type="http://schemas.openxmlformats.org/officeDocument/2006/relationships/image" Target="media/image527.png"/><Relationship Id="rId281" Type="http://schemas.openxmlformats.org/officeDocument/2006/relationships/image" Target="media/image526.png"/><Relationship Id="rId280" Type="http://schemas.openxmlformats.org/officeDocument/2006/relationships/image" Target="media/image525.png"/><Relationship Id="rId28" Type="http://schemas.openxmlformats.org/officeDocument/2006/relationships/image" Target="media/image452.jpeg"/><Relationship Id="rId279" Type="http://schemas.openxmlformats.org/officeDocument/2006/relationships/image" Target="media/image296.jpeg"/><Relationship Id="rId278" Type="http://schemas.openxmlformats.org/officeDocument/2006/relationships/image" Target="media/image294.jpeg"/><Relationship Id="rId277" Type="http://schemas.openxmlformats.org/officeDocument/2006/relationships/image" Target="media/image293.jpeg"/><Relationship Id="rId276" Type="http://schemas.openxmlformats.org/officeDocument/2006/relationships/image" Target="media/image291.jpeg"/><Relationship Id="rId275" Type="http://schemas.openxmlformats.org/officeDocument/2006/relationships/image" Target="media/image289.jpeg"/><Relationship Id="rId274" Type="http://schemas.openxmlformats.org/officeDocument/2006/relationships/image" Target="media/image288.jpeg"/><Relationship Id="rId273" Type="http://schemas.openxmlformats.org/officeDocument/2006/relationships/image" Target="media/image286.jpeg"/><Relationship Id="rId272" Type="http://schemas.openxmlformats.org/officeDocument/2006/relationships/image" Target="media/image285.jpeg"/><Relationship Id="rId271" Type="http://schemas.openxmlformats.org/officeDocument/2006/relationships/image" Target="media/image282.jpeg"/><Relationship Id="rId270" Type="http://schemas.openxmlformats.org/officeDocument/2006/relationships/image" Target="media/image281.jpeg"/><Relationship Id="rId27" Type="http://schemas.openxmlformats.org/officeDocument/2006/relationships/image" Target="media/image451.jpeg"/><Relationship Id="rId269" Type="http://schemas.openxmlformats.org/officeDocument/2006/relationships/image" Target="media/image280.jpeg"/><Relationship Id="rId268" Type="http://schemas.openxmlformats.org/officeDocument/2006/relationships/image" Target="media/image279.jpeg"/><Relationship Id="rId267" Type="http://schemas.openxmlformats.org/officeDocument/2006/relationships/image" Target="media/image278.jpeg"/><Relationship Id="rId266" Type="http://schemas.openxmlformats.org/officeDocument/2006/relationships/image" Target="media/image277.jpeg"/><Relationship Id="rId265" Type="http://schemas.openxmlformats.org/officeDocument/2006/relationships/image" Target="media/image276.jpeg"/><Relationship Id="rId264" Type="http://schemas.openxmlformats.org/officeDocument/2006/relationships/image" Target="media/image275.jpeg"/><Relationship Id="rId263" Type="http://schemas.openxmlformats.org/officeDocument/2006/relationships/image" Target="media/image274.jpeg"/><Relationship Id="rId262" Type="http://schemas.openxmlformats.org/officeDocument/2006/relationships/image" Target="media/image272.jpeg"/><Relationship Id="rId261" Type="http://schemas.openxmlformats.org/officeDocument/2006/relationships/image" Target="media/image271.jpeg"/><Relationship Id="rId260" Type="http://schemas.openxmlformats.org/officeDocument/2006/relationships/image" Target="media/image270.jpeg"/><Relationship Id="rId26" Type="http://schemas.openxmlformats.org/officeDocument/2006/relationships/image" Target="media/image450.jpeg"/><Relationship Id="rId259" Type="http://schemas.openxmlformats.org/officeDocument/2006/relationships/image" Target="media/image269.jpeg"/><Relationship Id="rId258" Type="http://schemas.openxmlformats.org/officeDocument/2006/relationships/image" Target="media/image268.jpeg"/><Relationship Id="rId257" Type="http://schemas.openxmlformats.org/officeDocument/2006/relationships/image" Target="media/image266.jpeg"/><Relationship Id="rId256" Type="http://schemas.openxmlformats.org/officeDocument/2006/relationships/image" Target="media/image265.jpeg"/><Relationship Id="rId255" Type="http://schemas.openxmlformats.org/officeDocument/2006/relationships/image" Target="media/image264.jpeg"/><Relationship Id="rId254" Type="http://schemas.openxmlformats.org/officeDocument/2006/relationships/image" Target="media/image263.jpeg"/><Relationship Id="rId253" Type="http://schemas.openxmlformats.org/officeDocument/2006/relationships/image" Target="media/image262.jpeg"/><Relationship Id="rId252" Type="http://schemas.openxmlformats.org/officeDocument/2006/relationships/image" Target="media/image261.jpeg"/><Relationship Id="rId251" Type="http://schemas.openxmlformats.org/officeDocument/2006/relationships/image" Target="media/image260.jpeg"/><Relationship Id="rId250" Type="http://schemas.openxmlformats.org/officeDocument/2006/relationships/image" Target="media/image258.jpeg"/><Relationship Id="rId25" Type="http://schemas.openxmlformats.org/officeDocument/2006/relationships/image" Target="media/image449.jpeg"/><Relationship Id="rId249" Type="http://schemas.openxmlformats.org/officeDocument/2006/relationships/image" Target="media/image257.jpeg"/><Relationship Id="rId248" Type="http://schemas.openxmlformats.org/officeDocument/2006/relationships/image" Target="media/image256.jpeg"/><Relationship Id="rId247" Type="http://schemas.openxmlformats.org/officeDocument/2006/relationships/image" Target="media/image255.jpeg"/><Relationship Id="rId246" Type="http://schemas.openxmlformats.org/officeDocument/2006/relationships/image" Target="media/image254.jpeg"/><Relationship Id="rId245" Type="http://schemas.openxmlformats.org/officeDocument/2006/relationships/image" Target="media/image253.jpeg"/><Relationship Id="rId244" Type="http://schemas.openxmlformats.org/officeDocument/2006/relationships/image" Target="media/image251.jpeg"/><Relationship Id="rId243" Type="http://schemas.openxmlformats.org/officeDocument/2006/relationships/image" Target="media/image250.jpeg"/><Relationship Id="rId242" Type="http://schemas.openxmlformats.org/officeDocument/2006/relationships/image" Target="media/image249.jpeg"/><Relationship Id="rId241" Type="http://schemas.openxmlformats.org/officeDocument/2006/relationships/image" Target="media/image248.jpeg"/><Relationship Id="rId240" Type="http://schemas.openxmlformats.org/officeDocument/2006/relationships/image" Target="media/image247.jpeg"/><Relationship Id="rId24" Type="http://schemas.openxmlformats.org/officeDocument/2006/relationships/image" Target="media/image448.jpeg"/><Relationship Id="rId239" Type="http://schemas.openxmlformats.org/officeDocument/2006/relationships/image" Target="media/image246.jpeg"/><Relationship Id="rId238" Type="http://schemas.openxmlformats.org/officeDocument/2006/relationships/image" Target="media/image244.jpeg"/><Relationship Id="rId237" Type="http://schemas.openxmlformats.org/officeDocument/2006/relationships/image" Target="media/image243.jpeg"/><Relationship Id="rId236" Type="http://schemas.openxmlformats.org/officeDocument/2006/relationships/image" Target="media/image242.jpeg"/><Relationship Id="rId235" Type="http://schemas.openxmlformats.org/officeDocument/2006/relationships/image" Target="media/image241.jpeg"/><Relationship Id="rId234" Type="http://schemas.openxmlformats.org/officeDocument/2006/relationships/image" Target="media/image240.jpeg"/><Relationship Id="rId233" Type="http://schemas.openxmlformats.org/officeDocument/2006/relationships/image" Target="media/image239.jpeg"/><Relationship Id="rId232" Type="http://schemas.openxmlformats.org/officeDocument/2006/relationships/image" Target="media/image238.jpeg"/><Relationship Id="rId231" Type="http://schemas.openxmlformats.org/officeDocument/2006/relationships/image" Target="media/image237.jpeg"/><Relationship Id="rId230" Type="http://schemas.openxmlformats.org/officeDocument/2006/relationships/image" Target="media/image236.jpeg"/><Relationship Id="rId23" Type="http://schemas.openxmlformats.org/officeDocument/2006/relationships/image" Target="media/image447.jpeg"/><Relationship Id="rId229" Type="http://schemas.openxmlformats.org/officeDocument/2006/relationships/image" Target="media/image235.jpeg"/><Relationship Id="rId228" Type="http://schemas.openxmlformats.org/officeDocument/2006/relationships/image" Target="media/image232.jpeg"/><Relationship Id="rId227" Type="http://schemas.openxmlformats.org/officeDocument/2006/relationships/image" Target="media/image231.jpeg"/><Relationship Id="rId226" Type="http://schemas.openxmlformats.org/officeDocument/2006/relationships/image" Target="media/image230.jpeg"/><Relationship Id="rId225" Type="http://schemas.openxmlformats.org/officeDocument/2006/relationships/image" Target="media/image228.jpeg"/><Relationship Id="rId224" Type="http://schemas.openxmlformats.org/officeDocument/2006/relationships/image" Target="media/image227.jpeg"/><Relationship Id="rId223" Type="http://schemas.openxmlformats.org/officeDocument/2006/relationships/image" Target="media/image226.jpeg"/><Relationship Id="rId222" Type="http://schemas.openxmlformats.org/officeDocument/2006/relationships/image" Target="media/image225.jpeg"/><Relationship Id="rId221" Type="http://schemas.openxmlformats.org/officeDocument/2006/relationships/image" Target="media/image224.jpeg"/><Relationship Id="rId220" Type="http://schemas.openxmlformats.org/officeDocument/2006/relationships/image" Target="media/image223.jpeg"/><Relationship Id="rId22" Type="http://schemas.openxmlformats.org/officeDocument/2006/relationships/image" Target="media/image446.jpeg"/><Relationship Id="rId219" Type="http://schemas.openxmlformats.org/officeDocument/2006/relationships/image" Target="media/image222.jpeg"/><Relationship Id="rId218" Type="http://schemas.openxmlformats.org/officeDocument/2006/relationships/image" Target="media/image221.jpeg"/><Relationship Id="rId217" Type="http://schemas.openxmlformats.org/officeDocument/2006/relationships/image" Target="media/image220.jpeg"/><Relationship Id="rId216" Type="http://schemas.openxmlformats.org/officeDocument/2006/relationships/image" Target="media/image219.jpeg"/><Relationship Id="rId215" Type="http://schemas.openxmlformats.org/officeDocument/2006/relationships/image" Target="media/image218.jpeg"/><Relationship Id="rId214" Type="http://schemas.openxmlformats.org/officeDocument/2006/relationships/image" Target="media/image217.jpeg"/><Relationship Id="rId213" Type="http://schemas.openxmlformats.org/officeDocument/2006/relationships/image" Target="media/image215.jpeg"/><Relationship Id="rId212" Type="http://schemas.openxmlformats.org/officeDocument/2006/relationships/image" Target="media/image214.jpeg"/><Relationship Id="rId211" Type="http://schemas.openxmlformats.org/officeDocument/2006/relationships/image" Target="media/image213.jpeg"/><Relationship Id="rId210" Type="http://schemas.openxmlformats.org/officeDocument/2006/relationships/image" Target="media/image212.jpeg"/><Relationship Id="rId21" Type="http://schemas.openxmlformats.org/officeDocument/2006/relationships/image" Target="media/image445.jpeg"/><Relationship Id="rId209" Type="http://schemas.openxmlformats.org/officeDocument/2006/relationships/image" Target="media/image211.jpeg"/><Relationship Id="rId208" Type="http://schemas.openxmlformats.org/officeDocument/2006/relationships/image" Target="media/image210.jpeg"/><Relationship Id="rId207" Type="http://schemas.openxmlformats.org/officeDocument/2006/relationships/image" Target="media/image209.jpeg"/><Relationship Id="rId206" Type="http://schemas.openxmlformats.org/officeDocument/2006/relationships/image" Target="media/image208.jpeg"/><Relationship Id="rId205" Type="http://schemas.openxmlformats.org/officeDocument/2006/relationships/image" Target="media/image207.jpeg"/><Relationship Id="rId204" Type="http://schemas.openxmlformats.org/officeDocument/2006/relationships/image" Target="media/image205.jpeg"/><Relationship Id="rId203" Type="http://schemas.openxmlformats.org/officeDocument/2006/relationships/image" Target="media/image202.jpeg"/><Relationship Id="rId202" Type="http://schemas.openxmlformats.org/officeDocument/2006/relationships/image" Target="media/image201.jpeg"/><Relationship Id="rId201" Type="http://schemas.openxmlformats.org/officeDocument/2006/relationships/image" Target="media/image200.jpeg"/><Relationship Id="rId200" Type="http://schemas.openxmlformats.org/officeDocument/2006/relationships/image" Target="media/image199.jpeg"/><Relationship Id="rId20" Type="http://schemas.openxmlformats.org/officeDocument/2006/relationships/image" Target="media/image444.jpeg"/><Relationship Id="rId2" Type="http://schemas.openxmlformats.org/officeDocument/2006/relationships/image" Target="media/image426.jpeg"/><Relationship Id="rId199" Type="http://schemas.openxmlformats.org/officeDocument/2006/relationships/image" Target="media/image198.jpeg"/><Relationship Id="rId198" Type="http://schemas.openxmlformats.org/officeDocument/2006/relationships/image" Target="media/image197.jpeg"/><Relationship Id="rId197" Type="http://schemas.openxmlformats.org/officeDocument/2006/relationships/image" Target="media/image203.jpeg"/><Relationship Id="rId196" Type="http://schemas.openxmlformats.org/officeDocument/2006/relationships/image" Target="media/image107.jpeg"/><Relationship Id="rId195" Type="http://schemas.openxmlformats.org/officeDocument/2006/relationships/image" Target="media/image105.jpeg"/><Relationship Id="rId194" Type="http://schemas.openxmlformats.org/officeDocument/2006/relationships/image" Target="media/image103.jpeg"/><Relationship Id="rId193" Type="http://schemas.openxmlformats.org/officeDocument/2006/relationships/image" Target="media/image102.jpeg"/><Relationship Id="rId192" Type="http://schemas.openxmlformats.org/officeDocument/2006/relationships/image" Target="media/image100.jpeg"/><Relationship Id="rId191" Type="http://schemas.openxmlformats.org/officeDocument/2006/relationships/image" Target="media/image99.jpeg"/><Relationship Id="rId190" Type="http://schemas.openxmlformats.org/officeDocument/2006/relationships/image" Target="media/image98.jpeg"/><Relationship Id="rId19" Type="http://schemas.openxmlformats.org/officeDocument/2006/relationships/image" Target="media/image443.jpeg"/><Relationship Id="rId189" Type="http://schemas.openxmlformats.org/officeDocument/2006/relationships/image" Target="media/image97.jpeg"/><Relationship Id="rId188" Type="http://schemas.openxmlformats.org/officeDocument/2006/relationships/image" Target="media/image96.jpeg"/><Relationship Id="rId187" Type="http://schemas.openxmlformats.org/officeDocument/2006/relationships/image" Target="media/image95.jpeg"/><Relationship Id="rId186" Type="http://schemas.openxmlformats.org/officeDocument/2006/relationships/image" Target="media/image94.jpeg"/><Relationship Id="rId185" Type="http://schemas.openxmlformats.org/officeDocument/2006/relationships/image" Target="media/image93.jpeg"/><Relationship Id="rId184" Type="http://schemas.openxmlformats.org/officeDocument/2006/relationships/image" Target="media/image92.jpeg"/><Relationship Id="rId183" Type="http://schemas.openxmlformats.org/officeDocument/2006/relationships/image" Target="media/image91.jpeg"/><Relationship Id="rId182" Type="http://schemas.openxmlformats.org/officeDocument/2006/relationships/image" Target="media/image90.jpeg"/><Relationship Id="rId181" Type="http://schemas.openxmlformats.org/officeDocument/2006/relationships/image" Target="media/image88.jpeg"/><Relationship Id="rId180" Type="http://schemas.openxmlformats.org/officeDocument/2006/relationships/image" Target="media/image87.jpeg"/><Relationship Id="rId18" Type="http://schemas.openxmlformats.org/officeDocument/2006/relationships/image" Target="media/image442.jpeg"/><Relationship Id="rId179" Type="http://schemas.openxmlformats.org/officeDocument/2006/relationships/image" Target="media/image86.jpeg"/><Relationship Id="rId178" Type="http://schemas.openxmlformats.org/officeDocument/2006/relationships/image" Target="media/image85.jpeg"/><Relationship Id="rId177" Type="http://schemas.openxmlformats.org/officeDocument/2006/relationships/image" Target="media/image84.jpeg"/><Relationship Id="rId176" Type="http://schemas.openxmlformats.org/officeDocument/2006/relationships/image" Target="media/image83.jpeg"/><Relationship Id="rId175" Type="http://schemas.openxmlformats.org/officeDocument/2006/relationships/image" Target="media/image82.jpeg"/><Relationship Id="rId174" Type="http://schemas.openxmlformats.org/officeDocument/2006/relationships/image" Target="media/image81.jpeg"/><Relationship Id="rId173" Type="http://schemas.openxmlformats.org/officeDocument/2006/relationships/image" Target="media/image80.jpeg"/><Relationship Id="rId172" Type="http://schemas.openxmlformats.org/officeDocument/2006/relationships/image" Target="media/image79.jpeg"/><Relationship Id="rId171" Type="http://schemas.openxmlformats.org/officeDocument/2006/relationships/image" Target="media/image78.jpeg"/><Relationship Id="rId170" Type="http://schemas.openxmlformats.org/officeDocument/2006/relationships/image" Target="media/image76.jpeg"/><Relationship Id="rId17" Type="http://schemas.openxmlformats.org/officeDocument/2006/relationships/image" Target="media/image441.jpeg"/><Relationship Id="rId169" Type="http://schemas.openxmlformats.org/officeDocument/2006/relationships/image" Target="media/image74.jpeg"/><Relationship Id="rId168" Type="http://schemas.openxmlformats.org/officeDocument/2006/relationships/image" Target="media/image73.jpeg"/><Relationship Id="rId167" Type="http://schemas.openxmlformats.org/officeDocument/2006/relationships/image" Target="media/image71.jpeg"/><Relationship Id="rId166" Type="http://schemas.openxmlformats.org/officeDocument/2006/relationships/image" Target="media/image70.jpeg"/><Relationship Id="rId165" Type="http://schemas.openxmlformats.org/officeDocument/2006/relationships/image" Target="media/image69.jpeg"/><Relationship Id="rId164" Type="http://schemas.openxmlformats.org/officeDocument/2006/relationships/image" Target="media/image68.jpeg"/><Relationship Id="rId163" Type="http://schemas.openxmlformats.org/officeDocument/2006/relationships/image" Target="media/image67.jpeg"/><Relationship Id="rId162" Type="http://schemas.openxmlformats.org/officeDocument/2006/relationships/image" Target="media/image65.jpeg"/><Relationship Id="rId161" Type="http://schemas.openxmlformats.org/officeDocument/2006/relationships/image" Target="media/image64.jpeg"/><Relationship Id="rId160" Type="http://schemas.openxmlformats.org/officeDocument/2006/relationships/image" Target="media/image63.jpeg"/><Relationship Id="rId16" Type="http://schemas.openxmlformats.org/officeDocument/2006/relationships/image" Target="media/image440.jpeg"/><Relationship Id="rId159" Type="http://schemas.openxmlformats.org/officeDocument/2006/relationships/image" Target="media/image62.jpeg"/><Relationship Id="rId158" Type="http://schemas.openxmlformats.org/officeDocument/2006/relationships/image" Target="media/image61.jpeg"/><Relationship Id="rId157" Type="http://schemas.openxmlformats.org/officeDocument/2006/relationships/image" Target="media/image59.jpeg"/><Relationship Id="rId156" Type="http://schemas.openxmlformats.org/officeDocument/2006/relationships/image" Target="media/image58.jpeg"/><Relationship Id="rId155" Type="http://schemas.openxmlformats.org/officeDocument/2006/relationships/image" Target="media/image57.jpeg"/><Relationship Id="rId154" Type="http://schemas.openxmlformats.org/officeDocument/2006/relationships/image" Target="media/image56.jpeg"/><Relationship Id="rId153" Type="http://schemas.openxmlformats.org/officeDocument/2006/relationships/image" Target="media/image55.jpeg"/><Relationship Id="rId152" Type="http://schemas.openxmlformats.org/officeDocument/2006/relationships/image" Target="media/image54.jpeg"/><Relationship Id="rId151" Type="http://schemas.openxmlformats.org/officeDocument/2006/relationships/image" Target="media/image53.jpeg"/><Relationship Id="rId150" Type="http://schemas.openxmlformats.org/officeDocument/2006/relationships/image" Target="media/image52.jpeg"/><Relationship Id="rId15" Type="http://schemas.openxmlformats.org/officeDocument/2006/relationships/image" Target="media/image439.jpeg"/><Relationship Id="rId149" Type="http://schemas.openxmlformats.org/officeDocument/2006/relationships/image" Target="media/image51.jpeg"/><Relationship Id="rId148" Type="http://schemas.openxmlformats.org/officeDocument/2006/relationships/image" Target="media/image50.jpeg"/><Relationship Id="rId147" Type="http://schemas.openxmlformats.org/officeDocument/2006/relationships/image" Target="media/image49.jpeg"/><Relationship Id="rId146" Type="http://schemas.openxmlformats.org/officeDocument/2006/relationships/image" Target="media/image48.jpeg"/><Relationship Id="rId145" Type="http://schemas.openxmlformats.org/officeDocument/2006/relationships/image" Target="media/image47.jpeg"/><Relationship Id="rId144" Type="http://schemas.openxmlformats.org/officeDocument/2006/relationships/image" Target="media/image46.jpeg"/><Relationship Id="rId143" Type="http://schemas.openxmlformats.org/officeDocument/2006/relationships/image" Target="media/image45.jpeg"/><Relationship Id="rId142" Type="http://schemas.openxmlformats.org/officeDocument/2006/relationships/image" Target="media/image44.jpeg"/><Relationship Id="rId141" Type="http://schemas.openxmlformats.org/officeDocument/2006/relationships/image" Target="media/image43.jpeg"/><Relationship Id="rId140" Type="http://schemas.openxmlformats.org/officeDocument/2006/relationships/image" Target="media/image42.jpeg"/><Relationship Id="rId14" Type="http://schemas.openxmlformats.org/officeDocument/2006/relationships/image" Target="media/image438.jpeg"/><Relationship Id="rId139" Type="http://schemas.openxmlformats.org/officeDocument/2006/relationships/image" Target="media/image41.jpeg"/><Relationship Id="rId138" Type="http://schemas.openxmlformats.org/officeDocument/2006/relationships/image" Target="media/image40.jpeg"/><Relationship Id="rId137" Type="http://schemas.openxmlformats.org/officeDocument/2006/relationships/image" Target="media/image39.jpeg"/><Relationship Id="rId136" Type="http://schemas.openxmlformats.org/officeDocument/2006/relationships/image" Target="media/image38.jpeg"/><Relationship Id="rId135" Type="http://schemas.openxmlformats.org/officeDocument/2006/relationships/image" Target="media/image37.jpeg"/><Relationship Id="rId134" Type="http://schemas.openxmlformats.org/officeDocument/2006/relationships/image" Target="media/image36.jpeg"/><Relationship Id="rId133" Type="http://schemas.openxmlformats.org/officeDocument/2006/relationships/image" Target="media/image35.jpeg"/><Relationship Id="rId132" Type="http://schemas.openxmlformats.org/officeDocument/2006/relationships/image" Target="media/image34.jpeg"/><Relationship Id="rId131" Type="http://schemas.openxmlformats.org/officeDocument/2006/relationships/image" Target="media/image33.jpeg"/><Relationship Id="rId130" Type="http://schemas.openxmlformats.org/officeDocument/2006/relationships/image" Target="media/image32.jpeg"/><Relationship Id="rId13" Type="http://schemas.openxmlformats.org/officeDocument/2006/relationships/image" Target="media/image437.jpeg"/><Relationship Id="rId129" Type="http://schemas.openxmlformats.org/officeDocument/2006/relationships/image" Target="media/image31.jpeg"/><Relationship Id="rId128" Type="http://schemas.openxmlformats.org/officeDocument/2006/relationships/image" Target="media/image30.jpeg"/><Relationship Id="rId127" Type="http://schemas.openxmlformats.org/officeDocument/2006/relationships/image" Target="media/image29.jpeg"/><Relationship Id="rId126" Type="http://schemas.openxmlformats.org/officeDocument/2006/relationships/image" Target="media/image28.jpeg"/><Relationship Id="rId125" Type="http://schemas.openxmlformats.org/officeDocument/2006/relationships/image" Target="media/image27.jpeg"/><Relationship Id="rId124" Type="http://schemas.openxmlformats.org/officeDocument/2006/relationships/image" Target="media/image26.jpeg"/><Relationship Id="rId123" Type="http://schemas.openxmlformats.org/officeDocument/2006/relationships/image" Target="media/image25.jpeg"/><Relationship Id="rId122" Type="http://schemas.openxmlformats.org/officeDocument/2006/relationships/image" Target="media/image24.jpeg"/><Relationship Id="rId121" Type="http://schemas.openxmlformats.org/officeDocument/2006/relationships/image" Target="media/image22.jpeg"/><Relationship Id="rId120" Type="http://schemas.openxmlformats.org/officeDocument/2006/relationships/image" Target="media/image21.jpeg"/><Relationship Id="rId12" Type="http://schemas.openxmlformats.org/officeDocument/2006/relationships/image" Target="media/image436.jpeg"/><Relationship Id="rId119" Type="http://schemas.openxmlformats.org/officeDocument/2006/relationships/image" Target="media/image20.jpeg"/><Relationship Id="rId118" Type="http://schemas.openxmlformats.org/officeDocument/2006/relationships/image" Target="media/image19.jpeg"/><Relationship Id="rId117" Type="http://schemas.openxmlformats.org/officeDocument/2006/relationships/image" Target="media/image18.jpeg"/><Relationship Id="rId116" Type="http://schemas.openxmlformats.org/officeDocument/2006/relationships/image" Target="media/image17.jpeg"/><Relationship Id="rId115" Type="http://schemas.openxmlformats.org/officeDocument/2006/relationships/image" Target="media/image16.jpeg"/><Relationship Id="rId114" Type="http://schemas.openxmlformats.org/officeDocument/2006/relationships/image" Target="media/image15.jpeg"/><Relationship Id="rId113" Type="http://schemas.openxmlformats.org/officeDocument/2006/relationships/image" Target="media/image14.jpeg"/><Relationship Id="rId112" Type="http://schemas.openxmlformats.org/officeDocument/2006/relationships/image" Target="media/image13.jpeg"/><Relationship Id="rId111" Type="http://schemas.openxmlformats.org/officeDocument/2006/relationships/image" Target="media/image11.jpeg"/><Relationship Id="rId110" Type="http://schemas.openxmlformats.org/officeDocument/2006/relationships/image" Target="media/image10.jpeg"/><Relationship Id="rId11" Type="http://schemas.openxmlformats.org/officeDocument/2006/relationships/image" Target="media/image435.jpeg"/><Relationship Id="rId109" Type="http://schemas.openxmlformats.org/officeDocument/2006/relationships/image" Target="media/image9.jpeg"/><Relationship Id="rId108" Type="http://schemas.openxmlformats.org/officeDocument/2006/relationships/image" Target="media/image8.jpeg"/><Relationship Id="rId107" Type="http://schemas.openxmlformats.org/officeDocument/2006/relationships/image" Target="media/image7.jpeg"/><Relationship Id="rId106" Type="http://schemas.openxmlformats.org/officeDocument/2006/relationships/image" Target="media/image6.jpeg"/><Relationship Id="rId105" Type="http://schemas.openxmlformats.org/officeDocument/2006/relationships/image" Target="media/image5.jpeg"/><Relationship Id="rId104" Type="http://schemas.openxmlformats.org/officeDocument/2006/relationships/image" Target="media/image4.jpeg"/><Relationship Id="rId103" Type="http://schemas.openxmlformats.org/officeDocument/2006/relationships/image" Target="media/image3.jpeg"/><Relationship Id="rId102" Type="http://schemas.openxmlformats.org/officeDocument/2006/relationships/image" Target="media/image2.jpeg"/><Relationship Id="rId101" Type="http://schemas.openxmlformats.org/officeDocument/2006/relationships/image" Target="media/image12.jpeg"/><Relationship Id="rId100" Type="http://schemas.openxmlformats.org/officeDocument/2006/relationships/image" Target="media/image524.jpeg"/><Relationship Id="rId10" Type="http://schemas.openxmlformats.org/officeDocument/2006/relationships/image" Target="media/image434.jpeg"/><Relationship Id="rId1" Type="http://schemas.openxmlformats.org/officeDocument/2006/relationships/image" Target="media/image425.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www.wps.cn/officeDocument/2020/cellImage" Target="cellimag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pivotCacheDefinition" Target="pivotCache/pivotCacheDefinition3.xml"/><Relationship Id="rId25" Type="http://schemas.openxmlformats.org/officeDocument/2006/relationships/pivotCacheDefinition" Target="pivotCache/pivotCacheDefinition2.xml"/><Relationship Id="rId24" Type="http://schemas.openxmlformats.org/officeDocument/2006/relationships/pivotCacheDefinition" Target="pivotCache/pivotCacheDefinition1.xml"/><Relationship Id="rId23" Type="http://schemas.openxmlformats.org/officeDocument/2006/relationships/customXml" Target="../customXml/item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"求和项:近30天销量"</c:f>
              <c:strCache>
                <c:ptCount val="1"/>
                <c:pt idx="0">
                  <c:v>求和项:近30天销量</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{"黑色","银色","银配黑","白色","绿色","奶油色","红色","灰色","鼠尾草色","黄色","粉红色","橘色","深灰","玫瑰金"}</c:f>
              <c:strCache>
                <c:ptCount val="14"/>
                <c:pt idx="0">
                  <c:v>黑色</c:v>
                </c:pt>
                <c:pt idx="1">
                  <c:v>银色</c:v>
                </c:pt>
                <c:pt idx="2">
                  <c:v>银配黑</c:v>
                </c:pt>
                <c:pt idx="3">
                  <c:v>白色</c:v>
                </c:pt>
                <c:pt idx="4">
                  <c:v>绿色</c:v>
                </c:pt>
                <c:pt idx="5">
                  <c:v>奶油色</c:v>
                </c:pt>
                <c:pt idx="6">
                  <c:v>红色</c:v>
                </c:pt>
                <c:pt idx="7">
                  <c:v>灰色</c:v>
                </c:pt>
                <c:pt idx="8">
                  <c:v>鼠尾草色</c:v>
                </c:pt>
                <c:pt idx="9">
                  <c:v>黄色</c:v>
                </c:pt>
                <c:pt idx="10">
                  <c:v>粉红色</c:v>
                </c:pt>
                <c:pt idx="11">
                  <c:v>橘色</c:v>
                </c:pt>
                <c:pt idx="12">
                  <c:v>深灰</c:v>
                </c:pt>
                <c:pt idx="13">
                  <c:v>玫瑰金</c:v>
                </c:pt>
              </c:strCache>
            </c:strRef>
          </c:cat>
          <c:val>
            <c:numRef>
              <c:f>{57180,53922,47485,42521,14479,9249,7349,3351,3178,2539,1946,947,498,419}</c:f>
              <c:numCache>
                <c:formatCode>General</c:formatCode>
                <c:ptCount val="14"/>
                <c:pt idx="0">
                  <c:v>57180</c:v>
                </c:pt>
                <c:pt idx="1">
                  <c:v>53922</c:v>
                </c:pt>
                <c:pt idx="2">
                  <c:v>47485</c:v>
                </c:pt>
                <c:pt idx="3">
                  <c:v>42521</c:v>
                </c:pt>
                <c:pt idx="4">
                  <c:v>14479</c:v>
                </c:pt>
                <c:pt idx="5">
                  <c:v>9249</c:v>
                </c:pt>
                <c:pt idx="6">
                  <c:v>7349</c:v>
                </c:pt>
                <c:pt idx="7">
                  <c:v>3351</c:v>
                </c:pt>
                <c:pt idx="8">
                  <c:v>3178</c:v>
                </c:pt>
                <c:pt idx="9">
                  <c:v>2539</c:v>
                </c:pt>
                <c:pt idx="10">
                  <c:v>1946</c:v>
                </c:pt>
                <c:pt idx="11">
                  <c:v>947</c:v>
                </c:pt>
                <c:pt idx="12">
                  <c:v>498</c:v>
                </c:pt>
                <c:pt idx="13">
                  <c:v>419</c:v>
                </c:pt>
              </c:numCache>
            </c:numRef>
          </c:val>
        </c:ser>
        <c:ser>
          <c:idx val="1"/>
          <c:order val="1"/>
          <c:tx>
            <c:strRef>
              <c:f>"求和项:近30天销售额($)"</c:f>
              <c:strCache>
                <c:ptCount val="1"/>
                <c:pt idx="0">
                  <c:v>求和项:近30天销售额($)</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{"黑色","银色","银配黑","白色","绿色","奶油色","红色","灰色","鼠尾草色","黄色","粉红色","橘色","深灰","玫瑰金"}</c:f>
              <c:strCache>
                <c:ptCount val="14"/>
                <c:pt idx="0">
                  <c:v>黑色</c:v>
                </c:pt>
                <c:pt idx="1">
                  <c:v>银色</c:v>
                </c:pt>
                <c:pt idx="2">
                  <c:v>银配黑</c:v>
                </c:pt>
                <c:pt idx="3">
                  <c:v>白色</c:v>
                </c:pt>
                <c:pt idx="4">
                  <c:v>绿色</c:v>
                </c:pt>
                <c:pt idx="5">
                  <c:v>奶油色</c:v>
                </c:pt>
                <c:pt idx="6">
                  <c:v>红色</c:v>
                </c:pt>
                <c:pt idx="7">
                  <c:v>灰色</c:v>
                </c:pt>
                <c:pt idx="8">
                  <c:v>鼠尾草色</c:v>
                </c:pt>
                <c:pt idx="9">
                  <c:v>黄色</c:v>
                </c:pt>
                <c:pt idx="10">
                  <c:v>粉红色</c:v>
                </c:pt>
                <c:pt idx="11">
                  <c:v>橘色</c:v>
                </c:pt>
                <c:pt idx="12">
                  <c:v>深灰</c:v>
                </c:pt>
                <c:pt idx="13">
                  <c:v>玫瑰金</c:v>
                </c:pt>
              </c:strCache>
            </c:strRef>
          </c:cat>
          <c:val>
            <c:numRef>
              <c:f>{2014391.362,3227558.434,1341138.938,1191274.233,525992.889,585145.72,261314.99,117251.49,79418.22,65988.61,67278.54,37870.53,28381.021,16751.62}</c:f>
              <c:numCache>
                <c:formatCode>General</c:formatCode>
                <c:ptCount val="14"/>
                <c:pt idx="0">
                  <c:v>2014391.362</c:v>
                </c:pt>
                <c:pt idx="1">
                  <c:v>3227558.434</c:v>
                </c:pt>
                <c:pt idx="2">
                  <c:v>1341138.938</c:v>
                </c:pt>
                <c:pt idx="3">
                  <c:v>1191274.233</c:v>
                </c:pt>
                <c:pt idx="4">
                  <c:v>525992.889</c:v>
                </c:pt>
                <c:pt idx="5">
                  <c:v>585145.72</c:v>
                </c:pt>
                <c:pt idx="6">
                  <c:v>261314.99</c:v>
                </c:pt>
                <c:pt idx="7">
                  <c:v>117251.49</c:v>
                </c:pt>
                <c:pt idx="8">
                  <c:v>79418.22</c:v>
                </c:pt>
                <c:pt idx="9">
                  <c:v>65988.61</c:v>
                </c:pt>
                <c:pt idx="10">
                  <c:v>67278.54</c:v>
                </c:pt>
                <c:pt idx="11">
                  <c:v>37870.53</c:v>
                </c:pt>
                <c:pt idx="12">
                  <c:v>28381.021</c:v>
                </c:pt>
                <c:pt idx="13">
                  <c:v>16751.62</c:v>
                </c:pt>
              </c:numCache>
            </c:numRef>
          </c:val>
        </c:ser>
        <c:ser>
          <c:idx val="2"/>
          <c:order val="2"/>
          <c:tx>
            <c:strRef>
              <c:f>"求和项:计数"</c:f>
              <c:strCache>
                <c:ptCount val="1"/>
                <c:pt idx="0">
                  <c:v>求和项:计数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{"黑色","银色","银配黑","白色","绿色","奶油色","红色","灰色","鼠尾草色","黄色","粉红色","橘色","深灰","玫瑰金"}</c:f>
              <c:strCache>
                <c:ptCount val="14"/>
                <c:pt idx="0">
                  <c:v>黑色</c:v>
                </c:pt>
                <c:pt idx="1">
                  <c:v>银色</c:v>
                </c:pt>
                <c:pt idx="2">
                  <c:v>银配黑</c:v>
                </c:pt>
                <c:pt idx="3">
                  <c:v>白色</c:v>
                </c:pt>
                <c:pt idx="4">
                  <c:v>绿色</c:v>
                </c:pt>
                <c:pt idx="5">
                  <c:v>奶油色</c:v>
                </c:pt>
                <c:pt idx="6">
                  <c:v>红色</c:v>
                </c:pt>
                <c:pt idx="7">
                  <c:v>灰色</c:v>
                </c:pt>
                <c:pt idx="8">
                  <c:v>鼠尾草色</c:v>
                </c:pt>
                <c:pt idx="9">
                  <c:v>黄色</c:v>
                </c:pt>
                <c:pt idx="10">
                  <c:v>粉红色</c:v>
                </c:pt>
                <c:pt idx="11">
                  <c:v>橘色</c:v>
                </c:pt>
                <c:pt idx="12">
                  <c:v>深灰</c:v>
                </c:pt>
                <c:pt idx="13">
                  <c:v>玫瑰金</c:v>
                </c:pt>
              </c:strCache>
            </c:strRef>
          </c:cat>
          <c:val>
            <c:numRef>
              <c:f>{19,32,16,8,8,6,7,1,1,1,2,1,1,0}</c:f>
              <c:numCache>
                <c:formatCode>General</c:formatCode>
                <c:ptCount val="14"/>
                <c:pt idx="0">
                  <c:v>19</c:v>
                </c:pt>
                <c:pt idx="1">
                  <c:v>32</c:v>
                </c:pt>
                <c:pt idx="2">
                  <c:v>16</c:v>
                </c:pt>
                <c:pt idx="3">
                  <c:v>8</c:v>
                </c:pt>
                <c:pt idx="4">
                  <c:v>8</c:v>
                </c:pt>
                <c:pt idx="5">
                  <c:v>6</c:v>
                </c:pt>
                <c:pt idx="6">
                  <c:v>7</c:v>
                </c:pt>
                <c:pt idx="7">
                  <c:v>1</c:v>
                </c:pt>
                <c:pt idx="8">
                  <c:v>1</c:v>
                </c:pt>
                <c:pt idx="9">
                  <c:v>1</c:v>
                </c:pt>
                <c:pt idx="10">
                  <c:v>2</c:v>
                </c:pt>
                <c:pt idx="11">
                  <c:v>1</c:v>
                </c:pt>
                <c:pt idx="12">
                  <c:v>1</c:v>
                </c:pt>
                <c:pt idx="13">
                  <c:v>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46512b8-727d-493d-9c17-b33d1fb06bf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"求和项:近30天销量"</c:f>
              <c:strCache>
                <c:ptCount val="1"/>
                <c:pt idx="0">
                  <c:v>求和项:近30天销量</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{"白色","银配黑","黑色","绿色","银色","红色","奶油色","灰色","鼠尾草色","黄色","粉红色","橘色","深灰","玫瑰金"}</c:f>
              <c:strCache>
                <c:ptCount val="14"/>
                <c:pt idx="0">
                  <c:v>白色</c:v>
                </c:pt>
                <c:pt idx="1">
                  <c:v>银配黑</c:v>
                </c:pt>
                <c:pt idx="2">
                  <c:v>黑色</c:v>
                </c:pt>
                <c:pt idx="3">
                  <c:v>绿色</c:v>
                </c:pt>
                <c:pt idx="4">
                  <c:v>银色</c:v>
                </c:pt>
                <c:pt idx="5">
                  <c:v>红色</c:v>
                </c:pt>
                <c:pt idx="6">
                  <c:v>奶油色</c:v>
                </c:pt>
                <c:pt idx="7">
                  <c:v>灰色</c:v>
                </c:pt>
                <c:pt idx="8">
                  <c:v>鼠尾草色</c:v>
                </c:pt>
                <c:pt idx="9">
                  <c:v>黄色</c:v>
                </c:pt>
                <c:pt idx="10">
                  <c:v>粉红色</c:v>
                </c:pt>
                <c:pt idx="11">
                  <c:v>橘色</c:v>
                </c:pt>
                <c:pt idx="12">
                  <c:v>深灰</c:v>
                </c:pt>
                <c:pt idx="13">
                  <c:v>玫瑰金</c:v>
                </c:pt>
              </c:strCache>
            </c:strRef>
          </c:cat>
          <c:val>
            <c:numRef>
              <c:f>{42521,47485,57180,14479,53922,7349,9249,3351,3178,2539,1946,947,498,419}</c:f>
              <c:numCache>
                <c:formatCode>General</c:formatCode>
                <c:ptCount val="14"/>
                <c:pt idx="0">
                  <c:v>42521</c:v>
                </c:pt>
                <c:pt idx="1">
                  <c:v>47485</c:v>
                </c:pt>
                <c:pt idx="2">
                  <c:v>57180</c:v>
                </c:pt>
                <c:pt idx="3">
                  <c:v>14479</c:v>
                </c:pt>
                <c:pt idx="4">
                  <c:v>53922</c:v>
                </c:pt>
                <c:pt idx="5">
                  <c:v>7349</c:v>
                </c:pt>
                <c:pt idx="6">
                  <c:v>9249</c:v>
                </c:pt>
                <c:pt idx="7">
                  <c:v>3351</c:v>
                </c:pt>
                <c:pt idx="8">
                  <c:v>3178</c:v>
                </c:pt>
                <c:pt idx="9">
                  <c:v>2539</c:v>
                </c:pt>
                <c:pt idx="10">
                  <c:v>1946</c:v>
                </c:pt>
                <c:pt idx="11">
                  <c:v>947</c:v>
                </c:pt>
                <c:pt idx="12">
                  <c:v>498</c:v>
                </c:pt>
                <c:pt idx="13">
                  <c:v>419</c:v>
                </c:pt>
              </c:numCache>
            </c:numRef>
          </c:val>
        </c:ser>
        <c:ser>
          <c:idx val="1"/>
          <c:order val="1"/>
          <c:tx>
            <c:strRef>
              <c:f>"求和项:近30天销售额($)"</c:f>
              <c:strCache>
                <c:ptCount val="1"/>
                <c:pt idx="0">
                  <c:v>求和项:近30天销售额($)</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{"白色","银配黑","黑色","绿色","银色","红色","奶油色","灰色","鼠尾草色","黄色","粉红色","橘色","深灰","玫瑰金"}</c:f>
              <c:strCache>
                <c:ptCount val="14"/>
                <c:pt idx="0">
                  <c:v>白色</c:v>
                </c:pt>
                <c:pt idx="1">
                  <c:v>银配黑</c:v>
                </c:pt>
                <c:pt idx="2">
                  <c:v>黑色</c:v>
                </c:pt>
                <c:pt idx="3">
                  <c:v>绿色</c:v>
                </c:pt>
                <c:pt idx="4">
                  <c:v>银色</c:v>
                </c:pt>
                <c:pt idx="5">
                  <c:v>红色</c:v>
                </c:pt>
                <c:pt idx="6">
                  <c:v>奶油色</c:v>
                </c:pt>
                <c:pt idx="7">
                  <c:v>灰色</c:v>
                </c:pt>
                <c:pt idx="8">
                  <c:v>鼠尾草色</c:v>
                </c:pt>
                <c:pt idx="9">
                  <c:v>黄色</c:v>
                </c:pt>
                <c:pt idx="10">
                  <c:v>粉红色</c:v>
                </c:pt>
                <c:pt idx="11">
                  <c:v>橘色</c:v>
                </c:pt>
                <c:pt idx="12">
                  <c:v>深灰</c:v>
                </c:pt>
                <c:pt idx="13">
                  <c:v>玫瑰金</c:v>
                </c:pt>
              </c:strCache>
            </c:strRef>
          </c:cat>
          <c:val>
            <c:numRef>
              <c:f>{1191274.233,1341138.938,2014391.362,525992.889,3227558.434,261314.99,585145.72,117251.49,79418.22,65988.61,67278.54,37870.53,28381.021,16751.62}</c:f>
              <c:numCache>
                <c:formatCode>General</c:formatCode>
                <c:ptCount val="14"/>
                <c:pt idx="0">
                  <c:v>1191274.233</c:v>
                </c:pt>
                <c:pt idx="1">
                  <c:v>1341138.938</c:v>
                </c:pt>
                <c:pt idx="2">
                  <c:v>2014391.362</c:v>
                </c:pt>
                <c:pt idx="3">
                  <c:v>525992.889</c:v>
                </c:pt>
                <c:pt idx="4">
                  <c:v>3227558.434</c:v>
                </c:pt>
                <c:pt idx="5">
                  <c:v>261314.99</c:v>
                </c:pt>
                <c:pt idx="6">
                  <c:v>585145.72</c:v>
                </c:pt>
                <c:pt idx="7">
                  <c:v>117251.49</c:v>
                </c:pt>
                <c:pt idx="8">
                  <c:v>79418.22</c:v>
                </c:pt>
                <c:pt idx="9">
                  <c:v>65988.61</c:v>
                </c:pt>
                <c:pt idx="10">
                  <c:v>67278.54</c:v>
                </c:pt>
                <c:pt idx="11">
                  <c:v>37870.53</c:v>
                </c:pt>
                <c:pt idx="12">
                  <c:v>28381.021</c:v>
                </c:pt>
                <c:pt idx="13">
                  <c:v>16751.62</c:v>
                </c:pt>
              </c:numCache>
            </c:numRef>
          </c:val>
        </c:ser>
        <c:ser>
          <c:idx val="2"/>
          <c:order val="2"/>
          <c:tx>
            <c:strRef>
              <c:f>"求和项:计数"</c:f>
              <c:strCache>
                <c:ptCount val="1"/>
                <c:pt idx="0">
                  <c:v>求和项:计数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{"白色","银配黑","黑色","绿色","银色","红色","奶油色","灰色","鼠尾草色","黄色","粉红色","橘色","深灰","玫瑰金"}</c:f>
              <c:strCache>
                <c:ptCount val="14"/>
                <c:pt idx="0">
                  <c:v>白色</c:v>
                </c:pt>
                <c:pt idx="1">
                  <c:v>银配黑</c:v>
                </c:pt>
                <c:pt idx="2">
                  <c:v>黑色</c:v>
                </c:pt>
                <c:pt idx="3">
                  <c:v>绿色</c:v>
                </c:pt>
                <c:pt idx="4">
                  <c:v>银色</c:v>
                </c:pt>
                <c:pt idx="5">
                  <c:v>红色</c:v>
                </c:pt>
                <c:pt idx="6">
                  <c:v>奶油色</c:v>
                </c:pt>
                <c:pt idx="7">
                  <c:v>灰色</c:v>
                </c:pt>
                <c:pt idx="8">
                  <c:v>鼠尾草色</c:v>
                </c:pt>
                <c:pt idx="9">
                  <c:v>黄色</c:v>
                </c:pt>
                <c:pt idx="10">
                  <c:v>粉红色</c:v>
                </c:pt>
                <c:pt idx="11">
                  <c:v>橘色</c:v>
                </c:pt>
                <c:pt idx="12">
                  <c:v>深灰</c:v>
                </c:pt>
                <c:pt idx="13">
                  <c:v>玫瑰金</c:v>
                </c:pt>
              </c:strCache>
            </c:strRef>
          </c:cat>
          <c:val>
            <c:numRef>
              <c:f>{8,12,20,8,31,7,6,1,1,1,2,1,1,1}</c:f>
              <c:numCache>
                <c:formatCode>General</c:formatCode>
                <c:ptCount val="14"/>
                <c:pt idx="0">
                  <c:v>8</c:v>
                </c:pt>
                <c:pt idx="1">
                  <c:v>12</c:v>
                </c:pt>
                <c:pt idx="2">
                  <c:v>20</c:v>
                </c:pt>
                <c:pt idx="3">
                  <c:v>8</c:v>
                </c:pt>
                <c:pt idx="4">
                  <c:v>31</c:v>
                </c:pt>
                <c:pt idx="5">
                  <c:v>7</c:v>
                </c:pt>
                <c:pt idx="6">
                  <c:v>6</c:v>
                </c:pt>
                <c:pt idx="7">
                  <c:v>1</c:v>
                </c:pt>
                <c:pt idx="8">
                  <c:v>1</c:v>
                </c:pt>
                <c:pt idx="9">
                  <c:v>1</c:v>
                </c:pt>
                <c:pt idx="10">
                  <c:v>2</c:v>
                </c:pt>
                <c:pt idx="11">
                  <c:v>1</c:v>
                </c:pt>
                <c:pt idx="12">
                  <c:v>1</c:v>
                </c:pt>
                <c:pt idx="13">
                  <c:v>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507b5bc-5bc5-4006-9108-59bfd0d8a65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c:name>
    <c:fmtId val="0"/>
  </c:pivotSource>
  <c:chart>
    <c:title>
      <c:layout/>
      <c:overlay val="0"/>
      <c:spPr>
        <a:noFill/>
        <a:ln>
          <a:noFill/>
        </a:ln>
        <a:effectLst/>
      </c:spPr>
      <c:txPr>
        <a:bodyPr rot="0" spcFirstLastPara="0" vertOverflow="ellipsis" vert="horz" wrap="square" anchor="ctr" anchorCtr="1"/>
        <a:lstStyle/>
        <a:p>
          <a:pPr>
            <a:defRPr lang="zh-CN" sz="1440" b="1"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title>
    <c:autoTitleDeleted val="0"/>
    <c:plotArea>
      <c:layout/>
      <c:pieChart>
        <c:varyColors val="1"/>
        <c:ser>
          <c:idx val="0"/>
          <c:order val="0"/>
          <c:tx>
            <c:strRef>
              <c:f>⑤市场大盘分析!$C$102</c:f>
              <c:strCache>
                <c:ptCount val="1"/>
                <c:pt idx="0">
                  <c:v>求和项:近30天销量</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bestFit"/>
            <c:showLegendKey val="0"/>
            <c:showVal val="1"/>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⑤市场大盘分析!$B$103:$B$150</c:f>
              <c:strCache>
                <c:ptCount val="47"/>
                <c:pt idx="0">
                  <c:v>Ninja</c:v>
                </c:pt>
                <c:pt idx="1">
                  <c:v>COSORI</c:v>
                </c:pt>
                <c:pt idx="2">
                  <c:v>Instant Pot</c:v>
                </c:pt>
                <c:pt idx="3">
                  <c:v>Chefman</c:v>
                </c:pt>
                <c:pt idx="4">
                  <c:v>Gourmia</c:v>
                </c:pt>
                <c:pt idx="5">
                  <c:v>Nuwave</c:v>
                </c:pt>
                <c:pt idx="6">
                  <c:v>DASH</c:v>
                </c:pt>
                <c:pt idx="7">
                  <c:v>Ultrean</c:v>
                </c:pt>
                <c:pt idx="8">
                  <c:v>GoWISE USA</c:v>
                </c:pt>
                <c:pt idx="9">
                  <c:v>FABULETTA</c:v>
                </c:pt>
                <c:pt idx="10">
                  <c:v>QINQIWD</c:v>
                </c:pt>
                <c:pt idx="11">
                  <c:v>PowerXL</c:v>
                </c:pt>
                <c:pt idx="12">
                  <c:v>Secura</c:v>
                </c:pt>
                <c:pt idx="13">
                  <c:v>Elite Gourmet</c:v>
                </c:pt>
                <c:pt idx="14">
                  <c:v>Emeril Everyday</c:v>
                </c:pt>
                <c:pt idx="15">
                  <c:v>CROWNFUL</c:v>
                </c:pt>
                <c:pt idx="16">
                  <c:v>PHILIPS</c:v>
                </c:pt>
                <c:pt idx="17">
                  <c:v>Hamilton Beach</c:v>
                </c:pt>
                <c:pt idx="18">
                  <c:v>Emeril Lagasse</c:v>
                </c:pt>
                <c:pt idx="19">
                  <c:v>Toshiba</c:v>
                </c:pt>
                <c:pt idx="20">
                  <c:v>LATURE</c:v>
                </c:pt>
                <c:pt idx="21">
                  <c:v>Dreo</c:v>
                </c:pt>
                <c:pt idx="22">
                  <c:v>DEIME</c:v>
                </c:pt>
                <c:pt idx="23">
                  <c:v>Cuisinart</c:v>
                </c:pt>
                <c:pt idx="24">
                  <c:v>Oster</c:v>
                </c:pt>
                <c:pt idx="25">
                  <c:v>whall</c:v>
                </c:pt>
                <c:pt idx="26">
                  <c:v>NutriChef</c:v>
                </c:pt>
                <c:pt idx="27">
                  <c:v>VILIWIN</c:v>
                </c:pt>
                <c:pt idx="28">
                  <c:v>Kalorik</c:v>
                </c:pt>
                <c:pt idx="29">
                  <c:v>Geek Chef</c:v>
                </c:pt>
                <c:pt idx="30">
                  <c:v>Breville</c:v>
                </c:pt>
                <c:pt idx="31">
                  <c:v>Amazon Renewed</c:v>
                </c:pt>
                <c:pt idx="32">
                  <c:v>Gluck</c:v>
                </c:pt>
                <c:pt idx="33">
                  <c:v>KOOC</c:v>
                </c:pt>
                <c:pt idx="34">
                  <c:v>COMFEE'</c:v>
                </c:pt>
                <c:pt idx="35">
                  <c:v>Paula Deen</c:v>
                </c:pt>
                <c:pt idx="36">
                  <c:v>CUSIMAX</c:v>
                </c:pt>
                <c:pt idx="37">
                  <c:v>PHKOK</c:v>
                </c:pt>
                <c:pt idx="38">
                  <c:v>Simple Deluxe</c:v>
                </c:pt>
                <c:pt idx="39">
                  <c:v>Beelicious</c:v>
                </c:pt>
                <c:pt idx="40">
                  <c:v>Uten</c:v>
                </c:pt>
                <c:pt idx="41">
                  <c:v>Gevi</c:v>
                </c:pt>
                <c:pt idx="42">
                  <c:v>ICONITESUE</c:v>
                </c:pt>
                <c:pt idx="43">
                  <c:v>ALLcool</c:v>
                </c:pt>
                <c:pt idx="44">
                  <c:v>BELLA</c:v>
                </c:pt>
                <c:pt idx="45">
                  <c:v>Ninja Foodi</c:v>
                </c:pt>
                <c:pt idx="46">
                  <c:v>Aeitto</c:v>
                </c:pt>
              </c:strCache>
            </c:strRef>
          </c:cat>
          <c:val>
            <c:numRef>
              <c:f>⑤市场大盘分析!$C$103:$C$150</c:f>
              <c:numCache>
                <c:formatCode>General</c:formatCode>
                <c:ptCount val="47"/>
                <c:pt idx="0">
                  <c:v>73868</c:v>
                </c:pt>
                <c:pt idx="1">
                  <c:v>71666</c:v>
                </c:pt>
                <c:pt idx="2">
                  <c:v>48336</c:v>
                </c:pt>
                <c:pt idx="3">
                  <c:v>13516</c:v>
                </c:pt>
                <c:pt idx="4">
                  <c:v>10156</c:v>
                </c:pt>
                <c:pt idx="5">
                  <c:v>8893</c:v>
                </c:pt>
                <c:pt idx="6">
                  <c:v>8839</c:v>
                </c:pt>
                <c:pt idx="7">
                  <c:v>6105</c:v>
                </c:pt>
                <c:pt idx="8">
                  <c:v>5756</c:v>
                </c:pt>
                <c:pt idx="9">
                  <c:v>5094</c:v>
                </c:pt>
                <c:pt idx="10">
                  <c:v>3836</c:v>
                </c:pt>
                <c:pt idx="11">
                  <c:v>3638</c:v>
                </c:pt>
                <c:pt idx="12">
                  <c:v>3320</c:v>
                </c:pt>
                <c:pt idx="13">
                  <c:v>3187</c:v>
                </c:pt>
                <c:pt idx="14">
                  <c:v>2970</c:v>
                </c:pt>
                <c:pt idx="15">
                  <c:v>2727</c:v>
                </c:pt>
                <c:pt idx="16">
                  <c:v>2410</c:v>
                </c:pt>
                <c:pt idx="17">
                  <c:v>2305</c:v>
                </c:pt>
                <c:pt idx="18">
                  <c:v>2205</c:v>
                </c:pt>
                <c:pt idx="19">
                  <c:v>2153</c:v>
                </c:pt>
                <c:pt idx="20">
                  <c:v>1962</c:v>
                </c:pt>
                <c:pt idx="21">
                  <c:v>1757</c:v>
                </c:pt>
                <c:pt idx="22">
                  <c:v>1549</c:v>
                </c:pt>
                <c:pt idx="23">
                  <c:v>1381</c:v>
                </c:pt>
                <c:pt idx="24">
                  <c:v>1341</c:v>
                </c:pt>
                <c:pt idx="25">
                  <c:v>1235</c:v>
                </c:pt>
                <c:pt idx="26">
                  <c:v>1154</c:v>
                </c:pt>
                <c:pt idx="27">
                  <c:v>1109</c:v>
                </c:pt>
                <c:pt idx="28">
                  <c:v>1034</c:v>
                </c:pt>
                <c:pt idx="29">
                  <c:v>985</c:v>
                </c:pt>
                <c:pt idx="30">
                  <c:v>956</c:v>
                </c:pt>
                <c:pt idx="31">
                  <c:v>936</c:v>
                </c:pt>
                <c:pt idx="32">
                  <c:v>872</c:v>
                </c:pt>
                <c:pt idx="33">
                  <c:v>851</c:v>
                </c:pt>
                <c:pt idx="34">
                  <c:v>817</c:v>
                </c:pt>
                <c:pt idx="35">
                  <c:v>666</c:v>
                </c:pt>
                <c:pt idx="36">
                  <c:v>600</c:v>
                </c:pt>
                <c:pt idx="37">
                  <c:v>578</c:v>
                </c:pt>
                <c:pt idx="38">
                  <c:v>510</c:v>
                </c:pt>
                <c:pt idx="39">
                  <c:v>490</c:v>
                </c:pt>
                <c:pt idx="40">
                  <c:v>452</c:v>
                </c:pt>
                <c:pt idx="41">
                  <c:v>406</c:v>
                </c:pt>
                <c:pt idx="42">
                  <c:v>372</c:v>
                </c:pt>
                <c:pt idx="43">
                  <c:v>363</c:v>
                </c:pt>
                <c:pt idx="44">
                  <c:v>309</c:v>
                </c:pt>
                <c:pt idx="45">
                  <c:v>241</c:v>
                </c:pt>
                <c:pt idx="46">
                  <c:v>231</c:v>
                </c:pt>
              </c:numCache>
            </c:numRef>
          </c:val>
        </c:ser>
        <c:ser>
          <c:idx val="1"/>
          <c:order val="1"/>
          <c:tx>
            <c:strRef>
              <c:f>⑤市场大盘分析!$D$102</c:f>
              <c:strCache>
                <c:ptCount val="1"/>
                <c:pt idx="0">
                  <c:v>求和项:近30天销售额($)</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⑤市场大盘分析!$B$103:$B$150</c:f>
              <c:strCache>
                <c:ptCount val="47"/>
                <c:pt idx="0">
                  <c:v>Ninja</c:v>
                </c:pt>
                <c:pt idx="1">
                  <c:v>COSORI</c:v>
                </c:pt>
                <c:pt idx="2">
                  <c:v>Instant Pot</c:v>
                </c:pt>
                <c:pt idx="3">
                  <c:v>Chefman</c:v>
                </c:pt>
                <c:pt idx="4">
                  <c:v>Gourmia</c:v>
                </c:pt>
                <c:pt idx="5">
                  <c:v>Nuwave</c:v>
                </c:pt>
                <c:pt idx="6">
                  <c:v>DASH</c:v>
                </c:pt>
                <c:pt idx="7">
                  <c:v>Ultrean</c:v>
                </c:pt>
                <c:pt idx="8">
                  <c:v>GoWISE USA</c:v>
                </c:pt>
                <c:pt idx="9">
                  <c:v>FABULETTA</c:v>
                </c:pt>
                <c:pt idx="10">
                  <c:v>QINQIWD</c:v>
                </c:pt>
                <c:pt idx="11">
                  <c:v>PowerXL</c:v>
                </c:pt>
                <c:pt idx="12">
                  <c:v>Secura</c:v>
                </c:pt>
                <c:pt idx="13">
                  <c:v>Elite Gourmet</c:v>
                </c:pt>
                <c:pt idx="14">
                  <c:v>Emeril Everyday</c:v>
                </c:pt>
                <c:pt idx="15">
                  <c:v>CROWNFUL</c:v>
                </c:pt>
                <c:pt idx="16">
                  <c:v>PHILIPS</c:v>
                </c:pt>
                <c:pt idx="17">
                  <c:v>Hamilton Beach</c:v>
                </c:pt>
                <c:pt idx="18">
                  <c:v>Emeril Lagasse</c:v>
                </c:pt>
                <c:pt idx="19">
                  <c:v>Toshiba</c:v>
                </c:pt>
                <c:pt idx="20">
                  <c:v>LATURE</c:v>
                </c:pt>
                <c:pt idx="21">
                  <c:v>Dreo</c:v>
                </c:pt>
                <c:pt idx="22">
                  <c:v>DEIME</c:v>
                </c:pt>
                <c:pt idx="23">
                  <c:v>Cuisinart</c:v>
                </c:pt>
                <c:pt idx="24">
                  <c:v>Oster</c:v>
                </c:pt>
                <c:pt idx="25">
                  <c:v>whall</c:v>
                </c:pt>
                <c:pt idx="26">
                  <c:v>NutriChef</c:v>
                </c:pt>
                <c:pt idx="27">
                  <c:v>VILIWIN</c:v>
                </c:pt>
                <c:pt idx="28">
                  <c:v>Kalorik</c:v>
                </c:pt>
                <c:pt idx="29">
                  <c:v>Geek Chef</c:v>
                </c:pt>
                <c:pt idx="30">
                  <c:v>Breville</c:v>
                </c:pt>
                <c:pt idx="31">
                  <c:v>Amazon Renewed</c:v>
                </c:pt>
                <c:pt idx="32">
                  <c:v>Gluck</c:v>
                </c:pt>
                <c:pt idx="33">
                  <c:v>KOOC</c:v>
                </c:pt>
                <c:pt idx="34">
                  <c:v>COMFEE'</c:v>
                </c:pt>
                <c:pt idx="35">
                  <c:v>Paula Deen</c:v>
                </c:pt>
                <c:pt idx="36">
                  <c:v>CUSIMAX</c:v>
                </c:pt>
                <c:pt idx="37">
                  <c:v>PHKOK</c:v>
                </c:pt>
                <c:pt idx="38">
                  <c:v>Simple Deluxe</c:v>
                </c:pt>
                <c:pt idx="39">
                  <c:v>Beelicious</c:v>
                </c:pt>
                <c:pt idx="40">
                  <c:v>Uten</c:v>
                </c:pt>
                <c:pt idx="41">
                  <c:v>Gevi</c:v>
                </c:pt>
                <c:pt idx="42">
                  <c:v>ICONITESUE</c:v>
                </c:pt>
                <c:pt idx="43">
                  <c:v>ALLcool</c:v>
                </c:pt>
                <c:pt idx="44">
                  <c:v>BELLA</c:v>
                </c:pt>
                <c:pt idx="45">
                  <c:v>Ninja Foodi</c:v>
                </c:pt>
                <c:pt idx="46">
                  <c:v>Aeitto</c:v>
                </c:pt>
              </c:strCache>
            </c:strRef>
          </c:cat>
          <c:val>
            <c:numRef>
              <c:f>⑤市场大盘分析!$D$103:$D$150</c:f>
              <c:numCache>
                <c:formatCode>0.00_ </c:formatCode>
                <c:ptCount val="47"/>
                <c:pt idx="0">
                  <c:v>10891184.26</c:v>
                </c:pt>
                <c:pt idx="1">
                  <c:v>6591282.01</c:v>
                </c:pt>
                <c:pt idx="2">
                  <c:v>5146592.7</c:v>
                </c:pt>
                <c:pt idx="3">
                  <c:v>1232577.938</c:v>
                </c:pt>
                <c:pt idx="4">
                  <c:v>645445.12</c:v>
                </c:pt>
                <c:pt idx="5">
                  <c:v>889693.66</c:v>
                </c:pt>
                <c:pt idx="6">
                  <c:v>420729.49</c:v>
                </c:pt>
                <c:pt idx="7">
                  <c:v>453468.865</c:v>
                </c:pt>
                <c:pt idx="8">
                  <c:v>471566.68</c:v>
                </c:pt>
                <c:pt idx="9">
                  <c:v>464519.05</c:v>
                </c:pt>
                <c:pt idx="10">
                  <c:v>22478.96</c:v>
                </c:pt>
                <c:pt idx="11">
                  <c:v>403777.198</c:v>
                </c:pt>
                <c:pt idx="12">
                  <c:v>219757.299</c:v>
                </c:pt>
                <c:pt idx="13">
                  <c:v>121321.66</c:v>
                </c:pt>
                <c:pt idx="14">
                  <c:v>858330</c:v>
                </c:pt>
                <c:pt idx="15">
                  <c:v>229572.724</c:v>
                </c:pt>
                <c:pt idx="16">
                  <c:v>300602.72</c:v>
                </c:pt>
                <c:pt idx="17">
                  <c:v>161326.94</c:v>
                </c:pt>
                <c:pt idx="18">
                  <c:v>352777.97</c:v>
                </c:pt>
                <c:pt idx="19">
                  <c:v>516698.47</c:v>
                </c:pt>
                <c:pt idx="20">
                  <c:v>88074.18</c:v>
                </c:pt>
                <c:pt idx="21">
                  <c:v>208081.52</c:v>
                </c:pt>
                <c:pt idx="22">
                  <c:v>141544.51</c:v>
                </c:pt>
                <c:pt idx="23">
                  <c:v>170097.77</c:v>
                </c:pt>
                <c:pt idx="24">
                  <c:v>107266.586</c:v>
                </c:pt>
                <c:pt idx="25">
                  <c:v>185237.66</c:v>
                </c:pt>
                <c:pt idx="26">
                  <c:v>68438.183</c:v>
                </c:pt>
                <c:pt idx="27">
                  <c:v>70920.555</c:v>
                </c:pt>
                <c:pt idx="28">
                  <c:v>185086</c:v>
                </c:pt>
                <c:pt idx="29">
                  <c:v>196990.16</c:v>
                </c:pt>
                <c:pt idx="30">
                  <c:v>334552.22</c:v>
                </c:pt>
                <c:pt idx="31">
                  <c:v>93590.64</c:v>
                </c:pt>
                <c:pt idx="32">
                  <c:v>113351.28</c:v>
                </c:pt>
                <c:pt idx="33">
                  <c:v>93601.484</c:v>
                </c:pt>
                <c:pt idx="34">
                  <c:v>81691.83</c:v>
                </c:pt>
                <c:pt idx="35">
                  <c:v>126533.34</c:v>
                </c:pt>
                <c:pt idx="36">
                  <c:v>71994</c:v>
                </c:pt>
                <c:pt idx="37">
                  <c:v>35830.223</c:v>
                </c:pt>
                <c:pt idx="38">
                  <c:v>60894</c:v>
                </c:pt>
                <c:pt idx="39">
                  <c:v>112695.1</c:v>
                </c:pt>
                <c:pt idx="40">
                  <c:v>24335.68</c:v>
                </c:pt>
                <c:pt idx="41">
                  <c:v>54805.94</c:v>
                </c:pt>
                <c:pt idx="42">
                  <c:v>27505.682</c:v>
                </c:pt>
                <c:pt idx="43">
                  <c:v>65321.848</c:v>
                </c:pt>
                <c:pt idx="44">
                  <c:v>15357.3</c:v>
                </c:pt>
                <c:pt idx="45">
                  <c:v>16867.59</c:v>
                </c:pt>
                <c:pt idx="46">
                  <c:v>43887.69</c:v>
                </c:pt>
              </c:numCache>
            </c:numRef>
          </c:val>
        </c:ser>
        <c:ser>
          <c:idx val="2"/>
          <c:order val="2"/>
          <c:tx>
            <c:strRef>
              <c:f>⑤市场大盘分析!$E$102</c:f>
              <c:strCache>
                <c:ptCount val="1"/>
                <c:pt idx="0">
                  <c:v>求和项:计数</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⑤市场大盘分析!$B$103:$B$150</c:f>
              <c:strCache>
                <c:ptCount val="47"/>
                <c:pt idx="0">
                  <c:v>Ninja</c:v>
                </c:pt>
                <c:pt idx="1">
                  <c:v>COSORI</c:v>
                </c:pt>
                <c:pt idx="2">
                  <c:v>Instant Pot</c:v>
                </c:pt>
                <c:pt idx="3">
                  <c:v>Chefman</c:v>
                </c:pt>
                <c:pt idx="4">
                  <c:v>Gourmia</c:v>
                </c:pt>
                <c:pt idx="5">
                  <c:v>Nuwave</c:v>
                </c:pt>
                <c:pt idx="6">
                  <c:v>DASH</c:v>
                </c:pt>
                <c:pt idx="7">
                  <c:v>Ultrean</c:v>
                </c:pt>
                <c:pt idx="8">
                  <c:v>GoWISE USA</c:v>
                </c:pt>
                <c:pt idx="9">
                  <c:v>FABULETTA</c:v>
                </c:pt>
                <c:pt idx="10">
                  <c:v>QINQIWD</c:v>
                </c:pt>
                <c:pt idx="11">
                  <c:v>PowerXL</c:v>
                </c:pt>
                <c:pt idx="12">
                  <c:v>Secura</c:v>
                </c:pt>
                <c:pt idx="13">
                  <c:v>Elite Gourmet</c:v>
                </c:pt>
                <c:pt idx="14">
                  <c:v>Emeril Everyday</c:v>
                </c:pt>
                <c:pt idx="15">
                  <c:v>CROWNFUL</c:v>
                </c:pt>
                <c:pt idx="16">
                  <c:v>PHILIPS</c:v>
                </c:pt>
                <c:pt idx="17">
                  <c:v>Hamilton Beach</c:v>
                </c:pt>
                <c:pt idx="18">
                  <c:v>Emeril Lagasse</c:v>
                </c:pt>
                <c:pt idx="19">
                  <c:v>Toshiba</c:v>
                </c:pt>
                <c:pt idx="20">
                  <c:v>LATURE</c:v>
                </c:pt>
                <c:pt idx="21">
                  <c:v>Dreo</c:v>
                </c:pt>
                <c:pt idx="22">
                  <c:v>DEIME</c:v>
                </c:pt>
                <c:pt idx="23">
                  <c:v>Cuisinart</c:v>
                </c:pt>
                <c:pt idx="24">
                  <c:v>Oster</c:v>
                </c:pt>
                <c:pt idx="25">
                  <c:v>whall</c:v>
                </c:pt>
                <c:pt idx="26">
                  <c:v>NutriChef</c:v>
                </c:pt>
                <c:pt idx="27">
                  <c:v>VILIWIN</c:v>
                </c:pt>
                <c:pt idx="28">
                  <c:v>Kalorik</c:v>
                </c:pt>
                <c:pt idx="29">
                  <c:v>Geek Chef</c:v>
                </c:pt>
                <c:pt idx="30">
                  <c:v>Breville</c:v>
                </c:pt>
                <c:pt idx="31">
                  <c:v>Amazon Renewed</c:v>
                </c:pt>
                <c:pt idx="32">
                  <c:v>Gluck</c:v>
                </c:pt>
                <c:pt idx="33">
                  <c:v>KOOC</c:v>
                </c:pt>
                <c:pt idx="34">
                  <c:v>COMFEE'</c:v>
                </c:pt>
                <c:pt idx="35">
                  <c:v>Paula Deen</c:v>
                </c:pt>
                <c:pt idx="36">
                  <c:v>CUSIMAX</c:v>
                </c:pt>
                <c:pt idx="37">
                  <c:v>PHKOK</c:v>
                </c:pt>
                <c:pt idx="38">
                  <c:v>Simple Deluxe</c:v>
                </c:pt>
                <c:pt idx="39">
                  <c:v>Beelicious</c:v>
                </c:pt>
                <c:pt idx="40">
                  <c:v>Uten</c:v>
                </c:pt>
                <c:pt idx="41">
                  <c:v>Gevi</c:v>
                </c:pt>
                <c:pt idx="42">
                  <c:v>ICONITESUE</c:v>
                </c:pt>
                <c:pt idx="43">
                  <c:v>ALLcool</c:v>
                </c:pt>
                <c:pt idx="44">
                  <c:v>BELLA</c:v>
                </c:pt>
                <c:pt idx="45">
                  <c:v>Ninja Foodi</c:v>
                </c:pt>
                <c:pt idx="46">
                  <c:v>Aeitto</c:v>
                </c:pt>
              </c:strCache>
            </c:strRef>
          </c:cat>
          <c:val>
            <c:numRef>
              <c:f>⑤市场大盘分析!$E$103:$E$150</c:f>
              <c:numCache>
                <c:formatCode>General</c:formatCode>
                <c:ptCount val="47"/>
                <c:pt idx="0">
                  <c:v>9</c:v>
                </c:pt>
                <c:pt idx="1">
                  <c:v>8</c:v>
                </c:pt>
                <c:pt idx="2">
                  <c:v>4</c:v>
                </c:pt>
                <c:pt idx="3">
                  <c:v>9</c:v>
                </c:pt>
                <c:pt idx="4">
                  <c:v>3</c:v>
                </c:pt>
                <c:pt idx="5">
                  <c:v>4</c:v>
                </c:pt>
                <c:pt idx="6">
                  <c:v>4</c:v>
                </c:pt>
                <c:pt idx="7">
                  <c:v>3</c:v>
                </c:pt>
                <c:pt idx="8">
                  <c:v>4</c:v>
                </c:pt>
                <c:pt idx="9">
                  <c:v>2</c:v>
                </c:pt>
                <c:pt idx="10">
                  <c:v>1</c:v>
                </c:pt>
                <c:pt idx="11">
                  <c:v>6</c:v>
                </c:pt>
                <c:pt idx="12">
                  <c:v>2</c:v>
                </c:pt>
                <c:pt idx="13">
                  <c:v>3</c:v>
                </c:pt>
                <c:pt idx="14">
                  <c:v>1</c:v>
                </c:pt>
                <c:pt idx="15">
                  <c:v>3</c:v>
                </c:pt>
                <c:pt idx="16">
                  <c:v>2</c:v>
                </c:pt>
                <c:pt idx="17">
                  <c:v>1</c:v>
                </c:pt>
                <c:pt idx="18">
                  <c:v>1</c:v>
                </c:pt>
                <c:pt idx="19">
                  <c:v>1</c:v>
                </c:pt>
                <c:pt idx="20">
                  <c:v>1</c:v>
                </c:pt>
                <c:pt idx="21">
                  <c:v>1</c:v>
                </c:pt>
                <c:pt idx="22">
                  <c:v>2</c:v>
                </c:pt>
                <c:pt idx="23">
                  <c:v>1</c:v>
                </c:pt>
                <c:pt idx="24">
                  <c:v>1</c:v>
                </c:pt>
                <c:pt idx="25">
                  <c:v>1</c:v>
                </c:pt>
                <c:pt idx="26">
                  <c:v>2</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cac90ce6-89d3-4ed7-91c9-91cb0661013c}"/>
      </c:ext>
    </c:extLst>
  </c:chart>
  <c:spPr>
    <a:solidFill>
      <a:schemeClr val="bg1"/>
    </a:solidFill>
    <a:ln w="9525" cap="flat" cmpd="sng" algn="ctr">
      <a:solidFill>
        <a:schemeClr val="tx1">
          <a:lumMod val="15000"/>
          <a:lumOff val="85000"/>
        </a:schemeClr>
      </a:solidFill>
      <a:round/>
    </a:ln>
    <a:effectLst/>
  </c:spPr>
  <c:txPr>
    <a:bodyPr/>
    <a:lstStyle/>
    <a:p>
      <a:pPr>
        <a:defRPr lang="zh-CN" sz="1200" b="1">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Fryer).xlsx]⑤市场大盘分析!数据透视表2</c:name>
    <c:fmtId val="0"/>
  </c:pivotSource>
  <c:chart>
    <c:title>
      <c:layout/>
      <c:overlay val="0"/>
      <c:spPr>
        <a:noFill/>
        <a:ln>
          <a:noFill/>
        </a:ln>
        <a:effectLst/>
      </c:spPr>
      <c:txPr>
        <a:bodyPr rot="0" spcFirstLastPara="0" vertOverflow="ellipsis" vert="horz" wrap="square" anchor="ctr" anchorCtr="1"/>
        <a:lstStyle/>
        <a:p>
          <a:pPr>
            <a:defRPr lang="zh-CN" sz="1400" b="1"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title>
    <c:autoTitleDeleted val="0"/>
    <c:plotArea>
      <c:layout/>
      <c:pieChart>
        <c:varyColors val="1"/>
        <c:ser>
          <c:idx val="0"/>
          <c:order val="0"/>
          <c:tx>
            <c:strRef>
              <c:f>⑤市场大盘分析!$C$158</c:f>
              <c:strCache>
                <c:ptCount val="1"/>
                <c:pt idx="0">
                  <c:v>求和项:近30天销量</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bestFit"/>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⑤市场大盘分析!$B$159:$B$187</c:f>
              <c:strCache>
                <c:ptCount val="28"/>
                <c:pt idx="0">
                  <c:v>Amazon</c:v>
                </c:pt>
                <c:pt idx="2">
                  <c:v>charmantroom</c:v>
                </c:pt>
                <c:pt idx="3">
                  <c:v>Innovation IQ</c:v>
                </c:pt>
                <c:pt idx="4">
                  <c:v>Ultrean Inc</c:v>
                </c:pt>
                <c:pt idx="5">
                  <c:v>ZZLJSMY</c:v>
                </c:pt>
                <c:pt idx="6">
                  <c:v>Nekteck Direct</c:v>
                </c:pt>
                <c:pt idx="7">
                  <c:v>TienditaGarza</c:v>
                </c:pt>
                <c:pt idx="8">
                  <c:v>FLD-FRYER</c:v>
                </c:pt>
                <c:pt idx="9">
                  <c:v>Woot</c:v>
                </c:pt>
                <c:pt idx="10">
                  <c:v>Amazon.com</c:v>
                </c:pt>
                <c:pt idx="11">
                  <c:v>VILIWIN Store</c:v>
                </c:pt>
                <c:pt idx="12">
                  <c:v>BAISELLER</c:v>
                </c:pt>
                <c:pt idx="13">
                  <c:v>Kalorik LLC</c:v>
                </c:pt>
                <c:pt idx="14">
                  <c:v>THE REAL DEAL</c:v>
                </c:pt>
                <c:pt idx="15">
                  <c:v>Kitchen Kapers</c:v>
                </c:pt>
                <c:pt idx="16">
                  <c:v>DEIME Inc.</c:v>
                </c:pt>
                <c:pt idx="17">
                  <c:v>KOOC Official</c:v>
                </c:pt>
                <c:pt idx="18">
                  <c:v>Lillomcom</c:v>
                </c:pt>
                <c:pt idx="19">
                  <c:v>CYBER OUTLET</c:v>
                </c:pt>
                <c:pt idx="20">
                  <c:v>Tyche-Home Kitchen Small Appliance</c:v>
                </c:pt>
                <c:pt idx="21">
                  <c:v>ningboyanxi</c:v>
                </c:pt>
                <c:pt idx="22">
                  <c:v>Easi Life Store</c:v>
                </c:pt>
                <c:pt idx="23">
                  <c:v>RBU2017UTEN US</c:v>
                </c:pt>
                <c:pt idx="24">
                  <c:v>Wotoh Wholesale</c:v>
                </c:pt>
                <c:pt idx="25">
                  <c:v>HEROIC SUPPORT LIMITED</c:v>
                </c:pt>
                <c:pt idx="26">
                  <c:v>ICONITESUE Official</c:v>
                </c:pt>
                <c:pt idx="27">
                  <c:v>GOKUL ProLife Store</c:v>
                </c:pt>
              </c:strCache>
            </c:strRef>
          </c:cat>
          <c:val>
            <c:numRef>
              <c:f>⑤市场大盘分析!$C$159:$C$187</c:f>
              <c:numCache>
                <c:formatCode>General</c:formatCode>
                <c:ptCount val="28"/>
                <c:pt idx="0">
                  <c:v>203157</c:v>
                </c:pt>
                <c:pt idx="1">
                  <c:v>62301</c:v>
                </c:pt>
                <c:pt idx="2">
                  <c:v>4279</c:v>
                </c:pt>
                <c:pt idx="3">
                  <c:v>4142</c:v>
                </c:pt>
                <c:pt idx="4">
                  <c:v>3991</c:v>
                </c:pt>
                <c:pt idx="5">
                  <c:v>3836</c:v>
                </c:pt>
                <c:pt idx="6">
                  <c:v>2727</c:v>
                </c:pt>
                <c:pt idx="7">
                  <c:v>2205</c:v>
                </c:pt>
                <c:pt idx="8">
                  <c:v>1962</c:v>
                </c:pt>
                <c:pt idx="9">
                  <c:v>1843</c:v>
                </c:pt>
                <c:pt idx="10">
                  <c:v>1686</c:v>
                </c:pt>
                <c:pt idx="11">
                  <c:v>1109</c:v>
                </c:pt>
                <c:pt idx="12">
                  <c:v>1104</c:v>
                </c:pt>
                <c:pt idx="13">
                  <c:v>1034</c:v>
                </c:pt>
                <c:pt idx="14">
                  <c:v>1006</c:v>
                </c:pt>
                <c:pt idx="15">
                  <c:v>956</c:v>
                </c:pt>
                <c:pt idx="16">
                  <c:v>882</c:v>
                </c:pt>
                <c:pt idx="17">
                  <c:v>851</c:v>
                </c:pt>
                <c:pt idx="18">
                  <c:v>815</c:v>
                </c:pt>
                <c:pt idx="19">
                  <c:v>704</c:v>
                </c:pt>
                <c:pt idx="20">
                  <c:v>600</c:v>
                </c:pt>
                <c:pt idx="21">
                  <c:v>578</c:v>
                </c:pt>
                <c:pt idx="22">
                  <c:v>490</c:v>
                </c:pt>
                <c:pt idx="23">
                  <c:v>452</c:v>
                </c:pt>
                <c:pt idx="24">
                  <c:v>418</c:v>
                </c:pt>
                <c:pt idx="25">
                  <c:v>406</c:v>
                </c:pt>
                <c:pt idx="26">
                  <c:v>372</c:v>
                </c:pt>
                <c:pt idx="27">
                  <c:v>231</c:v>
                </c:pt>
              </c:numCache>
            </c:numRef>
          </c:val>
        </c:ser>
        <c:ser>
          <c:idx val="1"/>
          <c:order val="1"/>
          <c:tx>
            <c:strRef>
              <c:f>⑤市场大盘分析!$D$158</c:f>
              <c:strCache>
                <c:ptCount val="1"/>
                <c:pt idx="0">
                  <c:v>求和项:近30天销售额($)</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⑤市场大盘分析!$B$159:$B$187</c:f>
              <c:strCache>
                <c:ptCount val="28"/>
                <c:pt idx="0">
                  <c:v>Amazon</c:v>
                </c:pt>
                <c:pt idx="2">
                  <c:v>charmantroom</c:v>
                </c:pt>
                <c:pt idx="3">
                  <c:v>Innovation IQ</c:v>
                </c:pt>
                <c:pt idx="4">
                  <c:v>Ultrean Inc</c:v>
                </c:pt>
                <c:pt idx="5">
                  <c:v>ZZLJSMY</c:v>
                </c:pt>
                <c:pt idx="6">
                  <c:v>Nekteck Direct</c:v>
                </c:pt>
                <c:pt idx="7">
                  <c:v>TienditaGarza</c:v>
                </c:pt>
                <c:pt idx="8">
                  <c:v>FLD-FRYER</c:v>
                </c:pt>
                <c:pt idx="9">
                  <c:v>Woot</c:v>
                </c:pt>
                <c:pt idx="10">
                  <c:v>Amazon.com</c:v>
                </c:pt>
                <c:pt idx="11">
                  <c:v>VILIWIN Store</c:v>
                </c:pt>
                <c:pt idx="12">
                  <c:v>BAISELLER</c:v>
                </c:pt>
                <c:pt idx="13">
                  <c:v>Kalorik LLC</c:v>
                </c:pt>
                <c:pt idx="14">
                  <c:v>THE REAL DEAL</c:v>
                </c:pt>
                <c:pt idx="15">
                  <c:v>Kitchen Kapers</c:v>
                </c:pt>
                <c:pt idx="16">
                  <c:v>DEIME Inc.</c:v>
                </c:pt>
                <c:pt idx="17">
                  <c:v>KOOC Official</c:v>
                </c:pt>
                <c:pt idx="18">
                  <c:v>Lillomcom</c:v>
                </c:pt>
                <c:pt idx="19">
                  <c:v>CYBER OUTLET</c:v>
                </c:pt>
                <c:pt idx="20">
                  <c:v>Tyche-Home Kitchen Small Appliance</c:v>
                </c:pt>
                <c:pt idx="21">
                  <c:v>ningboyanxi</c:v>
                </c:pt>
                <c:pt idx="22">
                  <c:v>Easi Life Store</c:v>
                </c:pt>
                <c:pt idx="23">
                  <c:v>RBU2017UTEN US</c:v>
                </c:pt>
                <c:pt idx="24">
                  <c:v>Wotoh Wholesale</c:v>
                </c:pt>
                <c:pt idx="25">
                  <c:v>HEROIC SUPPORT LIMITED</c:v>
                </c:pt>
                <c:pt idx="26">
                  <c:v>ICONITESUE Official</c:v>
                </c:pt>
                <c:pt idx="27">
                  <c:v>GOKUL ProLife Store</c:v>
                </c:pt>
              </c:strCache>
            </c:strRef>
          </c:cat>
          <c:val>
            <c:numRef>
              <c:f>⑤市场大盘分析!$D$159:$D$187</c:f>
              <c:numCache>
                <c:formatCode>0.00_ </c:formatCode>
                <c:ptCount val="28"/>
                <c:pt idx="0">
                  <c:v>20979604.91</c:v>
                </c:pt>
                <c:pt idx="1">
                  <c:v>7959652.979</c:v>
                </c:pt>
                <c:pt idx="2">
                  <c:v>342277.2</c:v>
                </c:pt>
                <c:pt idx="3">
                  <c:v>969772.238</c:v>
                </c:pt>
                <c:pt idx="4">
                  <c:v>279330.1</c:v>
                </c:pt>
                <c:pt idx="5">
                  <c:v>22478.96</c:v>
                </c:pt>
                <c:pt idx="6">
                  <c:v>229572.724</c:v>
                </c:pt>
                <c:pt idx="7">
                  <c:v>352777.97</c:v>
                </c:pt>
                <c:pt idx="8">
                  <c:v>88074.18</c:v>
                </c:pt>
                <c:pt idx="9">
                  <c:v>236991.57</c:v>
                </c:pt>
                <c:pt idx="10">
                  <c:v>172067.83</c:v>
                </c:pt>
                <c:pt idx="11">
                  <c:v>70920.555</c:v>
                </c:pt>
                <c:pt idx="12">
                  <c:v>88308.96</c:v>
                </c:pt>
                <c:pt idx="13">
                  <c:v>185086</c:v>
                </c:pt>
                <c:pt idx="14">
                  <c:v>48257.82</c:v>
                </c:pt>
                <c:pt idx="15">
                  <c:v>334552.22</c:v>
                </c:pt>
                <c:pt idx="16">
                  <c:v>88191.18</c:v>
                </c:pt>
                <c:pt idx="17">
                  <c:v>93601.484</c:v>
                </c:pt>
                <c:pt idx="18">
                  <c:v>122241.85</c:v>
                </c:pt>
                <c:pt idx="19">
                  <c:v>111900.8</c:v>
                </c:pt>
                <c:pt idx="20">
                  <c:v>71994</c:v>
                </c:pt>
                <c:pt idx="21">
                  <c:v>35830.223</c:v>
                </c:pt>
                <c:pt idx="22">
                  <c:v>112695.1</c:v>
                </c:pt>
                <c:pt idx="23">
                  <c:v>24335.68</c:v>
                </c:pt>
                <c:pt idx="24">
                  <c:v>41540.84</c:v>
                </c:pt>
                <c:pt idx="25">
                  <c:v>54805.94</c:v>
                </c:pt>
                <c:pt idx="26">
                  <c:v>27505.682</c:v>
                </c:pt>
                <c:pt idx="27">
                  <c:v>43887.69</c:v>
                </c:pt>
              </c:numCache>
            </c:numRef>
          </c:val>
        </c:ser>
        <c:ser>
          <c:idx val="2"/>
          <c:order val="2"/>
          <c:tx>
            <c:strRef>
              <c:f>⑤市场大盘分析!$E$158</c:f>
              <c:strCache>
                <c:ptCount val="1"/>
                <c:pt idx="0">
                  <c:v>求和项:计数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⑤市场大盘分析!$B$159:$B$187</c:f>
              <c:strCache>
                <c:ptCount val="28"/>
                <c:pt idx="0">
                  <c:v>Amazon</c:v>
                </c:pt>
                <c:pt idx="2">
                  <c:v>charmantroom</c:v>
                </c:pt>
                <c:pt idx="3">
                  <c:v>Innovation IQ</c:v>
                </c:pt>
                <c:pt idx="4">
                  <c:v>Ultrean Inc</c:v>
                </c:pt>
                <c:pt idx="5">
                  <c:v>ZZLJSMY</c:v>
                </c:pt>
                <c:pt idx="6">
                  <c:v>Nekteck Direct</c:v>
                </c:pt>
                <c:pt idx="7">
                  <c:v>TienditaGarza</c:v>
                </c:pt>
                <c:pt idx="8">
                  <c:v>FLD-FRYER</c:v>
                </c:pt>
                <c:pt idx="9">
                  <c:v>Woot</c:v>
                </c:pt>
                <c:pt idx="10">
                  <c:v>Amazon.com</c:v>
                </c:pt>
                <c:pt idx="11">
                  <c:v>VILIWIN Store</c:v>
                </c:pt>
                <c:pt idx="12">
                  <c:v>BAISELLER</c:v>
                </c:pt>
                <c:pt idx="13">
                  <c:v>Kalorik LLC</c:v>
                </c:pt>
                <c:pt idx="14">
                  <c:v>THE REAL DEAL</c:v>
                </c:pt>
                <c:pt idx="15">
                  <c:v>Kitchen Kapers</c:v>
                </c:pt>
                <c:pt idx="16">
                  <c:v>DEIME Inc.</c:v>
                </c:pt>
                <c:pt idx="17">
                  <c:v>KOOC Official</c:v>
                </c:pt>
                <c:pt idx="18">
                  <c:v>Lillomcom</c:v>
                </c:pt>
                <c:pt idx="19">
                  <c:v>CYBER OUTLET</c:v>
                </c:pt>
                <c:pt idx="20">
                  <c:v>Tyche-Home Kitchen Small Appliance</c:v>
                </c:pt>
                <c:pt idx="21">
                  <c:v>ningboyanxi</c:v>
                </c:pt>
                <c:pt idx="22">
                  <c:v>Easi Life Store</c:v>
                </c:pt>
                <c:pt idx="23">
                  <c:v>RBU2017UTEN US</c:v>
                </c:pt>
                <c:pt idx="24">
                  <c:v>Wotoh Wholesale</c:v>
                </c:pt>
                <c:pt idx="25">
                  <c:v>HEROIC SUPPORT LIMITED</c:v>
                </c:pt>
                <c:pt idx="26">
                  <c:v>ICONITESUE Official</c:v>
                </c:pt>
                <c:pt idx="27">
                  <c:v>GOKUL ProLife Store</c:v>
                </c:pt>
              </c:strCache>
            </c:strRef>
          </c:cat>
          <c:val>
            <c:numRef>
              <c:f>⑤市场大盘分析!$E$159:$E$187</c:f>
              <c:numCache>
                <c:formatCode>General</c:formatCode>
                <c:ptCount val="28"/>
                <c:pt idx="0">
                  <c:v>51</c:v>
                </c:pt>
                <c:pt idx="1">
                  <c:v>15</c:v>
                </c:pt>
                <c:pt idx="2">
                  <c:v>1</c:v>
                </c:pt>
                <c:pt idx="3">
                  <c:v>4</c:v>
                </c:pt>
                <c:pt idx="4">
                  <c:v>1</c:v>
                </c:pt>
                <c:pt idx="5">
                  <c:v>1</c:v>
                </c:pt>
                <c:pt idx="6">
                  <c:v>3</c:v>
                </c:pt>
                <c:pt idx="7">
                  <c:v>1</c:v>
                </c:pt>
                <c:pt idx="8">
                  <c:v>1</c:v>
                </c:pt>
                <c:pt idx="9">
                  <c:v>3</c:v>
                </c:pt>
                <c:pt idx="10">
                  <c:v>2</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8"/>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9"/>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0"/>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1"/>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2"/>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3"/>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4"/>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5"/>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6"/>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7"/>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c78adfcf-a7a5-489f-80c3-ff40e0b3eb9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b="1">
                <a:latin typeface="微软雅黑" panose="020B0503020204020204" charset="-122"/>
                <a:ea typeface="微软雅黑" panose="020B0503020204020204" charset="-122"/>
                <a:cs typeface="微软雅黑" panose="020B0503020204020204" charset="-122"/>
                <a:sym typeface="微软雅黑" panose="020B0503020204020204" charset="-122"/>
              </a:rPr>
              <a:t>2021/1--2023/3</a:t>
            </a:r>
            <a:r>
              <a:rPr altLang="en-US" b="1">
                <a:latin typeface="微软雅黑" panose="020B0503020204020204" charset="-122"/>
                <a:ea typeface="微软雅黑" panose="020B0503020204020204" charset="-122"/>
                <a:cs typeface="微软雅黑" panose="020B0503020204020204" charset="-122"/>
                <a:sym typeface="微软雅黑" panose="020B0503020204020204" charset="-122"/>
              </a:rPr>
              <a:t>市容变化趋势</a:t>
            </a:r>
            <a:endParaRPr lang="en-US" altLang="zh-CN" b="1">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manualLayout>
          <c:xMode val="edge"/>
          <c:yMode val="edge"/>
          <c:x val="0.449554670252988"/>
          <c:y val="0.0125799350036691"/>
        </c:manualLayout>
      </c:layout>
      <c:overlay val="0"/>
      <c:spPr>
        <a:solidFill>
          <a:schemeClr val="accent6"/>
        </a:solidFill>
        <a:ln>
          <a:noFill/>
        </a:ln>
        <a:effectLst/>
      </c:spPr>
    </c:title>
    <c:autoTitleDeleted val="0"/>
    <c:plotArea>
      <c:layout/>
      <c:barChart>
        <c:barDir val="col"/>
        <c:grouping val="clustered"/>
        <c:varyColors val="0"/>
        <c:ser>
          <c:idx val="0"/>
          <c:order val="0"/>
          <c:tx>
            <c:strRef>
              <c:f>⑤市场大盘分析!$C$71</c:f>
              <c:strCache>
                <c:ptCount val="1"/>
                <c:pt idx="0">
                  <c:v>月销量</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000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⑤市场大盘分析!$B$72:$B$96</c:f>
              <c:strCache>
                <c:ptCount val="25"/>
                <c:pt idx="0">
                  <c:v>202103</c:v>
                </c:pt>
                <c:pt idx="1">
                  <c:v>202104</c:v>
                </c:pt>
                <c:pt idx="2">
                  <c:v>202105</c:v>
                </c:pt>
                <c:pt idx="3">
                  <c:v>202106</c:v>
                </c:pt>
                <c:pt idx="4">
                  <c:v>202107</c:v>
                </c:pt>
                <c:pt idx="5">
                  <c:v>202108</c:v>
                </c:pt>
                <c:pt idx="6">
                  <c:v>202109</c:v>
                </c:pt>
                <c:pt idx="7">
                  <c:v>202110</c:v>
                </c:pt>
                <c:pt idx="8">
                  <c:v>202111</c:v>
                </c:pt>
                <c:pt idx="9">
                  <c:v>202112</c:v>
                </c:pt>
                <c:pt idx="10">
                  <c:v>202201</c:v>
                </c:pt>
                <c:pt idx="11">
                  <c:v>202202</c:v>
                </c:pt>
                <c:pt idx="12">
                  <c:v>202203</c:v>
                </c:pt>
                <c:pt idx="13">
                  <c:v>202204</c:v>
                </c:pt>
                <c:pt idx="14">
                  <c:v>202205</c:v>
                </c:pt>
                <c:pt idx="15">
                  <c:v>202206</c:v>
                </c:pt>
                <c:pt idx="16">
                  <c:v>202207</c:v>
                </c:pt>
                <c:pt idx="17">
                  <c:v>202208</c:v>
                </c:pt>
                <c:pt idx="18">
                  <c:v>202209</c:v>
                </c:pt>
                <c:pt idx="19">
                  <c:v>202210</c:v>
                </c:pt>
                <c:pt idx="20">
                  <c:v>202211</c:v>
                </c:pt>
                <c:pt idx="21">
                  <c:v>202212</c:v>
                </c:pt>
                <c:pt idx="22">
                  <c:v>202301</c:v>
                </c:pt>
                <c:pt idx="23">
                  <c:v>202302</c:v>
                </c:pt>
                <c:pt idx="24">
                  <c:v>202303</c:v>
                </c:pt>
              </c:strCache>
            </c:strRef>
          </c:cat>
          <c:val>
            <c:numRef>
              <c:f>⑤市场大盘分析!$C$72:$C$96</c:f>
              <c:numCache>
                <c:formatCode>#,##0</c:formatCode>
                <c:ptCount val="25"/>
                <c:pt idx="0">
                  <c:v>306429</c:v>
                </c:pt>
                <c:pt idx="1">
                  <c:v>285895</c:v>
                </c:pt>
                <c:pt idx="2">
                  <c:v>390854</c:v>
                </c:pt>
                <c:pt idx="3">
                  <c:v>138451</c:v>
                </c:pt>
                <c:pt idx="4">
                  <c:v>737973</c:v>
                </c:pt>
                <c:pt idx="5">
                  <c:v>303383</c:v>
                </c:pt>
                <c:pt idx="6">
                  <c:v>476542</c:v>
                </c:pt>
                <c:pt idx="7">
                  <c:v>394580</c:v>
                </c:pt>
                <c:pt idx="8">
                  <c:v>784386</c:v>
                </c:pt>
                <c:pt idx="9">
                  <c:v>1302034</c:v>
                </c:pt>
                <c:pt idx="10">
                  <c:v>478847</c:v>
                </c:pt>
                <c:pt idx="11">
                  <c:v>663803</c:v>
                </c:pt>
                <c:pt idx="12">
                  <c:v>400310</c:v>
                </c:pt>
                <c:pt idx="13">
                  <c:v>255224</c:v>
                </c:pt>
                <c:pt idx="14">
                  <c:v>220365</c:v>
                </c:pt>
                <c:pt idx="15">
                  <c:v>181166</c:v>
                </c:pt>
                <c:pt idx="16">
                  <c:v>468560</c:v>
                </c:pt>
                <c:pt idx="17">
                  <c:v>254042</c:v>
                </c:pt>
                <c:pt idx="18">
                  <c:v>205098</c:v>
                </c:pt>
                <c:pt idx="19">
                  <c:v>309515</c:v>
                </c:pt>
                <c:pt idx="20">
                  <c:v>356895</c:v>
                </c:pt>
                <c:pt idx="21">
                  <c:v>634836</c:v>
                </c:pt>
                <c:pt idx="22">
                  <c:v>289062</c:v>
                </c:pt>
                <c:pt idx="23">
                  <c:v>300179</c:v>
                </c:pt>
                <c:pt idx="24">
                  <c:v>303733</c:v>
                </c:pt>
              </c:numCache>
            </c:numRef>
          </c:val>
        </c:ser>
        <c:dLbls>
          <c:showLegendKey val="0"/>
          <c:showVal val="1"/>
          <c:showCatName val="0"/>
          <c:showSerName val="0"/>
          <c:showPercent val="0"/>
          <c:showBubbleSize val="0"/>
        </c:dLbls>
        <c:gapWidth val="219"/>
        <c:overlap val="-27"/>
        <c:axId val="199156997"/>
        <c:axId val="890828051"/>
      </c:barChart>
      <c:lineChart>
        <c:grouping val="standard"/>
        <c:varyColors val="0"/>
        <c:ser>
          <c:idx val="1"/>
          <c:order val="1"/>
          <c:tx>
            <c:strRef>
              <c:f>⑤市场大盘分析!$D$71</c:f>
              <c:strCache>
                <c:ptCount val="1"/>
                <c:pt idx="0">
                  <c:v>月销售额($)</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rgbClr val="00B050"/>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⑤市场大盘分析!$B$72:$B$96</c:f>
              <c:strCache>
                <c:ptCount val="25"/>
                <c:pt idx="0">
                  <c:v>202103</c:v>
                </c:pt>
                <c:pt idx="1">
                  <c:v>202104</c:v>
                </c:pt>
                <c:pt idx="2">
                  <c:v>202105</c:v>
                </c:pt>
                <c:pt idx="3">
                  <c:v>202106</c:v>
                </c:pt>
                <c:pt idx="4">
                  <c:v>202107</c:v>
                </c:pt>
                <c:pt idx="5">
                  <c:v>202108</c:v>
                </c:pt>
                <c:pt idx="6">
                  <c:v>202109</c:v>
                </c:pt>
                <c:pt idx="7">
                  <c:v>202110</c:v>
                </c:pt>
                <c:pt idx="8">
                  <c:v>202111</c:v>
                </c:pt>
                <c:pt idx="9">
                  <c:v>202112</c:v>
                </c:pt>
                <c:pt idx="10">
                  <c:v>202201</c:v>
                </c:pt>
                <c:pt idx="11">
                  <c:v>202202</c:v>
                </c:pt>
                <c:pt idx="12">
                  <c:v>202203</c:v>
                </c:pt>
                <c:pt idx="13">
                  <c:v>202204</c:v>
                </c:pt>
                <c:pt idx="14">
                  <c:v>202205</c:v>
                </c:pt>
                <c:pt idx="15">
                  <c:v>202206</c:v>
                </c:pt>
                <c:pt idx="16">
                  <c:v>202207</c:v>
                </c:pt>
                <c:pt idx="17">
                  <c:v>202208</c:v>
                </c:pt>
                <c:pt idx="18">
                  <c:v>202209</c:v>
                </c:pt>
                <c:pt idx="19">
                  <c:v>202210</c:v>
                </c:pt>
                <c:pt idx="20">
                  <c:v>202211</c:v>
                </c:pt>
                <c:pt idx="21">
                  <c:v>202212</c:v>
                </c:pt>
                <c:pt idx="22">
                  <c:v>202301</c:v>
                </c:pt>
                <c:pt idx="23">
                  <c:v>202302</c:v>
                </c:pt>
                <c:pt idx="24">
                  <c:v>202303</c:v>
                </c:pt>
              </c:strCache>
            </c:strRef>
          </c:cat>
          <c:val>
            <c:numRef>
              <c:f>⑤市场大盘分析!$D$72:$D$96</c:f>
              <c:numCache>
                <c:formatCode>#,##0</c:formatCode>
                <c:ptCount val="25"/>
                <c:pt idx="0">
                  <c:v>35351823.5</c:v>
                </c:pt>
                <c:pt idx="1">
                  <c:v>31950451.33</c:v>
                </c:pt>
                <c:pt idx="2">
                  <c:v>42737116.38</c:v>
                </c:pt>
                <c:pt idx="3">
                  <c:v>14516027.58</c:v>
                </c:pt>
                <c:pt idx="4">
                  <c:v>67477947.99</c:v>
                </c:pt>
                <c:pt idx="5">
                  <c:v>30392589.85</c:v>
                </c:pt>
                <c:pt idx="6">
                  <c:v>47806781.77</c:v>
                </c:pt>
                <c:pt idx="7">
                  <c:v>37426585.64</c:v>
                </c:pt>
                <c:pt idx="8">
                  <c:v>78314255.56</c:v>
                </c:pt>
                <c:pt idx="9">
                  <c:v>132898823.34</c:v>
                </c:pt>
                <c:pt idx="10">
                  <c:v>48743443.57</c:v>
                </c:pt>
                <c:pt idx="11">
                  <c:v>68043508.59</c:v>
                </c:pt>
                <c:pt idx="12">
                  <c:v>41609215.38</c:v>
                </c:pt>
                <c:pt idx="13">
                  <c:v>27375544.57</c:v>
                </c:pt>
                <c:pt idx="14">
                  <c:v>21751296.27</c:v>
                </c:pt>
                <c:pt idx="15">
                  <c:v>18665464.98</c:v>
                </c:pt>
                <c:pt idx="16">
                  <c:v>51400570.54</c:v>
                </c:pt>
                <c:pt idx="17">
                  <c:v>25890816.96</c:v>
                </c:pt>
                <c:pt idx="18">
                  <c:v>22566710.51</c:v>
                </c:pt>
                <c:pt idx="19">
                  <c:v>36089782.97</c:v>
                </c:pt>
                <c:pt idx="20">
                  <c:v>38582968.12</c:v>
                </c:pt>
                <c:pt idx="21">
                  <c:v>75182275.46</c:v>
                </c:pt>
                <c:pt idx="22">
                  <c:v>33408219.78</c:v>
                </c:pt>
                <c:pt idx="23">
                  <c:v>31736154.15</c:v>
                </c:pt>
                <c:pt idx="24">
                  <c:v>34527024.01</c:v>
                </c:pt>
              </c:numCache>
            </c:numRef>
          </c:val>
          <c:smooth val="0"/>
        </c:ser>
        <c:dLbls>
          <c:showLegendKey val="0"/>
          <c:showVal val="1"/>
          <c:showCatName val="0"/>
          <c:showSerName val="0"/>
          <c:showPercent val="0"/>
          <c:showBubbleSize val="0"/>
        </c:dLbls>
        <c:marker val="0"/>
        <c:smooth val="0"/>
        <c:axId val="438337827"/>
        <c:axId val="961549503"/>
      </c:lineChart>
      <c:catAx>
        <c:axId val="19915699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890828051"/>
        <c:crosses val="autoZero"/>
        <c:auto val="1"/>
        <c:lblAlgn val="ctr"/>
        <c:lblOffset val="100"/>
        <c:noMultiLvlLbl val="0"/>
      </c:catAx>
      <c:valAx>
        <c:axId val="8908280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99156997"/>
        <c:crosses val="autoZero"/>
        <c:crossBetween val="between"/>
      </c:valAx>
      <c:catAx>
        <c:axId val="438337827"/>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61549503"/>
        <c:crosses val="autoZero"/>
        <c:auto val="1"/>
        <c:lblAlgn val="ctr"/>
        <c:lblOffset val="100"/>
        <c:noMultiLvlLbl val="0"/>
      </c:catAx>
      <c:valAx>
        <c:axId val="961549503"/>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438337827"/>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Table>
      <c:spPr>
        <a:noFill/>
        <a:ln>
          <a:noFill/>
        </a:ln>
        <a:effectLst/>
      </c:spPr>
    </c:plotArea>
    <c:legend>
      <c:legendPos val="b"/>
      <c:legendEntry>
        <c:idx val="0"/>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overlay val="0"/>
      <c:spPr>
        <a:noFill/>
        <a:ln>
          <a:noFill/>
        </a:ln>
        <a:effectLst/>
      </c:spPr>
      <c:txPr>
        <a:bodyPr rot="0" spcFirstLastPara="0" vertOverflow="ellipsis" vert="horz" wrap="square" anchor="ctr" anchorCtr="1"/>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17e09ca0-7247-437a-ab94-0066ec322d5a}"/>
      </c:ext>
    </c:extLst>
  </c:chart>
  <c:spPr>
    <a:solidFill>
      <a:schemeClr val="bg1"/>
    </a:solidFill>
    <a:ln w="9525" cap="flat" cmpd="sng" algn="ctr">
      <a:solidFill>
        <a:schemeClr val="tx1">
          <a:lumMod val="15000"/>
          <a:lumOff val="85000"/>
        </a:schemeClr>
      </a:solidFill>
      <a:round/>
    </a:ln>
    <a:effectLst/>
  </c:spPr>
  <c:txPr>
    <a:bodyPr/>
    <a:lstStyle/>
    <a:p>
      <a:pPr>
        <a:defRPr lang="zh-CN" b="1">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200" b="1"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sz="1200" b="1">
                <a:latin typeface="微软雅黑" panose="020B0503020204020204" charset="-122"/>
                <a:ea typeface="微软雅黑" panose="020B0503020204020204" charset="-122"/>
                <a:cs typeface="微软雅黑" panose="020B0503020204020204" charset="-122"/>
                <a:sym typeface="微软雅黑" panose="020B0503020204020204" charset="-122"/>
              </a:rPr>
              <a:t>2021/1--2023/3市容变化趋势</a:t>
            </a:r>
            <a:endParaRPr sz="1200" b="1">
              <a:latin typeface="微软雅黑" panose="020B0503020204020204" charset="-122"/>
              <a:ea typeface="微软雅黑" panose="020B0503020204020204" charset="-122"/>
              <a:cs typeface="微软雅黑" panose="020B0503020204020204" charset="-122"/>
              <a:sym typeface="微软雅黑" panose="020B0503020204020204" charset="-122"/>
            </a:endParaRPr>
          </a:p>
        </c:rich>
      </c:tx>
      <c:layout/>
      <c:overlay val="0"/>
      <c:spPr>
        <a:solidFill>
          <a:schemeClr val="accent6"/>
        </a:solidFill>
        <a:ln>
          <a:noFill/>
        </a:ln>
        <a:effectLst/>
      </c:spPr>
    </c:title>
    <c:autoTitleDeleted val="0"/>
    <c:plotArea>
      <c:layout>
        <c:manualLayout>
          <c:layoutTarget val="inner"/>
          <c:xMode val="edge"/>
          <c:yMode val="edge"/>
          <c:x val="0.0217515080328881"/>
          <c:y val="0.101269315673289"/>
          <c:w val="0.922255181063487"/>
          <c:h val="0.830215231788079"/>
        </c:manualLayout>
      </c:layout>
      <c:barChart>
        <c:barDir val="col"/>
        <c:grouping val="clustered"/>
        <c:varyColors val="0"/>
        <c:ser>
          <c:idx val="0"/>
          <c:order val="0"/>
          <c:tx>
            <c:strRef>
              <c:f>⑤市场大盘分析!$AM$2</c:f>
              <c:strCache>
                <c:ptCount val="1"/>
                <c:pt idx="0">
                  <c:v>月份</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⑤市场大盘分析!$AM$3:$AM$17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202301</c:v>
                </c:pt>
                <c:pt idx="13">
                  <c:v>202302</c:v>
                </c:pt>
                <c:pt idx="14">
                  <c:v>202303</c:v>
                </c:pt>
              </c:numCache>
            </c:numRef>
          </c:val>
        </c:ser>
        <c:dLbls>
          <c:showLegendKey val="0"/>
          <c:showVal val="1"/>
          <c:showCatName val="0"/>
          <c:showSerName val="0"/>
          <c:showPercent val="0"/>
          <c:showBubbleSize val="0"/>
        </c:dLbls>
        <c:gapWidth val="150"/>
        <c:overlap val="0"/>
        <c:axId val="566056777"/>
        <c:axId val="93711465"/>
      </c:barChart>
      <c:barChart>
        <c:barDir val="col"/>
        <c:grouping val="clustered"/>
        <c:varyColors val="0"/>
        <c:ser>
          <c:idx val="1"/>
          <c:order val="1"/>
          <c:tx>
            <c:strRef>
              <c:f>⑤市场大盘分析!$AN$2</c:f>
              <c:strCache>
                <c:ptCount val="1"/>
                <c:pt idx="0">
                  <c:v>月销量</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val>
            <c:numRef>
              <c:f>⑤市场大盘分析!$AN$3:$AN$17</c:f>
              <c:numCache>
                <c:formatCode>General</c:formatCode>
                <c:ptCount val="15"/>
                <c:pt idx="0">
                  <c:v>815702</c:v>
                </c:pt>
                <c:pt idx="1">
                  <c:v>663129</c:v>
                </c:pt>
                <c:pt idx="2">
                  <c:v>386863</c:v>
                </c:pt>
                <c:pt idx="3">
                  <c:v>272023</c:v>
                </c:pt>
                <c:pt idx="4">
                  <c:v>220365</c:v>
                </c:pt>
                <c:pt idx="5">
                  <c:v>194894</c:v>
                </c:pt>
                <c:pt idx="6">
                  <c:v>468560</c:v>
                </c:pt>
                <c:pt idx="7">
                  <c:v>254042</c:v>
                </c:pt>
                <c:pt idx="8">
                  <c:v>205098</c:v>
                </c:pt>
                <c:pt idx="9">
                  <c:v>309515</c:v>
                </c:pt>
                <c:pt idx="10">
                  <c:v>359305</c:v>
                </c:pt>
                <c:pt idx="11">
                  <c:v>634836</c:v>
                </c:pt>
                <c:pt idx="12">
                  <c:v>334176</c:v>
                </c:pt>
                <c:pt idx="13">
                  <c:v>329620</c:v>
                </c:pt>
                <c:pt idx="14">
                  <c:v>306466</c:v>
                </c:pt>
              </c:numCache>
            </c:numRef>
          </c:val>
        </c:ser>
        <c:dLbls>
          <c:showLegendKey val="0"/>
          <c:showVal val="1"/>
          <c:showCatName val="0"/>
          <c:showSerName val="0"/>
          <c:showPercent val="0"/>
          <c:showBubbleSize val="0"/>
        </c:dLbls>
        <c:gapWidth val="150"/>
        <c:overlap val="0"/>
        <c:axId val="136246304"/>
        <c:axId val="30817658"/>
      </c:barChart>
      <c:lineChart>
        <c:grouping val="standard"/>
        <c:varyColors val="0"/>
        <c:ser>
          <c:idx val="2"/>
          <c:order val="2"/>
          <c:tx>
            <c:strRef>
              <c:f>⑤市场大盘分析!$AO$2</c:f>
              <c:strCache>
                <c:ptCount val="1"/>
                <c:pt idx="0">
                  <c:v>月销售额($)</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⑤市场大盘分析!$AO$3:$AO$17</c:f>
              <c:numCache>
                <c:formatCode>0_ </c:formatCode>
                <c:ptCount val="15"/>
                <c:pt idx="0">
                  <c:v>81521383.09</c:v>
                </c:pt>
                <c:pt idx="1">
                  <c:v>66488889.01</c:v>
                </c:pt>
                <c:pt idx="2">
                  <c:v>40073371.66</c:v>
                </c:pt>
                <c:pt idx="3">
                  <c:v>29737218.71</c:v>
                </c:pt>
                <c:pt idx="4">
                  <c:v>21751296.28</c:v>
                </c:pt>
                <c:pt idx="5">
                  <c:v>21002216.48</c:v>
                </c:pt>
                <c:pt idx="6">
                  <c:v>51400570.56</c:v>
                </c:pt>
                <c:pt idx="7">
                  <c:v>25890816.96</c:v>
                </c:pt>
                <c:pt idx="8">
                  <c:v>22566710.51</c:v>
                </c:pt>
                <c:pt idx="9">
                  <c:v>36089782.97</c:v>
                </c:pt>
                <c:pt idx="10">
                  <c:v>38798010.08</c:v>
                </c:pt>
                <c:pt idx="11">
                  <c:v>75182275.47</c:v>
                </c:pt>
                <c:pt idx="12">
                  <c:v>39257248.32</c:v>
                </c:pt>
                <c:pt idx="13">
                  <c:v>34858193.65</c:v>
                </c:pt>
                <c:pt idx="14">
                  <c:v>34949298.31</c:v>
                </c:pt>
              </c:numCache>
            </c:numRef>
          </c:val>
          <c:smooth val="0"/>
        </c:ser>
        <c:dLbls>
          <c:showLegendKey val="0"/>
          <c:showVal val="1"/>
          <c:showCatName val="0"/>
          <c:showSerName val="0"/>
          <c:showPercent val="0"/>
          <c:showBubbleSize val="0"/>
        </c:dLbls>
        <c:marker val="0"/>
        <c:smooth val="0"/>
        <c:axId val="566056777"/>
        <c:axId val="93711465"/>
      </c:lineChart>
      <c:dateAx>
        <c:axId val="5660567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93711465"/>
        <c:crosses val="autoZero"/>
        <c:auto val="1"/>
        <c:lblAlgn val="ctr"/>
        <c:lblOffset val="100"/>
        <c:baseTimeUnit val="days"/>
      </c:dateAx>
      <c:valAx>
        <c:axId val="9371146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66056777"/>
        <c:crosses val="autoZero"/>
        <c:crossBetween val="between"/>
      </c:valAx>
      <c:catAx>
        <c:axId val="13624630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30817658"/>
        <c:crosses val="autoZero"/>
        <c:auto val="1"/>
        <c:lblAlgn val="ctr"/>
        <c:lblOffset val="100"/>
        <c:noMultiLvlLbl val="0"/>
      </c:catAx>
      <c:valAx>
        <c:axId val="30817658"/>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36246304"/>
        <c:crosses val="max"/>
        <c:crossBetween val="between"/>
      </c:valAx>
      <c:spPr>
        <a:noFill/>
        <a:ln>
          <a:noFill/>
        </a:ln>
        <a:effectLst/>
      </c:spPr>
    </c:plotArea>
    <c:legend>
      <c:legendPos val="r"/>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egendEntry>
        <c:idx val="2"/>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6fb28deb-ab9f-4d06-81b6-de44225c3798}"/>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Fryer).xlsx]⑤市场大盘分析!数据透视表8</c:name>
    <c:fmtId val="0"/>
  </c:pivotSource>
  <c:chart>
    <c:autoTitleDeleted val="1"/>
    <c:plotArea>
      <c:layout/>
      <c:barChart>
        <c:barDir val="col"/>
        <c:grouping val="clustered"/>
        <c:varyColors val="0"/>
        <c:ser>
          <c:idx val="1"/>
          <c:order val="1"/>
          <c:tx>
            <c:strRef>
              <c:f>⑤市场大盘分析!$D$213</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⑤市场大盘分析!$B$214:$B$258</c:f>
              <c:strCache>
                <c:ptCount val="44"/>
                <c:pt idx="0">
                  <c:v>4.0QT</c:v>
                </c:pt>
                <c:pt idx="1">
                  <c:v>5.8QT</c:v>
                </c:pt>
                <c:pt idx="2">
                  <c:v>10.0QT</c:v>
                </c:pt>
                <c:pt idx="3">
                  <c:v>6.0QT</c:v>
                </c:pt>
                <c:pt idx="4">
                  <c:v>2.1QT</c:v>
                </c:pt>
                <c:pt idx="5">
                  <c:v>8.0QT</c:v>
                </c:pt>
                <c:pt idx="6">
                  <c:v>17.0QT</c:v>
                </c:pt>
                <c:pt idx="7">
                  <c:v>2.6QT</c:v>
                </c:pt>
                <c:pt idx="8">
                  <c:v>26.0QT</c:v>
                </c:pt>
                <c:pt idx="9">
                  <c:v>7.0QT</c:v>
                </c:pt>
                <c:pt idx="10">
                  <c:v>5.5QT</c:v>
                </c:pt>
                <c:pt idx="11">
                  <c:v>26.4QT</c:v>
                </c:pt>
                <c:pt idx="12">
                  <c:v>4.2QT</c:v>
                </c:pt>
                <c:pt idx="13">
                  <c:v>7.25QT</c:v>
                </c:pt>
                <c:pt idx="14">
                  <c:v>2.0QT</c:v>
                </c:pt>
                <c:pt idx="15">
                  <c:v>5.3QT</c:v>
                </c:pt>
                <c:pt idx="16">
                  <c:v>4.5QT</c:v>
                </c:pt>
                <c:pt idx="17">
                  <c:v>12.0QT</c:v>
                </c:pt>
                <c:pt idx="18">
                  <c:v>30.0QT</c:v>
                </c:pt>
                <c:pt idx="19">
                  <c:v>6.5QT</c:v>
                </c:pt>
                <c:pt idx="20">
                  <c:v>19.0QT</c:v>
                </c:pt>
                <c:pt idx="21">
                  <c:v>6.8QT</c:v>
                </c:pt>
                <c:pt idx="22">
                  <c:v>1.1QT</c:v>
                </c:pt>
                <c:pt idx="23">
                  <c:v>4.3QT</c:v>
                </c:pt>
                <c:pt idx="24">
                  <c:v>20.0QT</c:v>
                </c:pt>
                <c:pt idx="25">
                  <c:v>16.0QT</c:v>
                </c:pt>
                <c:pt idx="26">
                  <c:v>3.7QT</c:v>
                </c:pt>
                <c:pt idx="27">
                  <c:v>5.0QT</c:v>
                </c:pt>
                <c:pt idx="28">
                  <c:v>12.5QT</c:v>
                </c:pt>
                <c:pt idx="29">
                  <c:v>4.4QT</c:v>
                </c:pt>
                <c:pt idx="30">
                  <c:v>12.7QT</c:v>
                </c:pt>
                <c:pt idx="31">
                  <c:v>15.5QT</c:v>
                </c:pt>
                <c:pt idx="32">
                  <c:v>9.0QT</c:v>
                </c:pt>
                <c:pt idx="33">
                  <c:v>3.8QT</c:v>
                </c:pt>
                <c:pt idx="34">
                  <c:v>6.2QT</c:v>
                </c:pt>
                <c:pt idx="35">
                  <c:v>24.0QT</c:v>
                </c:pt>
                <c:pt idx="36">
                  <c:v>10.6QT</c:v>
                </c:pt>
                <c:pt idx="37">
                  <c:v>4.7QT</c:v>
                </c:pt>
                <c:pt idx="38">
                  <c:v>13.0QT</c:v>
                </c:pt>
                <c:pt idx="39">
                  <c:v>32.0QT</c:v>
                </c:pt>
                <c:pt idx="40">
                  <c:v>21.0QT</c:v>
                </c:pt>
                <c:pt idx="41">
                  <c:v>2.9QT</c:v>
                </c:pt>
                <c:pt idx="42">
                  <c:v>31.4QT</c:v>
                </c:pt>
                <c:pt idx="43">
                  <c:v>3.4QT</c:v>
                </c:pt>
              </c:strCache>
            </c:strRef>
          </c:cat>
          <c:val>
            <c:numRef>
              <c:f>⑤市场大盘分析!$D$214:$D$258</c:f>
              <c:numCache>
                <c:formatCode>General</c:formatCode>
                <c:ptCount val="44"/>
                <c:pt idx="0">
                  <c:v>5179218.5</c:v>
                </c:pt>
                <c:pt idx="1">
                  <c:v>4538783.73</c:v>
                </c:pt>
                <c:pt idx="2">
                  <c:v>4494584.85</c:v>
                </c:pt>
                <c:pt idx="3">
                  <c:v>2588962.788</c:v>
                </c:pt>
                <c:pt idx="4">
                  <c:v>933834.8</c:v>
                </c:pt>
                <c:pt idx="5">
                  <c:v>2504066.02</c:v>
                </c:pt>
                <c:pt idx="6">
                  <c:v>2356484.566</c:v>
                </c:pt>
                <c:pt idx="7">
                  <c:v>366525.63</c:v>
                </c:pt>
                <c:pt idx="8">
                  <c:v>2207929.09</c:v>
                </c:pt>
                <c:pt idx="9">
                  <c:v>875277.759</c:v>
                </c:pt>
                <c:pt idx="10">
                  <c:v>1136774.2</c:v>
                </c:pt>
                <c:pt idx="11">
                  <c:v>953279.3</c:v>
                </c:pt>
                <c:pt idx="12">
                  <c:v>367404.28</c:v>
                </c:pt>
                <c:pt idx="13">
                  <c:v>489816.8</c:v>
                </c:pt>
                <c:pt idx="14">
                  <c:v>237206.993</c:v>
                </c:pt>
                <c:pt idx="15">
                  <c:v>207129.94</c:v>
                </c:pt>
                <c:pt idx="16">
                  <c:v>229843.887</c:v>
                </c:pt>
                <c:pt idx="17">
                  <c:v>273428.84</c:v>
                </c:pt>
                <c:pt idx="18">
                  <c:v>360031.06</c:v>
                </c:pt>
                <c:pt idx="19">
                  <c:v>326681.88</c:v>
                </c:pt>
                <c:pt idx="20">
                  <c:v>186442.22</c:v>
                </c:pt>
                <c:pt idx="21">
                  <c:v>208081.52</c:v>
                </c:pt>
                <c:pt idx="22">
                  <c:v>58912.56</c:v>
                </c:pt>
                <c:pt idx="23">
                  <c:v>133905.11</c:v>
                </c:pt>
                <c:pt idx="24">
                  <c:v>189395.44</c:v>
                </c:pt>
                <c:pt idx="25">
                  <c:v>170097.77</c:v>
                </c:pt>
                <c:pt idx="26">
                  <c:v>69093.8</c:v>
                </c:pt>
                <c:pt idx="27">
                  <c:v>117988.195</c:v>
                </c:pt>
                <c:pt idx="28">
                  <c:v>85829.805</c:v>
                </c:pt>
                <c:pt idx="29">
                  <c:v>334552.22</c:v>
                </c:pt>
                <c:pt idx="30">
                  <c:v>81272.36</c:v>
                </c:pt>
                <c:pt idx="31">
                  <c:v>131452.86</c:v>
                </c:pt>
                <c:pt idx="32">
                  <c:v>107512.33</c:v>
                </c:pt>
                <c:pt idx="33">
                  <c:v>161452.98</c:v>
                </c:pt>
                <c:pt idx="34">
                  <c:v>53353.33</c:v>
                </c:pt>
                <c:pt idx="35">
                  <c:v>71994</c:v>
                </c:pt>
                <c:pt idx="36">
                  <c:v>53004.11</c:v>
                </c:pt>
                <c:pt idx="37">
                  <c:v>72369</c:v>
                </c:pt>
                <c:pt idx="38">
                  <c:v>34968.363</c:v>
                </c:pt>
                <c:pt idx="39">
                  <c:v>112695.1</c:v>
                </c:pt>
                <c:pt idx="40">
                  <c:v>54746.35</c:v>
                </c:pt>
                <c:pt idx="41">
                  <c:v>15357.3</c:v>
                </c:pt>
                <c:pt idx="42">
                  <c:v>43887.69</c:v>
                </c:pt>
                <c:pt idx="43">
                  <c:v>12627.359</c:v>
                </c:pt>
              </c:numCache>
            </c:numRef>
          </c:val>
        </c:ser>
        <c:dLbls>
          <c:showLegendKey val="0"/>
          <c:showVal val="1"/>
          <c:showCatName val="0"/>
          <c:showSerName val="0"/>
          <c:showPercent val="0"/>
          <c:showBubbleSize val="0"/>
        </c:dLbls>
        <c:gapWidth val="219"/>
        <c:overlap val="-27"/>
        <c:axId val="305632632"/>
        <c:axId val="623388376"/>
      </c:barChart>
      <c:lineChart>
        <c:grouping val="standard"/>
        <c:varyColors val="0"/>
        <c:ser>
          <c:idx val="2"/>
          <c:order val="2"/>
          <c:tx>
            <c:strRef>
              <c:f>⑤市场大盘分析!$E$213</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⑤市场大盘分析!$B$214:$B$258</c:f>
              <c:strCache>
                <c:ptCount val="44"/>
                <c:pt idx="0">
                  <c:v>4.0QT</c:v>
                </c:pt>
                <c:pt idx="1">
                  <c:v>5.8QT</c:v>
                </c:pt>
                <c:pt idx="2">
                  <c:v>10.0QT</c:v>
                </c:pt>
                <c:pt idx="3">
                  <c:v>6.0QT</c:v>
                </c:pt>
                <c:pt idx="4">
                  <c:v>2.1QT</c:v>
                </c:pt>
                <c:pt idx="5">
                  <c:v>8.0QT</c:v>
                </c:pt>
                <c:pt idx="6">
                  <c:v>17.0QT</c:v>
                </c:pt>
                <c:pt idx="7">
                  <c:v>2.6QT</c:v>
                </c:pt>
                <c:pt idx="8">
                  <c:v>26.0QT</c:v>
                </c:pt>
                <c:pt idx="9">
                  <c:v>7.0QT</c:v>
                </c:pt>
                <c:pt idx="10">
                  <c:v>5.5QT</c:v>
                </c:pt>
                <c:pt idx="11">
                  <c:v>26.4QT</c:v>
                </c:pt>
                <c:pt idx="12">
                  <c:v>4.2QT</c:v>
                </c:pt>
                <c:pt idx="13">
                  <c:v>7.25QT</c:v>
                </c:pt>
                <c:pt idx="14">
                  <c:v>2.0QT</c:v>
                </c:pt>
                <c:pt idx="15">
                  <c:v>5.3QT</c:v>
                </c:pt>
                <c:pt idx="16">
                  <c:v>4.5QT</c:v>
                </c:pt>
                <c:pt idx="17">
                  <c:v>12.0QT</c:v>
                </c:pt>
                <c:pt idx="18">
                  <c:v>30.0QT</c:v>
                </c:pt>
                <c:pt idx="19">
                  <c:v>6.5QT</c:v>
                </c:pt>
                <c:pt idx="20">
                  <c:v>19.0QT</c:v>
                </c:pt>
                <c:pt idx="21">
                  <c:v>6.8QT</c:v>
                </c:pt>
                <c:pt idx="22">
                  <c:v>1.1QT</c:v>
                </c:pt>
                <c:pt idx="23">
                  <c:v>4.3QT</c:v>
                </c:pt>
                <c:pt idx="24">
                  <c:v>20.0QT</c:v>
                </c:pt>
                <c:pt idx="25">
                  <c:v>16.0QT</c:v>
                </c:pt>
                <c:pt idx="26">
                  <c:v>3.7QT</c:v>
                </c:pt>
                <c:pt idx="27">
                  <c:v>5.0QT</c:v>
                </c:pt>
                <c:pt idx="28">
                  <c:v>12.5QT</c:v>
                </c:pt>
                <c:pt idx="29">
                  <c:v>4.4QT</c:v>
                </c:pt>
                <c:pt idx="30">
                  <c:v>12.7QT</c:v>
                </c:pt>
                <c:pt idx="31">
                  <c:v>15.5QT</c:v>
                </c:pt>
                <c:pt idx="32">
                  <c:v>9.0QT</c:v>
                </c:pt>
                <c:pt idx="33">
                  <c:v>3.8QT</c:v>
                </c:pt>
                <c:pt idx="34">
                  <c:v>6.2QT</c:v>
                </c:pt>
                <c:pt idx="35">
                  <c:v>24.0QT</c:v>
                </c:pt>
                <c:pt idx="36">
                  <c:v>10.6QT</c:v>
                </c:pt>
                <c:pt idx="37">
                  <c:v>4.7QT</c:v>
                </c:pt>
                <c:pt idx="38">
                  <c:v>13.0QT</c:v>
                </c:pt>
                <c:pt idx="39">
                  <c:v>32.0QT</c:v>
                </c:pt>
                <c:pt idx="40">
                  <c:v>21.0QT</c:v>
                </c:pt>
                <c:pt idx="41">
                  <c:v>2.9QT</c:v>
                </c:pt>
                <c:pt idx="42">
                  <c:v>31.4QT</c:v>
                </c:pt>
                <c:pt idx="43">
                  <c:v>3.4QT</c:v>
                </c:pt>
              </c:strCache>
            </c:strRef>
          </c:cat>
          <c:val>
            <c:numRef>
              <c:f>⑤市场大盘分析!$E$214:$E$258</c:f>
              <c:numCache>
                <c:formatCode>General</c:formatCode>
                <c:ptCount val="44"/>
                <c:pt idx="0">
                  <c:v>3</c:v>
                </c:pt>
                <c:pt idx="1">
                  <c:v>6</c:v>
                </c:pt>
                <c:pt idx="2">
                  <c:v>7</c:v>
                </c:pt>
                <c:pt idx="3">
                  <c:v>7</c:v>
                </c:pt>
                <c:pt idx="4">
                  <c:v>2</c:v>
                </c:pt>
                <c:pt idx="5">
                  <c:v>5</c:v>
                </c:pt>
                <c:pt idx="6">
                  <c:v>4</c:v>
                </c:pt>
                <c:pt idx="7">
                  <c:v>3</c:v>
                </c:pt>
                <c:pt idx="8">
                  <c:v>7</c:v>
                </c:pt>
                <c:pt idx="9">
                  <c:v>9</c:v>
                </c:pt>
                <c:pt idx="10">
                  <c:v>1</c:v>
                </c:pt>
                <c:pt idx="11">
                  <c:v>2</c:v>
                </c:pt>
                <c:pt idx="12">
                  <c:v>2</c:v>
                </c:pt>
                <c:pt idx="13">
                  <c:v>1</c:v>
                </c:pt>
                <c:pt idx="14">
                  <c:v>4</c:v>
                </c:pt>
                <c:pt idx="15">
                  <c:v>1</c:v>
                </c:pt>
                <c:pt idx="16">
                  <c:v>3</c:v>
                </c:pt>
                <c:pt idx="17">
                  <c:v>2</c:v>
                </c:pt>
                <c:pt idx="18">
                  <c:v>1</c:v>
                </c:pt>
                <c:pt idx="19">
                  <c:v>1</c:v>
                </c:pt>
                <c:pt idx="20">
                  <c:v>3</c:v>
                </c:pt>
                <c:pt idx="21">
                  <c:v>1</c:v>
                </c:pt>
                <c:pt idx="22">
                  <c:v>2</c:v>
                </c:pt>
                <c:pt idx="23">
                  <c:v>1</c:v>
                </c:pt>
                <c:pt idx="24">
                  <c:v>2</c:v>
                </c:pt>
                <c:pt idx="25">
                  <c:v>1</c:v>
                </c:pt>
                <c:pt idx="26">
                  <c:v>2</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numCache>
            </c:numRef>
          </c:val>
          <c:smooth val="0"/>
        </c:ser>
        <c:dLbls>
          <c:showLegendKey val="0"/>
          <c:showVal val="1"/>
          <c:showCatName val="0"/>
          <c:showSerName val="0"/>
          <c:showPercent val="0"/>
          <c:showBubbleSize val="0"/>
        </c:dLbls>
        <c:marker val="0"/>
        <c:smooth val="0"/>
        <c:axId val="305632632"/>
        <c:axId val="623388376"/>
      </c:lineChart>
      <c:lineChart>
        <c:grouping val="standard"/>
        <c:varyColors val="0"/>
        <c:ser>
          <c:idx val="0"/>
          <c:order val="0"/>
          <c:tx>
            <c:strRef>
              <c:f>⑤市场大盘分析!$C$213</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⑤市场大盘分析!$B$214:$B$258</c:f>
              <c:strCache>
                <c:ptCount val="44"/>
                <c:pt idx="0">
                  <c:v>4.0QT</c:v>
                </c:pt>
                <c:pt idx="1">
                  <c:v>5.8QT</c:v>
                </c:pt>
                <c:pt idx="2">
                  <c:v>10.0QT</c:v>
                </c:pt>
                <c:pt idx="3">
                  <c:v>6.0QT</c:v>
                </c:pt>
                <c:pt idx="4">
                  <c:v>2.1QT</c:v>
                </c:pt>
                <c:pt idx="5">
                  <c:v>8.0QT</c:v>
                </c:pt>
                <c:pt idx="6">
                  <c:v>17.0QT</c:v>
                </c:pt>
                <c:pt idx="7">
                  <c:v>2.6QT</c:v>
                </c:pt>
                <c:pt idx="8">
                  <c:v>26.0QT</c:v>
                </c:pt>
                <c:pt idx="9">
                  <c:v>7.0QT</c:v>
                </c:pt>
                <c:pt idx="10">
                  <c:v>5.5QT</c:v>
                </c:pt>
                <c:pt idx="11">
                  <c:v>26.4QT</c:v>
                </c:pt>
                <c:pt idx="12">
                  <c:v>4.2QT</c:v>
                </c:pt>
                <c:pt idx="13">
                  <c:v>7.25QT</c:v>
                </c:pt>
                <c:pt idx="14">
                  <c:v>2.0QT</c:v>
                </c:pt>
                <c:pt idx="15">
                  <c:v>5.3QT</c:v>
                </c:pt>
                <c:pt idx="16">
                  <c:v>4.5QT</c:v>
                </c:pt>
                <c:pt idx="17">
                  <c:v>12.0QT</c:v>
                </c:pt>
                <c:pt idx="18">
                  <c:v>30.0QT</c:v>
                </c:pt>
                <c:pt idx="19">
                  <c:v>6.5QT</c:v>
                </c:pt>
                <c:pt idx="20">
                  <c:v>19.0QT</c:v>
                </c:pt>
                <c:pt idx="21">
                  <c:v>6.8QT</c:v>
                </c:pt>
                <c:pt idx="22">
                  <c:v>1.1QT</c:v>
                </c:pt>
                <c:pt idx="23">
                  <c:v>4.3QT</c:v>
                </c:pt>
                <c:pt idx="24">
                  <c:v>20.0QT</c:v>
                </c:pt>
                <c:pt idx="25">
                  <c:v>16.0QT</c:v>
                </c:pt>
                <c:pt idx="26">
                  <c:v>3.7QT</c:v>
                </c:pt>
                <c:pt idx="27">
                  <c:v>5.0QT</c:v>
                </c:pt>
                <c:pt idx="28">
                  <c:v>12.5QT</c:v>
                </c:pt>
                <c:pt idx="29">
                  <c:v>4.4QT</c:v>
                </c:pt>
                <c:pt idx="30">
                  <c:v>12.7QT</c:v>
                </c:pt>
                <c:pt idx="31">
                  <c:v>15.5QT</c:v>
                </c:pt>
                <c:pt idx="32">
                  <c:v>9.0QT</c:v>
                </c:pt>
                <c:pt idx="33">
                  <c:v>3.8QT</c:v>
                </c:pt>
                <c:pt idx="34">
                  <c:v>6.2QT</c:v>
                </c:pt>
                <c:pt idx="35">
                  <c:v>24.0QT</c:v>
                </c:pt>
                <c:pt idx="36">
                  <c:v>10.6QT</c:v>
                </c:pt>
                <c:pt idx="37">
                  <c:v>4.7QT</c:v>
                </c:pt>
                <c:pt idx="38">
                  <c:v>13.0QT</c:v>
                </c:pt>
                <c:pt idx="39">
                  <c:v>32.0QT</c:v>
                </c:pt>
                <c:pt idx="40">
                  <c:v>21.0QT</c:v>
                </c:pt>
                <c:pt idx="41">
                  <c:v>2.9QT</c:v>
                </c:pt>
                <c:pt idx="42">
                  <c:v>31.4QT</c:v>
                </c:pt>
                <c:pt idx="43">
                  <c:v>3.4QT</c:v>
                </c:pt>
              </c:strCache>
            </c:strRef>
          </c:cat>
          <c:val>
            <c:numRef>
              <c:f>⑤市场大盘分析!$C$214:$C$258</c:f>
              <c:numCache>
                <c:formatCode>General</c:formatCode>
                <c:ptCount val="44"/>
                <c:pt idx="0">
                  <c:v>58043</c:v>
                </c:pt>
                <c:pt idx="1">
                  <c:v>49144</c:v>
                </c:pt>
                <c:pt idx="2">
                  <c:v>29928</c:v>
                </c:pt>
                <c:pt idx="3">
                  <c:v>25527</c:v>
                </c:pt>
                <c:pt idx="4">
                  <c:v>19006</c:v>
                </c:pt>
                <c:pt idx="5">
                  <c:v>14822</c:v>
                </c:pt>
                <c:pt idx="6">
                  <c:v>14554</c:v>
                </c:pt>
                <c:pt idx="7">
                  <c:v>11169</c:v>
                </c:pt>
                <c:pt idx="8">
                  <c:v>10391</c:v>
                </c:pt>
                <c:pt idx="9">
                  <c:v>8184</c:v>
                </c:pt>
                <c:pt idx="10">
                  <c:v>7579</c:v>
                </c:pt>
                <c:pt idx="11">
                  <c:v>6074</c:v>
                </c:pt>
                <c:pt idx="12">
                  <c:v>5953</c:v>
                </c:pt>
                <c:pt idx="13">
                  <c:v>5498</c:v>
                </c:pt>
                <c:pt idx="14">
                  <c:v>5399</c:v>
                </c:pt>
                <c:pt idx="15">
                  <c:v>3104</c:v>
                </c:pt>
                <c:pt idx="16">
                  <c:v>2323</c:v>
                </c:pt>
                <c:pt idx="17">
                  <c:v>2117</c:v>
                </c:pt>
                <c:pt idx="18">
                  <c:v>1895</c:v>
                </c:pt>
                <c:pt idx="19">
                  <c:v>1815</c:v>
                </c:pt>
                <c:pt idx="20">
                  <c:v>1778</c:v>
                </c:pt>
                <c:pt idx="21">
                  <c:v>1757</c:v>
                </c:pt>
                <c:pt idx="22">
                  <c:v>1613</c:v>
                </c:pt>
                <c:pt idx="23">
                  <c:v>1488</c:v>
                </c:pt>
                <c:pt idx="24">
                  <c:v>1457</c:v>
                </c:pt>
                <c:pt idx="25">
                  <c:v>1381</c:v>
                </c:pt>
                <c:pt idx="26">
                  <c:v>1199</c:v>
                </c:pt>
                <c:pt idx="27">
                  <c:v>1180</c:v>
                </c:pt>
                <c:pt idx="28">
                  <c:v>1010</c:v>
                </c:pt>
                <c:pt idx="29">
                  <c:v>956</c:v>
                </c:pt>
                <c:pt idx="30">
                  <c:v>949</c:v>
                </c:pt>
                <c:pt idx="31">
                  <c:v>814</c:v>
                </c:pt>
                <c:pt idx="32">
                  <c:v>768</c:v>
                </c:pt>
                <c:pt idx="33">
                  <c:v>702</c:v>
                </c:pt>
                <c:pt idx="34">
                  <c:v>667</c:v>
                </c:pt>
                <c:pt idx="35">
                  <c:v>600</c:v>
                </c:pt>
                <c:pt idx="36">
                  <c:v>589</c:v>
                </c:pt>
                <c:pt idx="37">
                  <c:v>561</c:v>
                </c:pt>
                <c:pt idx="38">
                  <c:v>532</c:v>
                </c:pt>
                <c:pt idx="39">
                  <c:v>490</c:v>
                </c:pt>
                <c:pt idx="40">
                  <c:v>365</c:v>
                </c:pt>
                <c:pt idx="41">
                  <c:v>309</c:v>
                </c:pt>
                <c:pt idx="42">
                  <c:v>231</c:v>
                </c:pt>
                <c:pt idx="43">
                  <c:v>216</c:v>
                </c:pt>
              </c:numCache>
            </c:numRef>
          </c:val>
          <c:smooth val="0"/>
        </c:ser>
        <c:dLbls>
          <c:showLegendKey val="0"/>
          <c:showVal val="1"/>
          <c:showCatName val="0"/>
          <c:showSerName val="0"/>
          <c:showPercent val="0"/>
          <c:showBubbleSize val="0"/>
        </c:dLbls>
        <c:marker val="0"/>
        <c:smooth val="0"/>
        <c:axId val="683042312"/>
        <c:axId val="767195503"/>
      </c:lineChart>
      <c:catAx>
        <c:axId val="305632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23388376"/>
        <c:crosses val="autoZero"/>
        <c:auto val="1"/>
        <c:lblAlgn val="ctr"/>
        <c:lblOffset val="100"/>
        <c:noMultiLvlLbl val="0"/>
      </c:catAx>
      <c:valAx>
        <c:axId val="623388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05632632"/>
        <c:crosses val="autoZero"/>
        <c:crossBetween val="between"/>
      </c:valAx>
      <c:catAx>
        <c:axId val="683042312"/>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67195503"/>
        <c:crosses val="autoZero"/>
        <c:auto val="1"/>
        <c:lblAlgn val="ctr"/>
        <c:lblOffset val="100"/>
        <c:noMultiLvlLbl val="0"/>
      </c:catAx>
      <c:valAx>
        <c:axId val="767195503"/>
        <c:scaling>
          <c:orientation val="minMax"/>
        </c:scaling>
        <c:delete val="0"/>
        <c:axPos val="r"/>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83042312"/>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92b885c-8107-4731-a1aa-9ec2d617d78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Fryer).xlsx]⑤市场大盘分析!数据透视表11</c:name>
    <c:fmtId val="0"/>
  </c:pivotSource>
  <c:chart>
    <c:autoTitleDeleted val="1"/>
    <c:plotArea>
      <c:layout/>
      <c:barChart>
        <c:barDir val="col"/>
        <c:grouping val="clustered"/>
        <c:varyColors val="0"/>
        <c:ser>
          <c:idx val="1"/>
          <c:order val="1"/>
          <c:tx>
            <c:strRef>
              <c:f>⑤市场大盘分析!$D$266</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⑤市场大盘分析!$B$267:$B$272</c:f>
              <c:strCache>
                <c:ptCount val="5"/>
                <c:pt idx="0">
                  <c:v>空气炸锅</c:v>
                </c:pt>
                <c:pt idx="1">
                  <c:v>空气炸锅+烤箱+烤面包机+脱水机</c:v>
                </c:pt>
                <c:pt idx="2">
                  <c:v>空气炸锅+烤箱</c:v>
                </c:pt>
                <c:pt idx="3">
                  <c:v>空气炸锅+压力锅</c:v>
                </c:pt>
                <c:pt idx="4">
                  <c:v>空气炸锅+蒸锅</c:v>
                </c:pt>
              </c:strCache>
            </c:strRef>
          </c:cat>
          <c:val>
            <c:numRef>
              <c:f>⑤市场大盘分析!$D$267:$D$272</c:f>
              <c:numCache>
                <c:formatCode>General</c:formatCode>
                <c:ptCount val="5"/>
                <c:pt idx="0">
                  <c:v>23298163.116</c:v>
                </c:pt>
                <c:pt idx="1">
                  <c:v>6798170.955</c:v>
                </c:pt>
                <c:pt idx="2">
                  <c:v>1954356.156</c:v>
                </c:pt>
                <c:pt idx="3">
                  <c:v>1103732.478</c:v>
                </c:pt>
                <c:pt idx="4">
                  <c:v>33833.98</c:v>
                </c:pt>
              </c:numCache>
            </c:numRef>
          </c:val>
        </c:ser>
        <c:dLbls>
          <c:showLegendKey val="0"/>
          <c:showVal val="1"/>
          <c:showCatName val="0"/>
          <c:showSerName val="0"/>
          <c:showPercent val="0"/>
          <c:showBubbleSize val="0"/>
        </c:dLbls>
        <c:gapWidth val="219"/>
        <c:overlap val="-27"/>
        <c:axId val="914221879"/>
        <c:axId val="634893903"/>
      </c:barChart>
      <c:lineChart>
        <c:grouping val="standard"/>
        <c:varyColors val="0"/>
        <c:ser>
          <c:idx val="2"/>
          <c:order val="2"/>
          <c:tx>
            <c:strRef>
              <c:f>⑤市场大盘分析!$E$266</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⑤市场大盘分析!$B$267:$B$272</c:f>
              <c:strCache>
                <c:ptCount val="5"/>
                <c:pt idx="0">
                  <c:v>空气炸锅</c:v>
                </c:pt>
                <c:pt idx="1">
                  <c:v>空气炸锅+烤箱+烤面包机+脱水机</c:v>
                </c:pt>
                <c:pt idx="2">
                  <c:v>空气炸锅+烤箱</c:v>
                </c:pt>
                <c:pt idx="3">
                  <c:v>空气炸锅+压力锅</c:v>
                </c:pt>
                <c:pt idx="4">
                  <c:v>空气炸锅+蒸锅</c:v>
                </c:pt>
              </c:strCache>
            </c:strRef>
          </c:cat>
          <c:val>
            <c:numRef>
              <c:f>⑤市场大盘分析!$E$267:$E$272</c:f>
              <c:numCache>
                <c:formatCode>General</c:formatCode>
                <c:ptCount val="5"/>
                <c:pt idx="0">
                  <c:v>61</c:v>
                </c:pt>
                <c:pt idx="1">
                  <c:v>29</c:v>
                </c:pt>
                <c:pt idx="2">
                  <c:v>6</c:v>
                </c:pt>
                <c:pt idx="3">
                  <c:v>3</c:v>
                </c:pt>
                <c:pt idx="4">
                  <c:v>1</c:v>
                </c:pt>
              </c:numCache>
            </c:numRef>
          </c:val>
          <c:smooth val="0"/>
        </c:ser>
        <c:dLbls>
          <c:showLegendKey val="0"/>
          <c:showVal val="1"/>
          <c:showCatName val="0"/>
          <c:showSerName val="0"/>
          <c:showPercent val="0"/>
          <c:showBubbleSize val="0"/>
        </c:dLbls>
        <c:marker val="0"/>
        <c:smooth val="0"/>
        <c:axId val="914221879"/>
        <c:axId val="634893903"/>
      </c:lineChart>
      <c:lineChart>
        <c:grouping val="standard"/>
        <c:varyColors val="0"/>
        <c:ser>
          <c:idx val="0"/>
          <c:order val="0"/>
          <c:tx>
            <c:strRef>
              <c:f>⑤市场大盘分析!$C$266</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⑤市场大盘分析!$B$267:$B$272</c:f>
              <c:strCache>
                <c:ptCount val="5"/>
                <c:pt idx="0">
                  <c:v>空气炸锅</c:v>
                </c:pt>
                <c:pt idx="1">
                  <c:v>空气炸锅+烤箱+烤面包机+脱水机</c:v>
                </c:pt>
                <c:pt idx="2">
                  <c:v>空气炸锅+烤箱</c:v>
                </c:pt>
                <c:pt idx="3">
                  <c:v>空气炸锅+压力锅</c:v>
                </c:pt>
                <c:pt idx="4">
                  <c:v>空气炸锅+蒸锅</c:v>
                </c:pt>
              </c:strCache>
            </c:strRef>
          </c:cat>
          <c:val>
            <c:numRef>
              <c:f>⑤市场大盘分析!$C$267:$C$272</c:f>
              <c:numCache>
                <c:formatCode>General</c:formatCode>
                <c:ptCount val="5"/>
                <c:pt idx="0">
                  <c:v>242236</c:v>
                </c:pt>
                <c:pt idx="1">
                  <c:v>37135</c:v>
                </c:pt>
                <c:pt idx="2">
                  <c:v>18733</c:v>
                </c:pt>
                <c:pt idx="3">
                  <c:v>5635</c:v>
                </c:pt>
                <c:pt idx="4">
                  <c:v>398</c:v>
                </c:pt>
              </c:numCache>
            </c:numRef>
          </c:val>
          <c:smooth val="0"/>
        </c:ser>
        <c:dLbls>
          <c:showLegendKey val="0"/>
          <c:showVal val="1"/>
          <c:showCatName val="0"/>
          <c:showSerName val="0"/>
          <c:showPercent val="0"/>
          <c:showBubbleSize val="0"/>
        </c:dLbls>
        <c:marker val="0"/>
        <c:smooth val="0"/>
        <c:axId val="502998684"/>
        <c:axId val="119807012"/>
      </c:lineChart>
      <c:catAx>
        <c:axId val="9142218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34893903"/>
        <c:crosses val="autoZero"/>
        <c:auto val="1"/>
        <c:lblAlgn val="ctr"/>
        <c:lblOffset val="100"/>
        <c:noMultiLvlLbl val="0"/>
      </c:catAx>
      <c:valAx>
        <c:axId val="6348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14221879"/>
        <c:crosses val="autoZero"/>
        <c:crossBetween val="between"/>
      </c:valAx>
      <c:catAx>
        <c:axId val="50299868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9807012"/>
        <c:crosses val="autoZero"/>
        <c:auto val="1"/>
        <c:lblAlgn val="ctr"/>
        <c:lblOffset val="100"/>
        <c:noMultiLvlLbl val="0"/>
      </c:catAx>
      <c:valAx>
        <c:axId val="119807012"/>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02998684"/>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f00f49c-ca9c-4d3b-bcb7-1c46e8b08e4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Fryer).xlsx]⑤市场大盘分析!数据透视表12</c:name>
    <c:fmtId val="0"/>
  </c:pivotSource>
  <c:chart>
    <c:autoTitleDeleted val="1"/>
    <c:plotArea>
      <c:layout/>
      <c:barChart>
        <c:barDir val="col"/>
        <c:grouping val="clustered"/>
        <c:varyColors val="0"/>
        <c:ser>
          <c:idx val="1"/>
          <c:order val="1"/>
          <c:tx>
            <c:strRef>
              <c:f>⑤市场大盘分析!$D$280</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⑤市场大盘分析!$B$281:$B$287</c:f>
              <c:strCache>
                <c:ptCount val="6"/>
                <c:pt idx="0">
                  <c:v>单腔</c:v>
                </c:pt>
                <c:pt idx="1">
                  <c:v>单腔双层</c:v>
                </c:pt>
                <c:pt idx="2">
                  <c:v>双腔</c:v>
                </c:pt>
                <c:pt idx="3">
                  <c:v>单腔三层</c:v>
                </c:pt>
                <c:pt idx="4">
                  <c:v>双腔双层</c:v>
                </c:pt>
                <c:pt idx="5">
                  <c:v>双腔三层</c:v>
                </c:pt>
              </c:strCache>
            </c:strRef>
          </c:cat>
          <c:val>
            <c:numRef>
              <c:f>⑤市场大盘分析!$D$281:$D$287</c:f>
              <c:numCache>
                <c:formatCode>General</c:formatCode>
                <c:ptCount val="6"/>
                <c:pt idx="0">
                  <c:v>21726611.124</c:v>
                </c:pt>
                <c:pt idx="1">
                  <c:v>6026954.816</c:v>
                </c:pt>
                <c:pt idx="2">
                  <c:v>3665681.53</c:v>
                </c:pt>
                <c:pt idx="3">
                  <c:v>725593.215</c:v>
                </c:pt>
                <c:pt idx="4">
                  <c:v>858330</c:v>
                </c:pt>
                <c:pt idx="5">
                  <c:v>185086</c:v>
                </c:pt>
              </c:numCache>
            </c:numRef>
          </c:val>
        </c:ser>
        <c:dLbls>
          <c:showLegendKey val="0"/>
          <c:showVal val="1"/>
          <c:showCatName val="0"/>
          <c:showSerName val="0"/>
          <c:showPercent val="0"/>
          <c:showBubbleSize val="0"/>
        </c:dLbls>
        <c:gapWidth val="219"/>
        <c:overlap val="-27"/>
        <c:axId val="423812227"/>
        <c:axId val="641018485"/>
      </c:barChart>
      <c:lineChart>
        <c:grouping val="standard"/>
        <c:varyColors val="0"/>
        <c:ser>
          <c:idx val="2"/>
          <c:order val="2"/>
          <c:tx>
            <c:strRef>
              <c:f>⑤市场大盘分析!$E$280</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⑤市场大盘分析!$B$281:$B$287</c:f>
              <c:strCache>
                <c:ptCount val="6"/>
                <c:pt idx="0">
                  <c:v>单腔</c:v>
                </c:pt>
                <c:pt idx="1">
                  <c:v>单腔双层</c:v>
                </c:pt>
                <c:pt idx="2">
                  <c:v>双腔</c:v>
                </c:pt>
                <c:pt idx="3">
                  <c:v>单腔三层</c:v>
                </c:pt>
                <c:pt idx="4">
                  <c:v>双腔双层</c:v>
                </c:pt>
                <c:pt idx="5">
                  <c:v>双腔三层</c:v>
                </c:pt>
              </c:strCache>
            </c:strRef>
          </c:cat>
          <c:val>
            <c:numRef>
              <c:f>⑤市场大盘分析!$E$281:$E$287</c:f>
              <c:numCache>
                <c:formatCode>General</c:formatCode>
                <c:ptCount val="6"/>
                <c:pt idx="0">
                  <c:v>62</c:v>
                </c:pt>
                <c:pt idx="1">
                  <c:v>27</c:v>
                </c:pt>
                <c:pt idx="2">
                  <c:v>3</c:v>
                </c:pt>
                <c:pt idx="3">
                  <c:v>6</c:v>
                </c:pt>
                <c:pt idx="4">
                  <c:v>1</c:v>
                </c:pt>
                <c:pt idx="5">
                  <c:v>1</c:v>
                </c:pt>
              </c:numCache>
            </c:numRef>
          </c:val>
          <c:smooth val="0"/>
        </c:ser>
        <c:dLbls>
          <c:showLegendKey val="0"/>
          <c:showVal val="1"/>
          <c:showCatName val="0"/>
          <c:showSerName val="0"/>
          <c:showPercent val="0"/>
          <c:showBubbleSize val="0"/>
        </c:dLbls>
        <c:marker val="0"/>
        <c:smooth val="0"/>
        <c:axId val="423812227"/>
        <c:axId val="641018485"/>
      </c:lineChart>
      <c:lineChart>
        <c:grouping val="standard"/>
        <c:varyColors val="0"/>
        <c:ser>
          <c:idx val="0"/>
          <c:order val="0"/>
          <c:tx>
            <c:strRef>
              <c:f>⑤市场大盘分析!$C$280</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⑤市场大盘分析!$B$281:$B$287</c:f>
              <c:strCache>
                <c:ptCount val="6"/>
                <c:pt idx="0">
                  <c:v>单腔</c:v>
                </c:pt>
                <c:pt idx="1">
                  <c:v>单腔双层</c:v>
                </c:pt>
                <c:pt idx="2">
                  <c:v>双腔</c:v>
                </c:pt>
                <c:pt idx="3">
                  <c:v>单腔三层</c:v>
                </c:pt>
                <c:pt idx="4">
                  <c:v>双腔双层</c:v>
                </c:pt>
                <c:pt idx="5">
                  <c:v>双腔三层</c:v>
                </c:pt>
              </c:strCache>
            </c:strRef>
          </c:cat>
          <c:val>
            <c:numRef>
              <c:f>⑤市场大盘分析!$C$281:$C$287</c:f>
              <c:numCache>
                <c:formatCode>General</c:formatCode>
                <c:ptCount val="6"/>
                <c:pt idx="0">
                  <c:v>231782</c:v>
                </c:pt>
                <c:pt idx="1">
                  <c:v>43213</c:v>
                </c:pt>
                <c:pt idx="2">
                  <c:v>18561</c:v>
                </c:pt>
                <c:pt idx="3">
                  <c:v>6577</c:v>
                </c:pt>
                <c:pt idx="4">
                  <c:v>2970</c:v>
                </c:pt>
                <c:pt idx="5">
                  <c:v>1034</c:v>
                </c:pt>
              </c:numCache>
            </c:numRef>
          </c:val>
          <c:smooth val="0"/>
        </c:ser>
        <c:dLbls>
          <c:showLegendKey val="0"/>
          <c:showVal val="1"/>
          <c:showCatName val="0"/>
          <c:showSerName val="0"/>
          <c:showPercent val="0"/>
          <c:showBubbleSize val="0"/>
        </c:dLbls>
        <c:marker val="0"/>
        <c:smooth val="0"/>
        <c:axId val="210718205"/>
        <c:axId val="467252244"/>
      </c:lineChart>
      <c:catAx>
        <c:axId val="4238122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41018485"/>
        <c:crosses val="autoZero"/>
        <c:auto val="1"/>
        <c:lblAlgn val="ctr"/>
        <c:lblOffset val="100"/>
        <c:noMultiLvlLbl val="0"/>
      </c:catAx>
      <c:valAx>
        <c:axId val="64101848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3812227"/>
        <c:crosses val="autoZero"/>
        <c:crossBetween val="between"/>
      </c:valAx>
      <c:catAx>
        <c:axId val="210718205"/>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67252244"/>
        <c:crosses val="autoZero"/>
        <c:auto val="1"/>
        <c:lblAlgn val="ctr"/>
        <c:lblOffset val="100"/>
        <c:noMultiLvlLbl val="0"/>
      </c:catAx>
      <c:valAx>
        <c:axId val="467252244"/>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10718205"/>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9d8a19b-21b1-49a0-abb9-596559ebba0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Fryer).xlsx]⑤市场大盘分析!数据透视表13</c:name>
    <c:fmtId val="0"/>
  </c:pivotSource>
  <c:chart>
    <c:autoTitleDeleted val="1"/>
    <c:plotArea>
      <c:layout/>
      <c:barChart>
        <c:barDir val="col"/>
        <c:grouping val="clustered"/>
        <c:varyColors val="0"/>
        <c:ser>
          <c:idx val="1"/>
          <c:order val="1"/>
          <c:tx>
            <c:strRef>
              <c:f>⑤市场大盘分析!$D$296</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⑤市场大盘分析!$B$297:$B$312</c:f>
              <c:strCache>
                <c:ptCount val="15"/>
                <c:pt idx="0">
                  <c:v>6合一</c:v>
                </c:pt>
                <c:pt idx="1">
                  <c:v>4合一</c:v>
                </c:pt>
                <c:pt idx="2">
                  <c:v>12合一</c:v>
                </c:pt>
                <c:pt idx="3">
                  <c:v>7合一</c:v>
                </c:pt>
                <c:pt idx="4">
                  <c:v>单一</c:v>
                </c:pt>
                <c:pt idx="5">
                  <c:v>9合一</c:v>
                </c:pt>
                <c:pt idx="6">
                  <c:v>8合一</c:v>
                </c:pt>
                <c:pt idx="7">
                  <c:v>10合一</c:v>
                </c:pt>
                <c:pt idx="8">
                  <c:v>11合一</c:v>
                </c:pt>
                <c:pt idx="9">
                  <c:v>5合一</c:v>
                </c:pt>
                <c:pt idx="10">
                  <c:v>13合一</c:v>
                </c:pt>
                <c:pt idx="11">
                  <c:v>17合一</c:v>
                </c:pt>
                <c:pt idx="12">
                  <c:v>14合一</c:v>
                </c:pt>
                <c:pt idx="13">
                  <c:v>15合一</c:v>
                </c:pt>
                <c:pt idx="14">
                  <c:v>19合一</c:v>
                </c:pt>
              </c:strCache>
            </c:strRef>
          </c:cat>
          <c:val>
            <c:numRef>
              <c:f>⑤市场大盘分析!$D$297:$D$312</c:f>
              <c:numCache>
                <c:formatCode>General</c:formatCode>
                <c:ptCount val="15"/>
                <c:pt idx="0">
                  <c:v>8255424.702</c:v>
                </c:pt>
                <c:pt idx="1">
                  <c:v>4228059.23</c:v>
                </c:pt>
                <c:pt idx="2">
                  <c:v>5695409.872</c:v>
                </c:pt>
                <c:pt idx="3">
                  <c:v>3337768.51</c:v>
                </c:pt>
                <c:pt idx="4">
                  <c:v>1416159.235</c:v>
                </c:pt>
                <c:pt idx="5">
                  <c:v>2240002.75</c:v>
                </c:pt>
                <c:pt idx="6">
                  <c:v>3233884.557</c:v>
                </c:pt>
                <c:pt idx="7">
                  <c:v>2085754.98</c:v>
                </c:pt>
                <c:pt idx="8">
                  <c:v>869315.62</c:v>
                </c:pt>
                <c:pt idx="9">
                  <c:v>544657.546</c:v>
                </c:pt>
                <c:pt idx="10">
                  <c:v>467874.22</c:v>
                </c:pt>
                <c:pt idx="11">
                  <c:v>389367.53</c:v>
                </c:pt>
                <c:pt idx="12">
                  <c:v>186722.783</c:v>
                </c:pt>
                <c:pt idx="13">
                  <c:v>81272.36</c:v>
                </c:pt>
                <c:pt idx="14">
                  <c:v>156582.79</c:v>
                </c:pt>
              </c:numCache>
            </c:numRef>
          </c:val>
        </c:ser>
        <c:dLbls>
          <c:showLegendKey val="0"/>
          <c:showVal val="1"/>
          <c:showCatName val="0"/>
          <c:showSerName val="0"/>
          <c:showPercent val="0"/>
          <c:showBubbleSize val="0"/>
        </c:dLbls>
        <c:gapWidth val="219"/>
        <c:overlap val="-27"/>
        <c:axId val="372927577"/>
        <c:axId val="798992906"/>
      </c:barChart>
      <c:lineChart>
        <c:grouping val="standard"/>
        <c:varyColors val="0"/>
        <c:ser>
          <c:idx val="2"/>
          <c:order val="2"/>
          <c:tx>
            <c:strRef>
              <c:f>⑤市场大盘分析!$E$296</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⑤市场大盘分析!$B$297:$B$312</c:f>
              <c:strCache>
                <c:ptCount val="15"/>
                <c:pt idx="0">
                  <c:v>6合一</c:v>
                </c:pt>
                <c:pt idx="1">
                  <c:v>4合一</c:v>
                </c:pt>
                <c:pt idx="2">
                  <c:v>12合一</c:v>
                </c:pt>
                <c:pt idx="3">
                  <c:v>7合一</c:v>
                </c:pt>
                <c:pt idx="4">
                  <c:v>单一</c:v>
                </c:pt>
                <c:pt idx="5">
                  <c:v>9合一</c:v>
                </c:pt>
                <c:pt idx="6">
                  <c:v>8合一</c:v>
                </c:pt>
                <c:pt idx="7">
                  <c:v>10合一</c:v>
                </c:pt>
                <c:pt idx="8">
                  <c:v>11合一</c:v>
                </c:pt>
                <c:pt idx="9">
                  <c:v>5合一</c:v>
                </c:pt>
                <c:pt idx="10">
                  <c:v>13合一</c:v>
                </c:pt>
                <c:pt idx="11">
                  <c:v>17合一</c:v>
                </c:pt>
                <c:pt idx="12">
                  <c:v>14合一</c:v>
                </c:pt>
                <c:pt idx="13">
                  <c:v>15合一</c:v>
                </c:pt>
                <c:pt idx="14">
                  <c:v>19合一</c:v>
                </c:pt>
              </c:strCache>
            </c:strRef>
          </c:cat>
          <c:val>
            <c:numRef>
              <c:f>⑤市场大盘分析!$E$297:$E$312</c:f>
              <c:numCache>
                <c:formatCode>General</c:formatCode>
                <c:ptCount val="15"/>
                <c:pt idx="0">
                  <c:v>10</c:v>
                </c:pt>
                <c:pt idx="1">
                  <c:v>5</c:v>
                </c:pt>
                <c:pt idx="2">
                  <c:v>12</c:v>
                </c:pt>
                <c:pt idx="3">
                  <c:v>7</c:v>
                </c:pt>
                <c:pt idx="4">
                  <c:v>16</c:v>
                </c:pt>
                <c:pt idx="5">
                  <c:v>3</c:v>
                </c:pt>
                <c:pt idx="6">
                  <c:v>14</c:v>
                </c:pt>
                <c:pt idx="7">
                  <c:v>15</c:v>
                </c:pt>
                <c:pt idx="8">
                  <c:v>3</c:v>
                </c:pt>
                <c:pt idx="9">
                  <c:v>5</c:v>
                </c:pt>
                <c:pt idx="10">
                  <c:v>4</c:v>
                </c:pt>
                <c:pt idx="11">
                  <c:v>1</c:v>
                </c:pt>
                <c:pt idx="12">
                  <c:v>2</c:v>
                </c:pt>
                <c:pt idx="13">
                  <c:v>1</c:v>
                </c:pt>
                <c:pt idx="14">
                  <c:v>2</c:v>
                </c:pt>
              </c:numCache>
            </c:numRef>
          </c:val>
          <c:smooth val="0"/>
        </c:ser>
        <c:dLbls>
          <c:showLegendKey val="0"/>
          <c:showVal val="1"/>
          <c:showCatName val="0"/>
          <c:showSerName val="0"/>
          <c:showPercent val="0"/>
          <c:showBubbleSize val="0"/>
        </c:dLbls>
        <c:marker val="0"/>
        <c:smooth val="0"/>
        <c:axId val="372927577"/>
        <c:axId val="798992906"/>
      </c:lineChart>
      <c:lineChart>
        <c:grouping val="standard"/>
        <c:varyColors val="0"/>
        <c:ser>
          <c:idx val="0"/>
          <c:order val="0"/>
          <c:tx>
            <c:strRef>
              <c:f>⑤市场大盘分析!$C$296</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⑤市场大盘分析!$B$297:$B$312</c:f>
              <c:strCache>
                <c:ptCount val="15"/>
                <c:pt idx="0">
                  <c:v>6合一</c:v>
                </c:pt>
                <c:pt idx="1">
                  <c:v>4合一</c:v>
                </c:pt>
                <c:pt idx="2">
                  <c:v>12合一</c:v>
                </c:pt>
                <c:pt idx="3">
                  <c:v>7合一</c:v>
                </c:pt>
                <c:pt idx="4">
                  <c:v>单一</c:v>
                </c:pt>
                <c:pt idx="5">
                  <c:v>9合一</c:v>
                </c:pt>
                <c:pt idx="6">
                  <c:v>8合一</c:v>
                </c:pt>
                <c:pt idx="7">
                  <c:v>10合一</c:v>
                </c:pt>
                <c:pt idx="8">
                  <c:v>11合一</c:v>
                </c:pt>
                <c:pt idx="9">
                  <c:v>5合一</c:v>
                </c:pt>
                <c:pt idx="10">
                  <c:v>13合一</c:v>
                </c:pt>
                <c:pt idx="11">
                  <c:v>17合一</c:v>
                </c:pt>
                <c:pt idx="12">
                  <c:v>14合一</c:v>
                </c:pt>
                <c:pt idx="13">
                  <c:v>15合一</c:v>
                </c:pt>
                <c:pt idx="14">
                  <c:v>19合一</c:v>
                </c:pt>
              </c:strCache>
            </c:strRef>
          </c:cat>
          <c:val>
            <c:numRef>
              <c:f>⑤市场大盘分析!$C$297:$C$312</c:f>
              <c:numCache>
                <c:formatCode>General</c:formatCode>
                <c:ptCount val="15"/>
                <c:pt idx="0">
                  <c:v>61619</c:v>
                </c:pt>
                <c:pt idx="1">
                  <c:v>54981</c:v>
                </c:pt>
                <c:pt idx="2">
                  <c:v>47837</c:v>
                </c:pt>
                <c:pt idx="3">
                  <c:v>28428</c:v>
                </c:pt>
                <c:pt idx="4">
                  <c:v>27898</c:v>
                </c:pt>
                <c:pt idx="5">
                  <c:v>27687</c:v>
                </c:pt>
                <c:pt idx="6">
                  <c:v>22816</c:v>
                </c:pt>
                <c:pt idx="7">
                  <c:v>13516</c:v>
                </c:pt>
                <c:pt idx="8">
                  <c:v>4528</c:v>
                </c:pt>
                <c:pt idx="9">
                  <c:v>4385</c:v>
                </c:pt>
                <c:pt idx="10">
                  <c:v>3577</c:v>
                </c:pt>
                <c:pt idx="11">
                  <c:v>3245</c:v>
                </c:pt>
                <c:pt idx="12">
                  <c:v>1950</c:v>
                </c:pt>
                <c:pt idx="13">
                  <c:v>949</c:v>
                </c:pt>
                <c:pt idx="14">
                  <c:v>721</c:v>
                </c:pt>
              </c:numCache>
            </c:numRef>
          </c:val>
          <c:smooth val="0"/>
        </c:ser>
        <c:dLbls>
          <c:showLegendKey val="0"/>
          <c:showVal val="1"/>
          <c:showCatName val="0"/>
          <c:showSerName val="0"/>
          <c:showPercent val="0"/>
          <c:showBubbleSize val="0"/>
        </c:dLbls>
        <c:marker val="0"/>
        <c:smooth val="0"/>
        <c:axId val="422956563"/>
        <c:axId val="19212548"/>
      </c:lineChart>
      <c:catAx>
        <c:axId val="3729275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8992906"/>
        <c:crosses val="autoZero"/>
        <c:auto val="1"/>
        <c:lblAlgn val="ctr"/>
        <c:lblOffset val="100"/>
        <c:noMultiLvlLbl val="0"/>
      </c:catAx>
      <c:valAx>
        <c:axId val="79899290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72927577"/>
        <c:crosses val="autoZero"/>
        <c:crossBetween val="between"/>
      </c:valAx>
      <c:catAx>
        <c:axId val="42295656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212548"/>
        <c:crosses val="autoZero"/>
        <c:auto val="1"/>
        <c:lblAlgn val="ctr"/>
        <c:lblOffset val="100"/>
        <c:noMultiLvlLbl val="0"/>
      </c:catAx>
      <c:valAx>
        <c:axId val="19212548"/>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2956563"/>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266be31-af00-4d95-8b9d-40b0e1ccfef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Fryer).xlsx]⑤市场大盘分析!数据透视表14</c:name>
    <c:fmtId val="0"/>
  </c:pivotSource>
  <c:chart>
    <c:autoTitleDeleted val="1"/>
    <c:plotArea>
      <c:layout/>
      <c:barChart>
        <c:barDir val="col"/>
        <c:grouping val="clustered"/>
        <c:varyColors val="0"/>
        <c:ser>
          <c:idx val="1"/>
          <c:order val="1"/>
          <c:tx>
            <c:strRef>
              <c:f>⑤市场大盘分析!$D$321</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⑤市场大盘分析!$B$322:$B$339</c:f>
              <c:strCache>
                <c:ptCount val="17"/>
                <c:pt idx="0">
                  <c:v>1700W</c:v>
                </c:pt>
                <c:pt idx="1">
                  <c:v>1500W</c:v>
                </c:pt>
                <c:pt idx="2">
                  <c:v>1550W</c:v>
                </c:pt>
                <c:pt idx="3">
                  <c:v>1800W</c:v>
                </c:pt>
                <c:pt idx="4">
                  <c:v>1600W</c:v>
                </c:pt>
                <c:pt idx="5">
                  <c:v>900W</c:v>
                </c:pt>
                <c:pt idx="6">
                  <c:v>1690W</c:v>
                </c:pt>
                <c:pt idx="7">
                  <c:v>1750W</c:v>
                </c:pt>
                <c:pt idx="8">
                  <c:v>1000W</c:v>
                </c:pt>
                <c:pt idx="9">
                  <c:v>850W</c:v>
                </c:pt>
                <c:pt idx="10">
                  <c:v>1400W</c:v>
                </c:pt>
                <c:pt idx="11">
                  <c:v>1200W</c:v>
                </c:pt>
                <c:pt idx="12">
                  <c:v>1760W</c:v>
                </c:pt>
                <c:pt idx="13">
                  <c:v>1300W</c:v>
                </c:pt>
                <c:pt idx="14">
                  <c:v>1460W</c:v>
                </c:pt>
                <c:pt idx="15">
                  <c:v>700W</c:v>
                </c:pt>
                <c:pt idx="16">
                  <c:v>1725W</c:v>
                </c:pt>
              </c:strCache>
            </c:strRef>
          </c:cat>
          <c:val>
            <c:numRef>
              <c:f>⑤市场大盘分析!$D$322:$D$339</c:f>
              <c:numCache>
                <c:formatCode>General</c:formatCode>
                <c:ptCount val="17"/>
                <c:pt idx="0">
                  <c:v>7169862.21</c:v>
                </c:pt>
                <c:pt idx="1">
                  <c:v>4032438.089</c:v>
                </c:pt>
                <c:pt idx="2">
                  <c:v>3328305.048</c:v>
                </c:pt>
                <c:pt idx="3">
                  <c:v>4502840.242</c:v>
                </c:pt>
                <c:pt idx="4">
                  <c:v>2037744.86</c:v>
                </c:pt>
                <c:pt idx="5">
                  <c:v>1388124.17</c:v>
                </c:pt>
                <c:pt idx="6">
                  <c:v>3558169.2</c:v>
                </c:pt>
                <c:pt idx="7">
                  <c:v>3131074.6</c:v>
                </c:pt>
                <c:pt idx="8">
                  <c:v>662353.843</c:v>
                </c:pt>
                <c:pt idx="9">
                  <c:v>1314122.4</c:v>
                </c:pt>
                <c:pt idx="10">
                  <c:v>486266.925</c:v>
                </c:pt>
                <c:pt idx="11">
                  <c:v>98988.163</c:v>
                </c:pt>
                <c:pt idx="12">
                  <c:v>738303.59</c:v>
                </c:pt>
                <c:pt idx="13">
                  <c:v>206062.375</c:v>
                </c:pt>
                <c:pt idx="14">
                  <c:v>326681.88</c:v>
                </c:pt>
                <c:pt idx="15">
                  <c:v>40221.48</c:v>
                </c:pt>
                <c:pt idx="16">
                  <c:v>166697.61</c:v>
                </c:pt>
              </c:numCache>
            </c:numRef>
          </c:val>
        </c:ser>
        <c:dLbls>
          <c:showLegendKey val="0"/>
          <c:showVal val="1"/>
          <c:showCatName val="0"/>
          <c:showSerName val="0"/>
          <c:showPercent val="0"/>
          <c:showBubbleSize val="0"/>
        </c:dLbls>
        <c:gapWidth val="219"/>
        <c:overlap val="-27"/>
        <c:axId val="846325708"/>
        <c:axId val="334793555"/>
      </c:barChart>
      <c:lineChart>
        <c:grouping val="standard"/>
        <c:varyColors val="0"/>
        <c:ser>
          <c:idx val="2"/>
          <c:order val="2"/>
          <c:tx>
            <c:strRef>
              <c:f>⑤市场大盘分析!$E$321</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⑤市场大盘分析!$B$322:$B$339</c:f>
              <c:strCache>
                <c:ptCount val="17"/>
                <c:pt idx="0">
                  <c:v>1700W</c:v>
                </c:pt>
                <c:pt idx="1">
                  <c:v>1500W</c:v>
                </c:pt>
                <c:pt idx="2">
                  <c:v>1550W</c:v>
                </c:pt>
                <c:pt idx="3">
                  <c:v>1800W</c:v>
                </c:pt>
                <c:pt idx="4">
                  <c:v>1600W</c:v>
                </c:pt>
                <c:pt idx="5">
                  <c:v>900W</c:v>
                </c:pt>
                <c:pt idx="6">
                  <c:v>1690W</c:v>
                </c:pt>
                <c:pt idx="7">
                  <c:v>1750W</c:v>
                </c:pt>
                <c:pt idx="8">
                  <c:v>1000W</c:v>
                </c:pt>
                <c:pt idx="9">
                  <c:v>850W</c:v>
                </c:pt>
                <c:pt idx="10">
                  <c:v>1400W</c:v>
                </c:pt>
                <c:pt idx="11">
                  <c:v>1200W</c:v>
                </c:pt>
                <c:pt idx="12">
                  <c:v>1760W</c:v>
                </c:pt>
                <c:pt idx="13">
                  <c:v>1300W</c:v>
                </c:pt>
                <c:pt idx="14">
                  <c:v>1460W</c:v>
                </c:pt>
                <c:pt idx="15">
                  <c:v>700W</c:v>
                </c:pt>
                <c:pt idx="16">
                  <c:v>1725W</c:v>
                </c:pt>
              </c:strCache>
            </c:strRef>
          </c:cat>
          <c:val>
            <c:numRef>
              <c:f>⑤市场大盘分析!$E$322:$E$339</c:f>
              <c:numCache>
                <c:formatCode>General</c:formatCode>
                <c:ptCount val="17"/>
                <c:pt idx="0">
                  <c:v>28</c:v>
                </c:pt>
                <c:pt idx="1">
                  <c:v>15</c:v>
                </c:pt>
                <c:pt idx="2">
                  <c:v>4</c:v>
                </c:pt>
                <c:pt idx="3">
                  <c:v>20</c:v>
                </c:pt>
                <c:pt idx="4">
                  <c:v>2</c:v>
                </c:pt>
                <c:pt idx="5">
                  <c:v>2</c:v>
                </c:pt>
                <c:pt idx="6">
                  <c:v>2</c:v>
                </c:pt>
                <c:pt idx="7">
                  <c:v>2</c:v>
                </c:pt>
                <c:pt idx="8">
                  <c:v>8</c:v>
                </c:pt>
                <c:pt idx="9">
                  <c:v>1</c:v>
                </c:pt>
                <c:pt idx="10">
                  <c:v>6</c:v>
                </c:pt>
                <c:pt idx="11">
                  <c:v>3</c:v>
                </c:pt>
                <c:pt idx="12">
                  <c:v>2</c:v>
                </c:pt>
                <c:pt idx="13">
                  <c:v>2</c:v>
                </c:pt>
                <c:pt idx="14">
                  <c:v>1</c:v>
                </c:pt>
                <c:pt idx="15">
                  <c:v>1</c:v>
                </c:pt>
                <c:pt idx="16">
                  <c:v>1</c:v>
                </c:pt>
              </c:numCache>
            </c:numRef>
          </c:val>
          <c:smooth val="0"/>
        </c:ser>
        <c:dLbls>
          <c:showLegendKey val="0"/>
          <c:showVal val="1"/>
          <c:showCatName val="0"/>
          <c:showSerName val="0"/>
          <c:showPercent val="0"/>
          <c:showBubbleSize val="0"/>
        </c:dLbls>
        <c:marker val="0"/>
        <c:smooth val="0"/>
        <c:axId val="846325708"/>
        <c:axId val="334793555"/>
      </c:lineChart>
      <c:lineChart>
        <c:grouping val="standard"/>
        <c:varyColors val="0"/>
        <c:ser>
          <c:idx val="0"/>
          <c:order val="0"/>
          <c:tx>
            <c:strRef>
              <c:f>⑤市场大盘分析!$C$321</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⑤市场大盘分析!$B$322:$B$339</c:f>
              <c:strCache>
                <c:ptCount val="17"/>
                <c:pt idx="0">
                  <c:v>1700W</c:v>
                </c:pt>
                <c:pt idx="1">
                  <c:v>1500W</c:v>
                </c:pt>
                <c:pt idx="2">
                  <c:v>1550W</c:v>
                </c:pt>
                <c:pt idx="3">
                  <c:v>1800W</c:v>
                </c:pt>
                <c:pt idx="4">
                  <c:v>1600W</c:v>
                </c:pt>
                <c:pt idx="5">
                  <c:v>900W</c:v>
                </c:pt>
                <c:pt idx="6">
                  <c:v>1690W</c:v>
                </c:pt>
                <c:pt idx="7">
                  <c:v>1750W</c:v>
                </c:pt>
                <c:pt idx="8">
                  <c:v>1000W</c:v>
                </c:pt>
                <c:pt idx="9">
                  <c:v>850W</c:v>
                </c:pt>
                <c:pt idx="10">
                  <c:v>1400W</c:v>
                </c:pt>
                <c:pt idx="11">
                  <c:v>1200W</c:v>
                </c:pt>
                <c:pt idx="12">
                  <c:v>1760W</c:v>
                </c:pt>
                <c:pt idx="13">
                  <c:v>1300W</c:v>
                </c:pt>
                <c:pt idx="14">
                  <c:v>1460W</c:v>
                </c:pt>
                <c:pt idx="15">
                  <c:v>700W</c:v>
                </c:pt>
                <c:pt idx="16">
                  <c:v>1725W</c:v>
                </c:pt>
              </c:strCache>
            </c:strRef>
          </c:cat>
          <c:val>
            <c:numRef>
              <c:f>⑤市场大盘分析!$C$322:$C$339</c:f>
              <c:numCache>
                <c:formatCode>General</c:formatCode>
                <c:ptCount val="17"/>
                <c:pt idx="0">
                  <c:v>64774</c:v>
                </c:pt>
                <c:pt idx="1">
                  <c:v>48401</c:v>
                </c:pt>
                <c:pt idx="2">
                  <c:v>37397</c:v>
                </c:pt>
                <c:pt idx="3">
                  <c:v>28799</c:v>
                </c:pt>
                <c:pt idx="4">
                  <c:v>22690</c:v>
                </c:pt>
                <c:pt idx="5">
                  <c:v>19585</c:v>
                </c:pt>
                <c:pt idx="6">
                  <c:v>17793</c:v>
                </c:pt>
                <c:pt idx="7">
                  <c:v>17551</c:v>
                </c:pt>
                <c:pt idx="8">
                  <c:v>14798</c:v>
                </c:pt>
                <c:pt idx="9">
                  <c:v>11952</c:v>
                </c:pt>
                <c:pt idx="10">
                  <c:v>5090</c:v>
                </c:pt>
                <c:pt idx="11">
                  <c:v>4786</c:v>
                </c:pt>
                <c:pt idx="12">
                  <c:v>3521</c:v>
                </c:pt>
                <c:pt idx="13">
                  <c:v>3142</c:v>
                </c:pt>
                <c:pt idx="14">
                  <c:v>1815</c:v>
                </c:pt>
                <c:pt idx="15">
                  <c:v>1121</c:v>
                </c:pt>
                <c:pt idx="16">
                  <c:v>922</c:v>
                </c:pt>
              </c:numCache>
            </c:numRef>
          </c:val>
          <c:smooth val="0"/>
        </c:ser>
        <c:dLbls>
          <c:showLegendKey val="0"/>
          <c:showVal val="1"/>
          <c:showCatName val="0"/>
          <c:showSerName val="0"/>
          <c:showPercent val="0"/>
          <c:showBubbleSize val="0"/>
        </c:dLbls>
        <c:marker val="0"/>
        <c:smooth val="0"/>
        <c:axId val="906220187"/>
        <c:axId val="353725065"/>
      </c:lineChart>
      <c:catAx>
        <c:axId val="8463257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34793555"/>
        <c:crosses val="autoZero"/>
        <c:auto val="1"/>
        <c:lblAlgn val="ctr"/>
        <c:lblOffset val="100"/>
        <c:noMultiLvlLbl val="0"/>
      </c:catAx>
      <c:valAx>
        <c:axId val="3347935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6325708"/>
        <c:crosses val="autoZero"/>
        <c:crossBetween val="between"/>
      </c:valAx>
      <c:catAx>
        <c:axId val="906220187"/>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3725065"/>
        <c:crosses val="autoZero"/>
        <c:auto val="1"/>
        <c:lblAlgn val="ctr"/>
        <c:lblOffset val="100"/>
        <c:noMultiLvlLbl val="0"/>
      </c:catAx>
      <c:valAx>
        <c:axId val="353725065"/>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06220187"/>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6d58214-94e5-43ef-9f9c-d4bb9bee537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Fryer).xlsx]⑤市场大盘分析!数据透视表15</c:name>
    <c:fmtId val="0"/>
  </c:pivotSource>
  <c:chart>
    <c:autoTitleDeleted val="1"/>
    <c:plotArea>
      <c:layout/>
      <c:barChart>
        <c:barDir val="col"/>
        <c:grouping val="clustered"/>
        <c:varyColors val="0"/>
        <c:ser>
          <c:idx val="1"/>
          <c:order val="1"/>
          <c:tx>
            <c:strRef>
              <c:f>⑤市场大盘分析!$D$348</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⑤市场大盘分析!$B$349:$B$356</c:f>
              <c:strCache>
                <c:ptCount val="7"/>
                <c:pt idx="0">
                  <c:v>205℃</c:v>
                </c:pt>
                <c:pt idx="1">
                  <c:v>230℃</c:v>
                </c:pt>
                <c:pt idx="2">
                  <c:v>200℃</c:v>
                </c:pt>
                <c:pt idx="3">
                  <c:v>260℃</c:v>
                </c:pt>
                <c:pt idx="4">
                  <c:v>316℃</c:v>
                </c:pt>
                <c:pt idx="5">
                  <c:v>215℃</c:v>
                </c:pt>
                <c:pt idx="6">
                  <c:v>250℃</c:v>
                </c:pt>
              </c:strCache>
            </c:strRef>
          </c:cat>
          <c:val>
            <c:numRef>
              <c:f>⑤市场大盘分析!$D$349:$D$356</c:f>
              <c:numCache>
                <c:formatCode>General</c:formatCode>
                <c:ptCount val="7"/>
                <c:pt idx="0">
                  <c:v>15855012.466</c:v>
                </c:pt>
                <c:pt idx="1">
                  <c:v>14997817.415</c:v>
                </c:pt>
                <c:pt idx="2">
                  <c:v>566637.97</c:v>
                </c:pt>
                <c:pt idx="3">
                  <c:v>1611903.388</c:v>
                </c:pt>
                <c:pt idx="4">
                  <c:v>81272.36</c:v>
                </c:pt>
                <c:pt idx="5">
                  <c:v>40644.723</c:v>
                </c:pt>
                <c:pt idx="6">
                  <c:v>34968.363</c:v>
                </c:pt>
              </c:numCache>
            </c:numRef>
          </c:val>
        </c:ser>
        <c:dLbls>
          <c:showLegendKey val="0"/>
          <c:showVal val="1"/>
          <c:showCatName val="0"/>
          <c:showSerName val="0"/>
          <c:showPercent val="0"/>
          <c:showBubbleSize val="0"/>
        </c:dLbls>
        <c:gapWidth val="219"/>
        <c:overlap val="-27"/>
        <c:axId val="596677482"/>
        <c:axId val="509488336"/>
      </c:barChart>
      <c:lineChart>
        <c:grouping val="standard"/>
        <c:varyColors val="0"/>
        <c:ser>
          <c:idx val="2"/>
          <c:order val="2"/>
          <c:tx>
            <c:strRef>
              <c:f>⑤市场大盘分析!$E$348</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⑤市场大盘分析!$B$349:$B$356</c:f>
              <c:strCache>
                <c:ptCount val="7"/>
                <c:pt idx="0">
                  <c:v>205℃</c:v>
                </c:pt>
                <c:pt idx="1">
                  <c:v>230℃</c:v>
                </c:pt>
                <c:pt idx="2">
                  <c:v>200℃</c:v>
                </c:pt>
                <c:pt idx="3">
                  <c:v>260℃</c:v>
                </c:pt>
                <c:pt idx="4">
                  <c:v>316℃</c:v>
                </c:pt>
                <c:pt idx="5">
                  <c:v>215℃</c:v>
                </c:pt>
                <c:pt idx="6">
                  <c:v>250℃</c:v>
                </c:pt>
              </c:strCache>
            </c:strRef>
          </c:cat>
          <c:val>
            <c:numRef>
              <c:f>⑤市场大盘分析!$E$349:$E$356</c:f>
              <c:numCache>
                <c:formatCode>General</c:formatCode>
                <c:ptCount val="7"/>
                <c:pt idx="0">
                  <c:v>54</c:v>
                </c:pt>
                <c:pt idx="1">
                  <c:v>31</c:v>
                </c:pt>
                <c:pt idx="2">
                  <c:v>6</c:v>
                </c:pt>
                <c:pt idx="3">
                  <c:v>6</c:v>
                </c:pt>
                <c:pt idx="4">
                  <c:v>1</c:v>
                </c:pt>
                <c:pt idx="5">
                  <c:v>1</c:v>
                </c:pt>
                <c:pt idx="6">
                  <c:v>1</c:v>
                </c:pt>
              </c:numCache>
            </c:numRef>
          </c:val>
          <c:smooth val="0"/>
        </c:ser>
        <c:dLbls>
          <c:showLegendKey val="0"/>
          <c:showVal val="1"/>
          <c:showCatName val="0"/>
          <c:showSerName val="0"/>
          <c:showPercent val="0"/>
          <c:showBubbleSize val="0"/>
        </c:dLbls>
        <c:marker val="0"/>
        <c:smooth val="0"/>
        <c:axId val="596677482"/>
        <c:axId val="509488336"/>
      </c:lineChart>
      <c:lineChart>
        <c:grouping val="standard"/>
        <c:varyColors val="0"/>
        <c:ser>
          <c:idx val="0"/>
          <c:order val="0"/>
          <c:tx>
            <c:strRef>
              <c:f>⑤市场大盘分析!$C$348</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⑤市场大盘分析!$B$349:$B$356</c:f>
              <c:strCache>
                <c:ptCount val="7"/>
                <c:pt idx="0">
                  <c:v>205℃</c:v>
                </c:pt>
                <c:pt idx="1">
                  <c:v>230℃</c:v>
                </c:pt>
                <c:pt idx="2">
                  <c:v>200℃</c:v>
                </c:pt>
                <c:pt idx="3">
                  <c:v>260℃</c:v>
                </c:pt>
                <c:pt idx="4">
                  <c:v>316℃</c:v>
                </c:pt>
                <c:pt idx="5">
                  <c:v>215℃</c:v>
                </c:pt>
                <c:pt idx="6">
                  <c:v>250℃</c:v>
                </c:pt>
              </c:strCache>
            </c:strRef>
          </c:cat>
          <c:val>
            <c:numRef>
              <c:f>⑤市场大盘分析!$C$349:$C$356</c:f>
              <c:numCache>
                <c:formatCode>General</c:formatCode>
                <c:ptCount val="7"/>
                <c:pt idx="0">
                  <c:v>178170</c:v>
                </c:pt>
                <c:pt idx="1">
                  <c:v>106316</c:v>
                </c:pt>
                <c:pt idx="2">
                  <c:v>10890</c:v>
                </c:pt>
                <c:pt idx="3">
                  <c:v>6443</c:v>
                </c:pt>
                <c:pt idx="4">
                  <c:v>949</c:v>
                </c:pt>
                <c:pt idx="5">
                  <c:v>837</c:v>
                </c:pt>
                <c:pt idx="6">
                  <c:v>532</c:v>
                </c:pt>
              </c:numCache>
            </c:numRef>
          </c:val>
          <c:smooth val="0"/>
        </c:ser>
        <c:dLbls>
          <c:showLegendKey val="0"/>
          <c:showVal val="1"/>
          <c:showCatName val="0"/>
          <c:showSerName val="0"/>
          <c:showPercent val="0"/>
          <c:showBubbleSize val="0"/>
        </c:dLbls>
        <c:marker val="0"/>
        <c:smooth val="0"/>
        <c:axId val="555887861"/>
        <c:axId val="516644825"/>
      </c:lineChart>
      <c:catAx>
        <c:axId val="59667748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09488336"/>
        <c:crosses val="autoZero"/>
        <c:auto val="1"/>
        <c:lblAlgn val="ctr"/>
        <c:lblOffset val="100"/>
        <c:noMultiLvlLbl val="0"/>
      </c:catAx>
      <c:valAx>
        <c:axId val="50948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6677482"/>
        <c:crosses val="autoZero"/>
        <c:crossBetween val="between"/>
      </c:valAx>
      <c:catAx>
        <c:axId val="555887861"/>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6644825"/>
        <c:crosses val="autoZero"/>
        <c:auto val="1"/>
        <c:lblAlgn val="ctr"/>
        <c:lblOffset val="100"/>
        <c:noMultiLvlLbl val="0"/>
      </c:catAx>
      <c:valAx>
        <c:axId val="516644825"/>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55887861"/>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1766687-b91d-41c4-ba0c-3db7c8cb31b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Fryer).xlsx]⑤市场大盘分析!数据透视表26</c:name>
    <c:fmtId val="0"/>
  </c:pivotSource>
  <c:chart>
    <c:autoTitleDeleted val="1"/>
    <c:plotArea>
      <c:layout/>
      <c:barChart>
        <c:barDir val="col"/>
        <c:grouping val="clustered"/>
        <c:varyColors val="0"/>
        <c:ser>
          <c:idx val="1"/>
          <c:order val="1"/>
          <c:tx>
            <c:strRef>
              <c:f>⑤市场大盘分析!$D$398</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⑤市场大盘分析!$B$399:$B$409</c:f>
              <c:strCache>
                <c:ptCount val="10"/>
                <c:pt idx="0">
                  <c:v>触控控制</c:v>
                </c:pt>
                <c:pt idx="1">
                  <c:v>触控+旋钮控制</c:v>
                </c:pt>
                <c:pt idx="2">
                  <c:v>旋钮控制</c:v>
                </c:pt>
                <c:pt idx="3">
                  <c:v>触控按键+APP控制</c:v>
                </c:pt>
                <c:pt idx="4">
                  <c:v>按键+旋钮控制</c:v>
                </c:pt>
                <c:pt idx="5">
                  <c:v>触控+app控制</c:v>
                </c:pt>
                <c:pt idx="6">
                  <c:v>按键控制</c:v>
                </c:pt>
                <c:pt idx="7">
                  <c:v>按键控制+app控制</c:v>
                </c:pt>
                <c:pt idx="8">
                  <c:v>按键+旋钮+app控制</c:v>
                </c:pt>
                <c:pt idx="9">
                  <c:v>触控+旋钮+app控制</c:v>
                </c:pt>
              </c:strCache>
            </c:strRef>
          </c:cat>
          <c:val>
            <c:numRef>
              <c:f>⑤市场大盘分析!$D$399:$D$409</c:f>
              <c:numCache>
                <c:formatCode>General</c:formatCode>
                <c:ptCount val="10"/>
                <c:pt idx="0">
                  <c:v>19936523.758</c:v>
                </c:pt>
                <c:pt idx="1">
                  <c:v>5812267.508</c:v>
                </c:pt>
                <c:pt idx="2">
                  <c:v>1721158.169</c:v>
                </c:pt>
                <c:pt idx="3">
                  <c:v>2107365.06</c:v>
                </c:pt>
                <c:pt idx="4">
                  <c:v>1274877.1</c:v>
                </c:pt>
                <c:pt idx="5">
                  <c:v>903288.26</c:v>
                </c:pt>
                <c:pt idx="6">
                  <c:v>312799.92</c:v>
                </c:pt>
                <c:pt idx="7">
                  <c:v>675797.8</c:v>
                </c:pt>
                <c:pt idx="8">
                  <c:v>277481.5</c:v>
                </c:pt>
                <c:pt idx="9">
                  <c:v>166697.61</c:v>
                </c:pt>
              </c:numCache>
            </c:numRef>
          </c:val>
        </c:ser>
        <c:dLbls>
          <c:showLegendKey val="0"/>
          <c:showVal val="1"/>
          <c:showCatName val="0"/>
          <c:showSerName val="0"/>
          <c:showPercent val="0"/>
          <c:showBubbleSize val="0"/>
        </c:dLbls>
        <c:gapWidth val="219"/>
        <c:overlap val="-27"/>
        <c:axId val="978742300"/>
        <c:axId val="332249113"/>
      </c:barChart>
      <c:lineChart>
        <c:grouping val="standard"/>
        <c:varyColors val="0"/>
        <c:ser>
          <c:idx val="2"/>
          <c:order val="2"/>
          <c:tx>
            <c:strRef>
              <c:f>⑤市场大盘分析!$E$398</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⑤市场大盘分析!$B$399:$B$409</c:f>
              <c:strCache>
                <c:ptCount val="10"/>
                <c:pt idx="0">
                  <c:v>触控控制</c:v>
                </c:pt>
                <c:pt idx="1">
                  <c:v>触控+旋钮控制</c:v>
                </c:pt>
                <c:pt idx="2">
                  <c:v>旋钮控制</c:v>
                </c:pt>
                <c:pt idx="3">
                  <c:v>触控按键+APP控制</c:v>
                </c:pt>
                <c:pt idx="4">
                  <c:v>按键+旋钮控制</c:v>
                </c:pt>
                <c:pt idx="5">
                  <c:v>触控+app控制</c:v>
                </c:pt>
                <c:pt idx="6">
                  <c:v>按键控制</c:v>
                </c:pt>
                <c:pt idx="7">
                  <c:v>按键控制+app控制</c:v>
                </c:pt>
                <c:pt idx="8">
                  <c:v>按键+旋钮+app控制</c:v>
                </c:pt>
                <c:pt idx="9">
                  <c:v>触控+旋钮+app控制</c:v>
                </c:pt>
              </c:strCache>
            </c:strRef>
          </c:cat>
          <c:val>
            <c:numRef>
              <c:f>⑤市场大盘分析!$E$399:$E$409</c:f>
              <c:numCache>
                <c:formatCode>General</c:formatCode>
                <c:ptCount val="10"/>
                <c:pt idx="0">
                  <c:v>47</c:v>
                </c:pt>
                <c:pt idx="1">
                  <c:v>10</c:v>
                </c:pt>
                <c:pt idx="2">
                  <c:v>22</c:v>
                </c:pt>
                <c:pt idx="3">
                  <c:v>2</c:v>
                </c:pt>
                <c:pt idx="4">
                  <c:v>7</c:v>
                </c:pt>
                <c:pt idx="5">
                  <c:v>7</c:v>
                </c:pt>
                <c:pt idx="6">
                  <c:v>2</c:v>
                </c:pt>
                <c:pt idx="7">
                  <c:v>1</c:v>
                </c:pt>
                <c:pt idx="8">
                  <c:v>1</c:v>
                </c:pt>
                <c:pt idx="9">
                  <c:v>1</c:v>
                </c:pt>
              </c:numCache>
            </c:numRef>
          </c:val>
          <c:smooth val="0"/>
        </c:ser>
        <c:dLbls>
          <c:showLegendKey val="0"/>
          <c:showVal val="1"/>
          <c:showCatName val="0"/>
          <c:showSerName val="0"/>
          <c:showPercent val="0"/>
          <c:showBubbleSize val="0"/>
        </c:dLbls>
        <c:marker val="0"/>
        <c:smooth val="0"/>
        <c:axId val="978742300"/>
        <c:axId val="332249113"/>
      </c:lineChart>
      <c:lineChart>
        <c:grouping val="standard"/>
        <c:varyColors val="0"/>
        <c:ser>
          <c:idx val="0"/>
          <c:order val="0"/>
          <c:tx>
            <c:strRef>
              <c:f>⑤市场大盘分析!$C$398</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⑤市场大盘分析!$B$399:$B$409</c:f>
              <c:strCache>
                <c:ptCount val="10"/>
                <c:pt idx="0">
                  <c:v>触控控制</c:v>
                </c:pt>
                <c:pt idx="1">
                  <c:v>触控+旋钮控制</c:v>
                </c:pt>
                <c:pt idx="2">
                  <c:v>旋钮控制</c:v>
                </c:pt>
                <c:pt idx="3">
                  <c:v>触控按键+APP控制</c:v>
                </c:pt>
                <c:pt idx="4">
                  <c:v>按键+旋钮控制</c:v>
                </c:pt>
                <c:pt idx="5">
                  <c:v>触控+app控制</c:v>
                </c:pt>
                <c:pt idx="6">
                  <c:v>按键控制</c:v>
                </c:pt>
                <c:pt idx="7">
                  <c:v>按键控制+app控制</c:v>
                </c:pt>
                <c:pt idx="8">
                  <c:v>按键+旋钮+app控制</c:v>
                </c:pt>
                <c:pt idx="9">
                  <c:v>触控+旋钮+app控制</c:v>
                </c:pt>
              </c:strCache>
            </c:strRef>
          </c:cat>
          <c:val>
            <c:numRef>
              <c:f>⑤市场大盘分析!$C$399:$C$409</c:f>
              <c:numCache>
                <c:formatCode>General</c:formatCode>
                <c:ptCount val="10"/>
                <c:pt idx="0">
                  <c:v>190391</c:v>
                </c:pt>
                <c:pt idx="1">
                  <c:v>33064</c:v>
                </c:pt>
                <c:pt idx="2">
                  <c:v>30778</c:v>
                </c:pt>
                <c:pt idx="3">
                  <c:v>23113</c:v>
                </c:pt>
                <c:pt idx="4">
                  <c:v>7927</c:v>
                </c:pt>
                <c:pt idx="5">
                  <c:v>7255</c:v>
                </c:pt>
                <c:pt idx="6">
                  <c:v>4613</c:v>
                </c:pt>
                <c:pt idx="7">
                  <c:v>4224</c:v>
                </c:pt>
                <c:pt idx="8">
                  <c:v>1850</c:v>
                </c:pt>
                <c:pt idx="9">
                  <c:v>922</c:v>
                </c:pt>
              </c:numCache>
            </c:numRef>
          </c:val>
          <c:smooth val="0"/>
        </c:ser>
        <c:dLbls>
          <c:showLegendKey val="0"/>
          <c:showVal val="1"/>
          <c:showCatName val="0"/>
          <c:showSerName val="0"/>
          <c:showPercent val="0"/>
          <c:showBubbleSize val="0"/>
        </c:dLbls>
        <c:marker val="0"/>
        <c:smooth val="0"/>
        <c:axId val="358303694"/>
        <c:axId val="147091908"/>
      </c:lineChart>
      <c:catAx>
        <c:axId val="9787423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32249113"/>
        <c:crosses val="autoZero"/>
        <c:auto val="1"/>
        <c:lblAlgn val="ctr"/>
        <c:lblOffset val="100"/>
        <c:noMultiLvlLbl val="0"/>
      </c:catAx>
      <c:valAx>
        <c:axId val="33224911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8742300"/>
        <c:crosses val="autoZero"/>
        <c:crossBetween val="between"/>
      </c:valAx>
      <c:catAx>
        <c:axId val="35830369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7091908"/>
        <c:crosses val="autoZero"/>
        <c:auto val="1"/>
        <c:lblAlgn val="ctr"/>
        <c:lblOffset val="100"/>
        <c:noMultiLvlLbl val="0"/>
      </c:catAx>
      <c:valAx>
        <c:axId val="147091908"/>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8303694"/>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d1c4e66-ac25-44cd-b230-8cb649731d6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Fryer).xlsx]⑤市场大盘分析!数据透视表27</c:name>
    <c:fmtId val="0"/>
  </c:pivotSource>
  <c:chart>
    <c:autoTitleDeleted val="1"/>
    <c:plotArea>
      <c:layout/>
      <c:barChart>
        <c:barDir val="col"/>
        <c:grouping val="clustered"/>
        <c:varyColors val="0"/>
        <c:ser>
          <c:idx val="1"/>
          <c:order val="1"/>
          <c:tx>
            <c:strRef>
              <c:f>⑤市场大盘分析!$D$417</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⑤市场大盘分析!$B$418:$B$427</c:f>
              <c:strCache>
                <c:ptCount val="9"/>
                <c:pt idx="0">
                  <c:v>不沾陶瓷+塑料</c:v>
                </c:pt>
                <c:pt idx="1">
                  <c:v>不锈钢+不沾陶瓷+塑料</c:v>
                </c:pt>
                <c:pt idx="2">
                  <c:v>不锈钢+钢化玻璃+塑料</c:v>
                </c:pt>
                <c:pt idx="3">
                  <c:v>不锈钢</c:v>
                </c:pt>
                <c:pt idx="4">
                  <c:v>不锈钢+塑料</c:v>
                </c:pt>
                <c:pt idx="5">
                  <c:v>不沾陶瓷+钢化玻璃+塑料</c:v>
                </c:pt>
                <c:pt idx="6">
                  <c:v>铬+塑料</c:v>
                </c:pt>
                <c:pt idx="7">
                  <c:v>钢化玻璃+塑料</c:v>
                </c:pt>
                <c:pt idx="8">
                  <c:v>铬+钢化玻璃+塑料</c:v>
                </c:pt>
              </c:strCache>
            </c:strRef>
          </c:cat>
          <c:val>
            <c:numRef>
              <c:f>⑤市场大盘分析!$D$418:$D$427</c:f>
              <c:numCache>
                <c:formatCode>General</c:formatCode>
                <c:ptCount val="9"/>
                <c:pt idx="0">
                  <c:v>11010622.693</c:v>
                </c:pt>
                <c:pt idx="1">
                  <c:v>11900530.63</c:v>
                </c:pt>
                <c:pt idx="2">
                  <c:v>2700114.541</c:v>
                </c:pt>
                <c:pt idx="3">
                  <c:v>3481129.276</c:v>
                </c:pt>
                <c:pt idx="4">
                  <c:v>1704597.69</c:v>
                </c:pt>
                <c:pt idx="5">
                  <c:v>1025063.8</c:v>
                </c:pt>
                <c:pt idx="6">
                  <c:v>1048117.88</c:v>
                </c:pt>
                <c:pt idx="7">
                  <c:v>206179.375</c:v>
                </c:pt>
                <c:pt idx="8">
                  <c:v>111900.8</c:v>
                </c:pt>
              </c:numCache>
            </c:numRef>
          </c:val>
        </c:ser>
        <c:dLbls>
          <c:showLegendKey val="0"/>
          <c:showVal val="1"/>
          <c:showCatName val="0"/>
          <c:showSerName val="0"/>
          <c:showPercent val="0"/>
          <c:showBubbleSize val="0"/>
        </c:dLbls>
        <c:gapWidth val="219"/>
        <c:overlap val="-27"/>
        <c:axId val="561533658"/>
        <c:axId val="357363471"/>
      </c:barChart>
      <c:lineChart>
        <c:grouping val="standard"/>
        <c:varyColors val="0"/>
        <c:ser>
          <c:idx val="2"/>
          <c:order val="2"/>
          <c:tx>
            <c:strRef>
              <c:f>⑤市场大盘分析!$E$417</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⑤市场大盘分析!$B$418:$B$427</c:f>
              <c:strCache>
                <c:ptCount val="9"/>
                <c:pt idx="0">
                  <c:v>不沾陶瓷+塑料</c:v>
                </c:pt>
                <c:pt idx="1">
                  <c:v>不锈钢+不沾陶瓷+塑料</c:v>
                </c:pt>
                <c:pt idx="2">
                  <c:v>不锈钢+钢化玻璃+塑料</c:v>
                </c:pt>
                <c:pt idx="3">
                  <c:v>不锈钢</c:v>
                </c:pt>
                <c:pt idx="4">
                  <c:v>不锈钢+塑料</c:v>
                </c:pt>
                <c:pt idx="5">
                  <c:v>不沾陶瓷+钢化玻璃+塑料</c:v>
                </c:pt>
                <c:pt idx="6">
                  <c:v>铬+塑料</c:v>
                </c:pt>
                <c:pt idx="7">
                  <c:v>钢化玻璃+塑料</c:v>
                </c:pt>
                <c:pt idx="8">
                  <c:v>铬+钢化玻璃+塑料</c:v>
                </c:pt>
              </c:strCache>
            </c:strRef>
          </c:cat>
          <c:val>
            <c:numRef>
              <c:f>⑤市场大盘分析!$E$418:$E$427</c:f>
              <c:numCache>
                <c:formatCode>General</c:formatCode>
                <c:ptCount val="9"/>
                <c:pt idx="0">
                  <c:v>41</c:v>
                </c:pt>
                <c:pt idx="1">
                  <c:v>16</c:v>
                </c:pt>
                <c:pt idx="2">
                  <c:v>19</c:v>
                </c:pt>
                <c:pt idx="3">
                  <c:v>10</c:v>
                </c:pt>
                <c:pt idx="4">
                  <c:v>8</c:v>
                </c:pt>
                <c:pt idx="5">
                  <c:v>1</c:v>
                </c:pt>
                <c:pt idx="6">
                  <c:v>2</c:v>
                </c:pt>
                <c:pt idx="7">
                  <c:v>2</c:v>
                </c:pt>
                <c:pt idx="8">
                  <c:v>1</c:v>
                </c:pt>
              </c:numCache>
            </c:numRef>
          </c:val>
          <c:smooth val="0"/>
        </c:ser>
        <c:dLbls>
          <c:showLegendKey val="0"/>
          <c:showVal val="1"/>
          <c:showCatName val="0"/>
          <c:showSerName val="0"/>
          <c:showPercent val="0"/>
          <c:showBubbleSize val="0"/>
        </c:dLbls>
        <c:marker val="0"/>
        <c:smooth val="0"/>
        <c:axId val="561533658"/>
        <c:axId val="357363471"/>
      </c:lineChart>
      <c:lineChart>
        <c:grouping val="standard"/>
        <c:varyColors val="0"/>
        <c:ser>
          <c:idx val="0"/>
          <c:order val="0"/>
          <c:tx>
            <c:strRef>
              <c:f>⑤市场大盘分析!$C$417</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⑤市场大盘分析!$B$418:$B$427</c:f>
              <c:strCache>
                <c:ptCount val="9"/>
                <c:pt idx="0">
                  <c:v>不沾陶瓷+塑料</c:v>
                </c:pt>
                <c:pt idx="1">
                  <c:v>不锈钢+不沾陶瓷+塑料</c:v>
                </c:pt>
                <c:pt idx="2">
                  <c:v>不锈钢+钢化玻璃+塑料</c:v>
                </c:pt>
                <c:pt idx="3">
                  <c:v>不锈钢</c:v>
                </c:pt>
                <c:pt idx="4">
                  <c:v>不锈钢+塑料</c:v>
                </c:pt>
                <c:pt idx="5">
                  <c:v>不沾陶瓷+钢化玻璃+塑料</c:v>
                </c:pt>
                <c:pt idx="6">
                  <c:v>铬+塑料</c:v>
                </c:pt>
                <c:pt idx="7">
                  <c:v>钢化玻璃+塑料</c:v>
                </c:pt>
                <c:pt idx="8">
                  <c:v>铬+钢化玻璃+塑料</c:v>
                </c:pt>
              </c:strCache>
            </c:strRef>
          </c:cat>
          <c:val>
            <c:numRef>
              <c:f>⑤市场大盘分析!$C$418:$C$427</c:f>
              <c:numCache>
                <c:formatCode>General</c:formatCode>
                <c:ptCount val="9"/>
                <c:pt idx="0">
                  <c:v>144872</c:v>
                </c:pt>
                <c:pt idx="1">
                  <c:v>87687</c:v>
                </c:pt>
                <c:pt idx="2">
                  <c:v>23077</c:v>
                </c:pt>
                <c:pt idx="3">
                  <c:v>18841</c:v>
                </c:pt>
                <c:pt idx="4">
                  <c:v>12476</c:v>
                </c:pt>
                <c:pt idx="5">
                  <c:v>9323</c:v>
                </c:pt>
                <c:pt idx="6">
                  <c:v>5095</c:v>
                </c:pt>
                <c:pt idx="7">
                  <c:v>2062</c:v>
                </c:pt>
                <c:pt idx="8">
                  <c:v>704</c:v>
                </c:pt>
              </c:numCache>
            </c:numRef>
          </c:val>
          <c:smooth val="0"/>
        </c:ser>
        <c:dLbls>
          <c:showLegendKey val="0"/>
          <c:showVal val="1"/>
          <c:showCatName val="0"/>
          <c:showSerName val="0"/>
          <c:showPercent val="0"/>
          <c:showBubbleSize val="0"/>
        </c:dLbls>
        <c:marker val="0"/>
        <c:smooth val="0"/>
        <c:axId val="253538624"/>
        <c:axId val="245372693"/>
      </c:lineChart>
      <c:catAx>
        <c:axId val="5615336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7363471"/>
        <c:crosses val="autoZero"/>
        <c:auto val="1"/>
        <c:lblAlgn val="ctr"/>
        <c:lblOffset val="100"/>
        <c:noMultiLvlLbl val="0"/>
      </c:catAx>
      <c:valAx>
        <c:axId val="35736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61533658"/>
        <c:crosses val="autoZero"/>
        <c:crossBetween val="between"/>
      </c:valAx>
      <c:catAx>
        <c:axId val="25353862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5372693"/>
        <c:crosses val="autoZero"/>
        <c:auto val="1"/>
        <c:lblAlgn val="ctr"/>
        <c:lblOffset val="100"/>
        <c:noMultiLvlLbl val="0"/>
      </c:catAx>
      <c:valAx>
        <c:axId val="245372693"/>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3538624"/>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a79db02-d012-4632-91f8-0602babfcde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[市场调研报告(Air Fryer).xlsx]⑤市场大盘分析!数据透视表28</c:name>
    <c:fmtId val="0"/>
  </c:pivotSource>
  <c:chart>
    <c:autoTitleDeleted val="1"/>
    <c:plotArea>
      <c:layout/>
      <c:barChart>
        <c:barDir val="col"/>
        <c:grouping val="clustered"/>
        <c:varyColors val="0"/>
        <c:ser>
          <c:idx val="1"/>
          <c:order val="1"/>
          <c:tx>
            <c:strRef>
              <c:f>⑤市场大盘分析!$D$435</c:f>
              <c:strCache>
                <c:ptCount val="1"/>
                <c:pt idx="0">
                  <c:v>求和项:近30天销售额($)</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⑤市场大盘分析!$B$436:$B$455</c:f>
              <c:strCache>
                <c:ptCount val="19"/>
                <c:pt idx="0">
                  <c:v>80~90usd</c:v>
                </c:pt>
                <c:pt idx="1">
                  <c:v>100~110usd</c:v>
                </c:pt>
                <c:pt idx="2">
                  <c:v>90~100usd</c:v>
                </c:pt>
                <c:pt idx="3">
                  <c:v>40~50usd</c:v>
                </c:pt>
                <c:pt idx="4">
                  <c:v>≥200usd以上</c:v>
                </c:pt>
                <c:pt idx="5">
                  <c:v>60~70usd</c:v>
                </c:pt>
                <c:pt idx="6">
                  <c:v>180~190usd</c:v>
                </c:pt>
                <c:pt idx="7">
                  <c:v>140~150usd</c:v>
                </c:pt>
                <c:pt idx="8">
                  <c:v>30~40usd</c:v>
                </c:pt>
                <c:pt idx="9">
                  <c:v>110~120usd</c:v>
                </c:pt>
                <c:pt idx="10">
                  <c:v>150~160usd</c:v>
                </c:pt>
                <c:pt idx="11">
                  <c:v>50~60usd</c:v>
                </c:pt>
                <c:pt idx="12">
                  <c:v>190~200usd</c:v>
                </c:pt>
                <c:pt idx="13">
                  <c:v>70~80usd</c:v>
                </c:pt>
                <c:pt idx="14">
                  <c:v>160~170usd</c:v>
                </c:pt>
                <c:pt idx="15">
                  <c:v>0~10usd</c:v>
                </c:pt>
                <c:pt idx="16">
                  <c:v>170~180usd</c:v>
                </c:pt>
                <c:pt idx="17">
                  <c:v>120~130usd</c:v>
                </c:pt>
                <c:pt idx="18">
                  <c:v>130~140usd</c:v>
                </c:pt>
              </c:strCache>
            </c:strRef>
          </c:cat>
          <c:val>
            <c:numRef>
              <c:f>⑤市场大盘分析!$D$436:$D$455</c:f>
              <c:numCache>
                <c:formatCode>General</c:formatCode>
                <c:ptCount val="19"/>
                <c:pt idx="0">
                  <c:v>5650633.572</c:v>
                </c:pt>
                <c:pt idx="1">
                  <c:v>5244223.682</c:v>
                </c:pt>
                <c:pt idx="2">
                  <c:v>2536849.225</c:v>
                </c:pt>
                <c:pt idx="3">
                  <c:v>1094253.623</c:v>
                </c:pt>
                <c:pt idx="4">
                  <c:v>4931042.56</c:v>
                </c:pt>
                <c:pt idx="5">
                  <c:v>1415899.706</c:v>
                </c:pt>
                <c:pt idx="6">
                  <c:v>2760257.51</c:v>
                </c:pt>
                <c:pt idx="7">
                  <c:v>1910386.67</c:v>
                </c:pt>
                <c:pt idx="8">
                  <c:v>451119.21</c:v>
                </c:pt>
                <c:pt idx="9">
                  <c:v>1296486.805</c:v>
                </c:pt>
                <c:pt idx="10">
                  <c:v>1638632.6</c:v>
                </c:pt>
                <c:pt idx="11">
                  <c:v>596203.979</c:v>
                </c:pt>
                <c:pt idx="12">
                  <c:v>1460474.16</c:v>
                </c:pt>
                <c:pt idx="13">
                  <c:v>523813.385</c:v>
                </c:pt>
                <c:pt idx="14">
                  <c:v>597582.11</c:v>
                </c:pt>
                <c:pt idx="15">
                  <c:v>22478.96</c:v>
                </c:pt>
                <c:pt idx="16">
                  <c:v>577089.728</c:v>
                </c:pt>
                <c:pt idx="17">
                  <c:v>318510.93</c:v>
                </c:pt>
                <c:pt idx="18">
                  <c:v>162318.27</c:v>
                </c:pt>
              </c:numCache>
            </c:numRef>
          </c:val>
        </c:ser>
        <c:dLbls>
          <c:showLegendKey val="0"/>
          <c:showVal val="1"/>
          <c:showCatName val="0"/>
          <c:showSerName val="0"/>
          <c:showPercent val="0"/>
          <c:showBubbleSize val="0"/>
        </c:dLbls>
        <c:gapWidth val="219"/>
        <c:overlap val="-27"/>
        <c:axId val="690712660"/>
        <c:axId val="515417441"/>
      </c:barChart>
      <c:lineChart>
        <c:grouping val="standard"/>
        <c:varyColors val="0"/>
        <c:ser>
          <c:idx val="2"/>
          <c:order val="2"/>
          <c:tx>
            <c:strRef>
              <c:f>⑤市场大盘分析!$E$435</c:f>
              <c:strCache>
                <c:ptCount val="1"/>
                <c:pt idx="0">
                  <c:v>求和项:计数</c:v>
                </c:pt>
              </c:strCache>
            </c:strRef>
          </c:tx>
          <c:spPr>
            <a:ln w="28575" cap="rnd">
              <a:solidFill>
                <a:schemeClr val="accent3"/>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⑤市场大盘分析!$B$436:$B$455</c:f>
              <c:strCache>
                <c:ptCount val="19"/>
                <c:pt idx="0">
                  <c:v>80~90usd</c:v>
                </c:pt>
                <c:pt idx="1">
                  <c:v>100~110usd</c:v>
                </c:pt>
                <c:pt idx="2">
                  <c:v>90~100usd</c:v>
                </c:pt>
                <c:pt idx="3">
                  <c:v>40~50usd</c:v>
                </c:pt>
                <c:pt idx="4">
                  <c:v>≥200usd以上</c:v>
                </c:pt>
                <c:pt idx="5">
                  <c:v>60~70usd</c:v>
                </c:pt>
                <c:pt idx="6">
                  <c:v>180~190usd</c:v>
                </c:pt>
                <c:pt idx="7">
                  <c:v>140~150usd</c:v>
                </c:pt>
                <c:pt idx="8">
                  <c:v>30~40usd</c:v>
                </c:pt>
                <c:pt idx="9">
                  <c:v>110~120usd</c:v>
                </c:pt>
                <c:pt idx="10">
                  <c:v>150~160usd</c:v>
                </c:pt>
                <c:pt idx="11">
                  <c:v>50~60usd</c:v>
                </c:pt>
                <c:pt idx="12">
                  <c:v>190~200usd</c:v>
                </c:pt>
                <c:pt idx="13">
                  <c:v>70~80usd</c:v>
                </c:pt>
                <c:pt idx="14">
                  <c:v>160~170usd</c:v>
                </c:pt>
                <c:pt idx="15">
                  <c:v>0~10usd</c:v>
                </c:pt>
                <c:pt idx="16">
                  <c:v>170~180usd</c:v>
                </c:pt>
                <c:pt idx="17">
                  <c:v>120~130usd</c:v>
                </c:pt>
                <c:pt idx="18">
                  <c:v>130~140usd</c:v>
                </c:pt>
              </c:strCache>
            </c:strRef>
          </c:cat>
          <c:val>
            <c:numRef>
              <c:f>⑤市场大盘分析!$E$436:$E$455</c:f>
              <c:numCache>
                <c:formatCode>General</c:formatCode>
                <c:ptCount val="19"/>
                <c:pt idx="0">
                  <c:v>9</c:v>
                </c:pt>
                <c:pt idx="1">
                  <c:v>9</c:v>
                </c:pt>
                <c:pt idx="2">
                  <c:v>7</c:v>
                </c:pt>
                <c:pt idx="3">
                  <c:v>6</c:v>
                </c:pt>
                <c:pt idx="4">
                  <c:v>7</c:v>
                </c:pt>
                <c:pt idx="5">
                  <c:v>10</c:v>
                </c:pt>
                <c:pt idx="6">
                  <c:v>5</c:v>
                </c:pt>
                <c:pt idx="7">
                  <c:v>6</c:v>
                </c:pt>
                <c:pt idx="8">
                  <c:v>5</c:v>
                </c:pt>
                <c:pt idx="9">
                  <c:v>8</c:v>
                </c:pt>
                <c:pt idx="10">
                  <c:v>3</c:v>
                </c:pt>
                <c:pt idx="11">
                  <c:v>4</c:v>
                </c:pt>
                <c:pt idx="12">
                  <c:v>2</c:v>
                </c:pt>
                <c:pt idx="13">
                  <c:v>7</c:v>
                </c:pt>
                <c:pt idx="14">
                  <c:v>3</c:v>
                </c:pt>
                <c:pt idx="15">
                  <c:v>1</c:v>
                </c:pt>
                <c:pt idx="16">
                  <c:v>3</c:v>
                </c:pt>
                <c:pt idx="17">
                  <c:v>3</c:v>
                </c:pt>
                <c:pt idx="18">
                  <c:v>2</c:v>
                </c:pt>
              </c:numCache>
            </c:numRef>
          </c:val>
          <c:smooth val="0"/>
        </c:ser>
        <c:dLbls>
          <c:showLegendKey val="0"/>
          <c:showVal val="1"/>
          <c:showCatName val="0"/>
          <c:showSerName val="0"/>
          <c:showPercent val="0"/>
          <c:showBubbleSize val="0"/>
        </c:dLbls>
        <c:marker val="0"/>
        <c:smooth val="0"/>
        <c:axId val="690712660"/>
        <c:axId val="515417441"/>
      </c:lineChart>
      <c:lineChart>
        <c:grouping val="standard"/>
        <c:varyColors val="0"/>
        <c:ser>
          <c:idx val="0"/>
          <c:order val="0"/>
          <c:tx>
            <c:strRef>
              <c:f>⑤市场大盘分析!$C$435</c:f>
              <c:strCache>
                <c:ptCount val="1"/>
                <c:pt idx="0">
                  <c:v>求和项:近30天销量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⑤市场大盘分析!$B$436:$B$455</c:f>
              <c:strCache>
                <c:ptCount val="19"/>
                <c:pt idx="0">
                  <c:v>80~90usd</c:v>
                </c:pt>
                <c:pt idx="1">
                  <c:v>100~110usd</c:v>
                </c:pt>
                <c:pt idx="2">
                  <c:v>90~100usd</c:v>
                </c:pt>
                <c:pt idx="3">
                  <c:v>40~50usd</c:v>
                </c:pt>
                <c:pt idx="4">
                  <c:v>≥200usd以上</c:v>
                </c:pt>
                <c:pt idx="5">
                  <c:v>60~70usd</c:v>
                </c:pt>
                <c:pt idx="6">
                  <c:v>180~190usd</c:v>
                </c:pt>
                <c:pt idx="7">
                  <c:v>140~150usd</c:v>
                </c:pt>
                <c:pt idx="8">
                  <c:v>30~40usd</c:v>
                </c:pt>
                <c:pt idx="9">
                  <c:v>110~120usd</c:v>
                </c:pt>
                <c:pt idx="10">
                  <c:v>150~160usd</c:v>
                </c:pt>
                <c:pt idx="11">
                  <c:v>50~60usd</c:v>
                </c:pt>
                <c:pt idx="12">
                  <c:v>190~200usd</c:v>
                </c:pt>
                <c:pt idx="13">
                  <c:v>70~80usd</c:v>
                </c:pt>
                <c:pt idx="14">
                  <c:v>160~170usd</c:v>
                </c:pt>
                <c:pt idx="15">
                  <c:v>0~10usd</c:v>
                </c:pt>
                <c:pt idx="16">
                  <c:v>170~180usd</c:v>
                </c:pt>
                <c:pt idx="17">
                  <c:v>120~130usd</c:v>
                </c:pt>
                <c:pt idx="18">
                  <c:v>130~140usd</c:v>
                </c:pt>
              </c:strCache>
            </c:strRef>
          </c:cat>
          <c:val>
            <c:numRef>
              <c:f>⑤市场大盘分析!$C$436:$C$455</c:f>
              <c:numCache>
                <c:formatCode>General</c:formatCode>
                <c:ptCount val="19"/>
                <c:pt idx="0">
                  <c:v>62949</c:v>
                </c:pt>
                <c:pt idx="1">
                  <c:v>47906</c:v>
                </c:pt>
                <c:pt idx="2">
                  <c:v>30081</c:v>
                </c:pt>
                <c:pt idx="3">
                  <c:v>22156</c:v>
                </c:pt>
                <c:pt idx="4">
                  <c:v>21766</c:v>
                </c:pt>
                <c:pt idx="5">
                  <c:v>20334</c:v>
                </c:pt>
                <c:pt idx="6">
                  <c:v>13945</c:v>
                </c:pt>
                <c:pt idx="7">
                  <c:v>13332</c:v>
                </c:pt>
                <c:pt idx="8">
                  <c:v>11434</c:v>
                </c:pt>
                <c:pt idx="9">
                  <c:v>11125</c:v>
                </c:pt>
                <c:pt idx="10">
                  <c:v>10248</c:v>
                </c:pt>
                <c:pt idx="11">
                  <c:v>10072</c:v>
                </c:pt>
                <c:pt idx="12">
                  <c:v>7304</c:v>
                </c:pt>
                <c:pt idx="13">
                  <c:v>6845</c:v>
                </c:pt>
                <c:pt idx="14">
                  <c:v>3891</c:v>
                </c:pt>
                <c:pt idx="15">
                  <c:v>3836</c:v>
                </c:pt>
                <c:pt idx="16">
                  <c:v>3212</c:v>
                </c:pt>
                <c:pt idx="17">
                  <c:v>2527</c:v>
                </c:pt>
                <c:pt idx="18">
                  <c:v>1174</c:v>
                </c:pt>
              </c:numCache>
            </c:numRef>
          </c:val>
          <c:smooth val="0"/>
        </c:ser>
        <c:dLbls>
          <c:showLegendKey val="0"/>
          <c:showVal val="1"/>
          <c:showCatName val="0"/>
          <c:showSerName val="0"/>
          <c:showPercent val="0"/>
          <c:showBubbleSize val="0"/>
        </c:dLbls>
        <c:marker val="0"/>
        <c:smooth val="0"/>
        <c:axId val="113731037"/>
        <c:axId val="220636074"/>
      </c:lineChart>
      <c:catAx>
        <c:axId val="6907126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5417441"/>
        <c:crosses val="autoZero"/>
        <c:auto val="1"/>
        <c:lblAlgn val="ctr"/>
        <c:lblOffset val="100"/>
        <c:noMultiLvlLbl val="0"/>
      </c:catAx>
      <c:valAx>
        <c:axId val="51541744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90712660"/>
        <c:crosses val="autoZero"/>
        <c:crossBetween val="between"/>
      </c:valAx>
      <c:catAx>
        <c:axId val="113731037"/>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636074"/>
        <c:crosses val="autoZero"/>
        <c:auto val="1"/>
        <c:lblAlgn val="ctr"/>
        <c:lblOffset val="100"/>
        <c:noMultiLvlLbl val="0"/>
      </c:catAx>
      <c:valAx>
        <c:axId val="220636074"/>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3731037"/>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6219668-7674-41d8-a122-ffc835843eb9}"/>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9" Type="http://schemas.openxmlformats.org/officeDocument/2006/relationships/image" Target="../media/image100.jpeg"/><Relationship Id="rId98" Type="http://schemas.openxmlformats.org/officeDocument/2006/relationships/image" Target="../media/image99.jpeg"/><Relationship Id="rId97" Type="http://schemas.openxmlformats.org/officeDocument/2006/relationships/image" Target="../media/image98.jpeg"/><Relationship Id="rId96" Type="http://schemas.openxmlformats.org/officeDocument/2006/relationships/image" Target="../media/image97.jpeg"/><Relationship Id="rId95" Type="http://schemas.openxmlformats.org/officeDocument/2006/relationships/image" Target="../media/image96.jpeg"/><Relationship Id="rId94" Type="http://schemas.openxmlformats.org/officeDocument/2006/relationships/image" Target="../media/image95.jpeg"/><Relationship Id="rId93" Type="http://schemas.openxmlformats.org/officeDocument/2006/relationships/image" Target="../media/image94.jpeg"/><Relationship Id="rId92" Type="http://schemas.openxmlformats.org/officeDocument/2006/relationships/image" Target="../media/image93.jpeg"/><Relationship Id="rId91" Type="http://schemas.openxmlformats.org/officeDocument/2006/relationships/image" Target="../media/image92.jpeg"/><Relationship Id="rId90" Type="http://schemas.openxmlformats.org/officeDocument/2006/relationships/image" Target="../media/image91.jpeg"/><Relationship Id="rId9" Type="http://schemas.openxmlformats.org/officeDocument/2006/relationships/image" Target="../media/image10.jpeg"/><Relationship Id="rId89" Type="http://schemas.openxmlformats.org/officeDocument/2006/relationships/image" Target="../media/image90.jpeg"/><Relationship Id="rId88" Type="http://schemas.openxmlformats.org/officeDocument/2006/relationships/image" Target="../media/image89.jpeg"/><Relationship Id="rId87" Type="http://schemas.openxmlformats.org/officeDocument/2006/relationships/image" Target="../media/image88.jpeg"/><Relationship Id="rId86" Type="http://schemas.openxmlformats.org/officeDocument/2006/relationships/image" Target="../media/image87.jpeg"/><Relationship Id="rId85" Type="http://schemas.openxmlformats.org/officeDocument/2006/relationships/image" Target="../media/image86.jpeg"/><Relationship Id="rId84" Type="http://schemas.openxmlformats.org/officeDocument/2006/relationships/image" Target="../media/image85.jpeg"/><Relationship Id="rId83" Type="http://schemas.openxmlformats.org/officeDocument/2006/relationships/image" Target="../media/image84.jpeg"/><Relationship Id="rId82" Type="http://schemas.openxmlformats.org/officeDocument/2006/relationships/image" Target="../media/image83.jpeg"/><Relationship Id="rId81" Type="http://schemas.openxmlformats.org/officeDocument/2006/relationships/image" Target="../media/image82.jpeg"/><Relationship Id="rId80" Type="http://schemas.openxmlformats.org/officeDocument/2006/relationships/image" Target="../media/image81.jpeg"/><Relationship Id="rId8" Type="http://schemas.openxmlformats.org/officeDocument/2006/relationships/image" Target="../media/image9.jpeg"/><Relationship Id="rId79" Type="http://schemas.openxmlformats.org/officeDocument/2006/relationships/image" Target="../media/image80.jpeg"/><Relationship Id="rId78" Type="http://schemas.openxmlformats.org/officeDocument/2006/relationships/image" Target="../media/image79.jpeg"/><Relationship Id="rId77" Type="http://schemas.openxmlformats.org/officeDocument/2006/relationships/image" Target="../media/image78.jpeg"/><Relationship Id="rId76" Type="http://schemas.openxmlformats.org/officeDocument/2006/relationships/image" Target="../media/image77.jpeg"/><Relationship Id="rId75" Type="http://schemas.openxmlformats.org/officeDocument/2006/relationships/image" Target="../media/image76.jpeg"/><Relationship Id="rId74" Type="http://schemas.openxmlformats.org/officeDocument/2006/relationships/image" Target="../media/image75.jpeg"/><Relationship Id="rId73" Type="http://schemas.openxmlformats.org/officeDocument/2006/relationships/image" Target="../media/image74.jpeg"/><Relationship Id="rId72" Type="http://schemas.openxmlformats.org/officeDocument/2006/relationships/image" Target="../media/image73.jpeg"/><Relationship Id="rId71" Type="http://schemas.openxmlformats.org/officeDocument/2006/relationships/image" Target="../media/image72.jpeg"/><Relationship Id="rId70" Type="http://schemas.openxmlformats.org/officeDocument/2006/relationships/image" Target="../media/image71.jpeg"/><Relationship Id="rId7" Type="http://schemas.openxmlformats.org/officeDocument/2006/relationships/image" Target="../media/image8.jpeg"/><Relationship Id="rId69" Type="http://schemas.openxmlformats.org/officeDocument/2006/relationships/image" Target="../media/image70.jpeg"/><Relationship Id="rId68" Type="http://schemas.openxmlformats.org/officeDocument/2006/relationships/image" Target="../media/image69.jpeg"/><Relationship Id="rId67" Type="http://schemas.openxmlformats.org/officeDocument/2006/relationships/image" Target="../media/image68.jpeg"/><Relationship Id="rId66" Type="http://schemas.openxmlformats.org/officeDocument/2006/relationships/image" Target="../media/image67.jpeg"/><Relationship Id="rId65" Type="http://schemas.openxmlformats.org/officeDocument/2006/relationships/image" Target="../media/image66.jpeg"/><Relationship Id="rId64" Type="http://schemas.openxmlformats.org/officeDocument/2006/relationships/image" Target="../media/image65.jpeg"/><Relationship Id="rId63" Type="http://schemas.openxmlformats.org/officeDocument/2006/relationships/image" Target="../media/image64.jpeg"/><Relationship Id="rId62" Type="http://schemas.openxmlformats.org/officeDocument/2006/relationships/image" Target="../media/image63.jpeg"/><Relationship Id="rId61" Type="http://schemas.openxmlformats.org/officeDocument/2006/relationships/image" Target="../media/image62.jpeg"/><Relationship Id="rId60" Type="http://schemas.openxmlformats.org/officeDocument/2006/relationships/image" Target="../media/image61.jpeg"/><Relationship Id="rId6" Type="http://schemas.openxmlformats.org/officeDocument/2006/relationships/image" Target="../media/image7.jpeg"/><Relationship Id="rId59" Type="http://schemas.openxmlformats.org/officeDocument/2006/relationships/image" Target="../media/image60.jpeg"/><Relationship Id="rId58" Type="http://schemas.openxmlformats.org/officeDocument/2006/relationships/image" Target="../media/image59.jpeg"/><Relationship Id="rId57" Type="http://schemas.openxmlformats.org/officeDocument/2006/relationships/image" Target="../media/image58.jpeg"/><Relationship Id="rId56" Type="http://schemas.openxmlformats.org/officeDocument/2006/relationships/image" Target="../media/image57.jpeg"/><Relationship Id="rId55" Type="http://schemas.openxmlformats.org/officeDocument/2006/relationships/image" Target="../media/image56.jpeg"/><Relationship Id="rId54" Type="http://schemas.openxmlformats.org/officeDocument/2006/relationships/image" Target="../media/image55.jpeg"/><Relationship Id="rId53" Type="http://schemas.openxmlformats.org/officeDocument/2006/relationships/image" Target="../media/image54.jpeg"/><Relationship Id="rId52" Type="http://schemas.openxmlformats.org/officeDocument/2006/relationships/image" Target="../media/image53.jpeg"/><Relationship Id="rId51" Type="http://schemas.openxmlformats.org/officeDocument/2006/relationships/image" Target="../media/image52.jpeg"/><Relationship Id="rId50" Type="http://schemas.openxmlformats.org/officeDocument/2006/relationships/image" Target="../media/image51.jpeg"/><Relationship Id="rId5" Type="http://schemas.openxmlformats.org/officeDocument/2006/relationships/image" Target="../media/image6.jpeg"/><Relationship Id="rId49" Type="http://schemas.openxmlformats.org/officeDocument/2006/relationships/image" Target="../media/image50.jpeg"/><Relationship Id="rId48" Type="http://schemas.openxmlformats.org/officeDocument/2006/relationships/image" Target="../media/image49.jpeg"/><Relationship Id="rId47" Type="http://schemas.openxmlformats.org/officeDocument/2006/relationships/image" Target="../media/image48.jpeg"/><Relationship Id="rId46" Type="http://schemas.openxmlformats.org/officeDocument/2006/relationships/image" Target="../media/image47.jpeg"/><Relationship Id="rId45" Type="http://schemas.openxmlformats.org/officeDocument/2006/relationships/image" Target="../media/image46.jpeg"/><Relationship Id="rId44" Type="http://schemas.openxmlformats.org/officeDocument/2006/relationships/image" Target="../media/image45.jpeg"/><Relationship Id="rId43" Type="http://schemas.openxmlformats.org/officeDocument/2006/relationships/image" Target="../media/image44.jpeg"/><Relationship Id="rId42" Type="http://schemas.openxmlformats.org/officeDocument/2006/relationships/image" Target="../media/image43.jpeg"/><Relationship Id="rId41" Type="http://schemas.openxmlformats.org/officeDocument/2006/relationships/image" Target="../media/image42.jpeg"/><Relationship Id="rId40" Type="http://schemas.openxmlformats.org/officeDocument/2006/relationships/image" Target="../media/image41.jpeg"/><Relationship Id="rId4" Type="http://schemas.openxmlformats.org/officeDocument/2006/relationships/image" Target="../media/image5.jpeg"/><Relationship Id="rId395" Type="http://schemas.openxmlformats.org/officeDocument/2006/relationships/image" Target="../media/image396.jpeg"/><Relationship Id="rId394" Type="http://schemas.openxmlformats.org/officeDocument/2006/relationships/image" Target="../media/image395.jpeg"/><Relationship Id="rId393" Type="http://schemas.openxmlformats.org/officeDocument/2006/relationships/image" Target="../media/image394.jpeg"/><Relationship Id="rId392" Type="http://schemas.openxmlformats.org/officeDocument/2006/relationships/image" Target="../media/image393.jpeg"/><Relationship Id="rId391" Type="http://schemas.openxmlformats.org/officeDocument/2006/relationships/image" Target="../media/image392.jpeg"/><Relationship Id="rId390" Type="http://schemas.openxmlformats.org/officeDocument/2006/relationships/image" Target="../media/image391.jpeg"/><Relationship Id="rId39" Type="http://schemas.openxmlformats.org/officeDocument/2006/relationships/image" Target="../media/image40.jpeg"/><Relationship Id="rId389" Type="http://schemas.openxmlformats.org/officeDocument/2006/relationships/image" Target="../media/image390.jpeg"/><Relationship Id="rId388" Type="http://schemas.openxmlformats.org/officeDocument/2006/relationships/image" Target="../media/image389.jpeg"/><Relationship Id="rId387" Type="http://schemas.openxmlformats.org/officeDocument/2006/relationships/image" Target="../media/image388.jpeg"/><Relationship Id="rId386" Type="http://schemas.openxmlformats.org/officeDocument/2006/relationships/image" Target="../media/image387.jpeg"/><Relationship Id="rId385" Type="http://schemas.openxmlformats.org/officeDocument/2006/relationships/image" Target="../media/image386.jpeg"/><Relationship Id="rId384" Type="http://schemas.openxmlformats.org/officeDocument/2006/relationships/image" Target="../media/image385.jpeg"/><Relationship Id="rId383" Type="http://schemas.openxmlformats.org/officeDocument/2006/relationships/image" Target="../media/image384.jpeg"/><Relationship Id="rId382" Type="http://schemas.openxmlformats.org/officeDocument/2006/relationships/image" Target="../media/image383.jpeg"/><Relationship Id="rId381" Type="http://schemas.openxmlformats.org/officeDocument/2006/relationships/image" Target="../media/image382.jpeg"/><Relationship Id="rId380" Type="http://schemas.openxmlformats.org/officeDocument/2006/relationships/image" Target="../media/image381.jpeg"/><Relationship Id="rId38" Type="http://schemas.openxmlformats.org/officeDocument/2006/relationships/image" Target="../media/image39.jpeg"/><Relationship Id="rId379" Type="http://schemas.openxmlformats.org/officeDocument/2006/relationships/image" Target="../media/image380.jpeg"/><Relationship Id="rId378" Type="http://schemas.openxmlformats.org/officeDocument/2006/relationships/image" Target="../media/image379.jpeg"/><Relationship Id="rId377" Type="http://schemas.openxmlformats.org/officeDocument/2006/relationships/image" Target="../media/image378.jpeg"/><Relationship Id="rId376" Type="http://schemas.openxmlformats.org/officeDocument/2006/relationships/image" Target="../media/image377.jpeg"/><Relationship Id="rId375" Type="http://schemas.openxmlformats.org/officeDocument/2006/relationships/image" Target="../media/image376.jpeg"/><Relationship Id="rId374" Type="http://schemas.openxmlformats.org/officeDocument/2006/relationships/image" Target="../media/image375.jpeg"/><Relationship Id="rId373" Type="http://schemas.openxmlformats.org/officeDocument/2006/relationships/image" Target="../media/image374.jpeg"/><Relationship Id="rId372" Type="http://schemas.openxmlformats.org/officeDocument/2006/relationships/image" Target="../media/image373.jpeg"/><Relationship Id="rId371" Type="http://schemas.openxmlformats.org/officeDocument/2006/relationships/image" Target="../media/image372.jpeg"/><Relationship Id="rId370" Type="http://schemas.openxmlformats.org/officeDocument/2006/relationships/image" Target="../media/image371.jpeg"/><Relationship Id="rId37" Type="http://schemas.openxmlformats.org/officeDocument/2006/relationships/image" Target="../media/image38.jpeg"/><Relationship Id="rId369" Type="http://schemas.openxmlformats.org/officeDocument/2006/relationships/image" Target="../media/image370.jpeg"/><Relationship Id="rId368" Type="http://schemas.openxmlformats.org/officeDocument/2006/relationships/image" Target="../media/image369.jpeg"/><Relationship Id="rId367" Type="http://schemas.openxmlformats.org/officeDocument/2006/relationships/image" Target="../media/image368.jpeg"/><Relationship Id="rId366" Type="http://schemas.openxmlformats.org/officeDocument/2006/relationships/image" Target="../media/image367.jpeg"/><Relationship Id="rId365" Type="http://schemas.openxmlformats.org/officeDocument/2006/relationships/image" Target="../media/image366.jpeg"/><Relationship Id="rId364" Type="http://schemas.openxmlformats.org/officeDocument/2006/relationships/image" Target="../media/image365.jpeg"/><Relationship Id="rId363" Type="http://schemas.openxmlformats.org/officeDocument/2006/relationships/image" Target="../media/image364.jpeg"/><Relationship Id="rId362" Type="http://schemas.openxmlformats.org/officeDocument/2006/relationships/image" Target="../media/image363.jpeg"/><Relationship Id="rId361" Type="http://schemas.openxmlformats.org/officeDocument/2006/relationships/image" Target="../media/image362.jpeg"/><Relationship Id="rId360" Type="http://schemas.openxmlformats.org/officeDocument/2006/relationships/image" Target="../media/image361.jpeg"/><Relationship Id="rId36" Type="http://schemas.openxmlformats.org/officeDocument/2006/relationships/image" Target="../media/image37.jpeg"/><Relationship Id="rId359" Type="http://schemas.openxmlformats.org/officeDocument/2006/relationships/image" Target="../media/image360.jpeg"/><Relationship Id="rId358" Type="http://schemas.openxmlformats.org/officeDocument/2006/relationships/image" Target="../media/image359.jpeg"/><Relationship Id="rId357" Type="http://schemas.openxmlformats.org/officeDocument/2006/relationships/image" Target="../media/image358.jpeg"/><Relationship Id="rId356" Type="http://schemas.openxmlformats.org/officeDocument/2006/relationships/image" Target="../media/image357.jpeg"/><Relationship Id="rId355" Type="http://schemas.openxmlformats.org/officeDocument/2006/relationships/image" Target="../media/image356.jpeg"/><Relationship Id="rId354" Type="http://schemas.openxmlformats.org/officeDocument/2006/relationships/image" Target="../media/image355.jpeg"/><Relationship Id="rId353" Type="http://schemas.openxmlformats.org/officeDocument/2006/relationships/image" Target="../media/image354.jpeg"/><Relationship Id="rId352" Type="http://schemas.openxmlformats.org/officeDocument/2006/relationships/image" Target="../media/image353.jpeg"/><Relationship Id="rId351" Type="http://schemas.openxmlformats.org/officeDocument/2006/relationships/image" Target="../media/image352.jpeg"/><Relationship Id="rId350" Type="http://schemas.openxmlformats.org/officeDocument/2006/relationships/image" Target="../media/image351.jpeg"/><Relationship Id="rId35" Type="http://schemas.openxmlformats.org/officeDocument/2006/relationships/image" Target="../media/image36.jpeg"/><Relationship Id="rId349" Type="http://schemas.openxmlformats.org/officeDocument/2006/relationships/image" Target="../media/image350.jpeg"/><Relationship Id="rId348" Type="http://schemas.openxmlformats.org/officeDocument/2006/relationships/image" Target="../media/image349.jpeg"/><Relationship Id="rId347" Type="http://schemas.openxmlformats.org/officeDocument/2006/relationships/image" Target="../media/image348.jpeg"/><Relationship Id="rId346" Type="http://schemas.openxmlformats.org/officeDocument/2006/relationships/image" Target="../media/image347.jpeg"/><Relationship Id="rId345" Type="http://schemas.openxmlformats.org/officeDocument/2006/relationships/image" Target="../media/image346.jpeg"/><Relationship Id="rId344" Type="http://schemas.openxmlformats.org/officeDocument/2006/relationships/image" Target="../media/image345.jpeg"/><Relationship Id="rId343" Type="http://schemas.openxmlformats.org/officeDocument/2006/relationships/image" Target="../media/image344.jpeg"/><Relationship Id="rId342" Type="http://schemas.openxmlformats.org/officeDocument/2006/relationships/image" Target="../media/image343.jpeg"/><Relationship Id="rId341" Type="http://schemas.openxmlformats.org/officeDocument/2006/relationships/image" Target="../media/image342.jpeg"/><Relationship Id="rId340" Type="http://schemas.openxmlformats.org/officeDocument/2006/relationships/image" Target="../media/image341.jpeg"/><Relationship Id="rId34" Type="http://schemas.openxmlformats.org/officeDocument/2006/relationships/image" Target="../media/image35.jpeg"/><Relationship Id="rId339" Type="http://schemas.openxmlformats.org/officeDocument/2006/relationships/image" Target="../media/image340.jpeg"/><Relationship Id="rId338" Type="http://schemas.openxmlformats.org/officeDocument/2006/relationships/image" Target="../media/image339.jpeg"/><Relationship Id="rId337" Type="http://schemas.openxmlformats.org/officeDocument/2006/relationships/image" Target="../media/image338.jpeg"/><Relationship Id="rId336" Type="http://schemas.openxmlformats.org/officeDocument/2006/relationships/image" Target="../media/image337.jpeg"/><Relationship Id="rId335" Type="http://schemas.openxmlformats.org/officeDocument/2006/relationships/image" Target="../media/image336.jpeg"/><Relationship Id="rId334" Type="http://schemas.openxmlformats.org/officeDocument/2006/relationships/image" Target="../media/image335.jpeg"/><Relationship Id="rId333" Type="http://schemas.openxmlformats.org/officeDocument/2006/relationships/image" Target="../media/image334.jpeg"/><Relationship Id="rId332" Type="http://schemas.openxmlformats.org/officeDocument/2006/relationships/image" Target="../media/image333.jpeg"/><Relationship Id="rId331" Type="http://schemas.openxmlformats.org/officeDocument/2006/relationships/image" Target="../media/image332.jpeg"/><Relationship Id="rId330" Type="http://schemas.openxmlformats.org/officeDocument/2006/relationships/image" Target="../media/image331.jpeg"/><Relationship Id="rId33" Type="http://schemas.openxmlformats.org/officeDocument/2006/relationships/image" Target="../media/image34.jpeg"/><Relationship Id="rId329" Type="http://schemas.openxmlformats.org/officeDocument/2006/relationships/image" Target="../media/image330.jpeg"/><Relationship Id="rId328" Type="http://schemas.openxmlformats.org/officeDocument/2006/relationships/image" Target="../media/image329.jpeg"/><Relationship Id="rId327" Type="http://schemas.openxmlformats.org/officeDocument/2006/relationships/image" Target="../media/image328.jpeg"/><Relationship Id="rId326" Type="http://schemas.openxmlformats.org/officeDocument/2006/relationships/image" Target="../media/image327.jpeg"/><Relationship Id="rId325" Type="http://schemas.openxmlformats.org/officeDocument/2006/relationships/image" Target="../media/image326.jpeg"/><Relationship Id="rId324" Type="http://schemas.openxmlformats.org/officeDocument/2006/relationships/image" Target="../media/image325.jpeg"/><Relationship Id="rId323" Type="http://schemas.openxmlformats.org/officeDocument/2006/relationships/image" Target="../media/image324.jpeg"/><Relationship Id="rId322" Type="http://schemas.openxmlformats.org/officeDocument/2006/relationships/image" Target="../media/image323.jpeg"/><Relationship Id="rId321" Type="http://schemas.openxmlformats.org/officeDocument/2006/relationships/image" Target="../media/image322.jpeg"/><Relationship Id="rId320" Type="http://schemas.openxmlformats.org/officeDocument/2006/relationships/image" Target="../media/image321.jpeg"/><Relationship Id="rId32" Type="http://schemas.openxmlformats.org/officeDocument/2006/relationships/image" Target="../media/image33.jpeg"/><Relationship Id="rId319" Type="http://schemas.openxmlformats.org/officeDocument/2006/relationships/image" Target="../media/image320.jpeg"/><Relationship Id="rId318" Type="http://schemas.openxmlformats.org/officeDocument/2006/relationships/image" Target="../media/image319.jpeg"/><Relationship Id="rId317" Type="http://schemas.openxmlformats.org/officeDocument/2006/relationships/image" Target="../media/image318.jpeg"/><Relationship Id="rId316" Type="http://schemas.openxmlformats.org/officeDocument/2006/relationships/image" Target="../media/image317.jpeg"/><Relationship Id="rId315" Type="http://schemas.openxmlformats.org/officeDocument/2006/relationships/image" Target="../media/image316.jpeg"/><Relationship Id="rId314" Type="http://schemas.openxmlformats.org/officeDocument/2006/relationships/image" Target="../media/image315.jpeg"/><Relationship Id="rId313" Type="http://schemas.openxmlformats.org/officeDocument/2006/relationships/image" Target="../media/image314.jpeg"/><Relationship Id="rId312" Type="http://schemas.openxmlformats.org/officeDocument/2006/relationships/image" Target="../media/image313.jpeg"/><Relationship Id="rId311" Type="http://schemas.openxmlformats.org/officeDocument/2006/relationships/image" Target="../media/image312.jpeg"/><Relationship Id="rId310" Type="http://schemas.openxmlformats.org/officeDocument/2006/relationships/image" Target="../media/image311.jpeg"/><Relationship Id="rId31" Type="http://schemas.openxmlformats.org/officeDocument/2006/relationships/image" Target="../media/image32.jpeg"/><Relationship Id="rId309" Type="http://schemas.openxmlformats.org/officeDocument/2006/relationships/image" Target="../media/image310.jpeg"/><Relationship Id="rId308" Type="http://schemas.openxmlformats.org/officeDocument/2006/relationships/image" Target="../media/image309.jpeg"/><Relationship Id="rId307" Type="http://schemas.openxmlformats.org/officeDocument/2006/relationships/image" Target="../media/image308.jpeg"/><Relationship Id="rId306" Type="http://schemas.openxmlformats.org/officeDocument/2006/relationships/image" Target="../media/image307.jpeg"/><Relationship Id="rId305" Type="http://schemas.openxmlformats.org/officeDocument/2006/relationships/image" Target="../media/image306.jpeg"/><Relationship Id="rId304" Type="http://schemas.openxmlformats.org/officeDocument/2006/relationships/image" Target="../media/image305.jpeg"/><Relationship Id="rId303" Type="http://schemas.openxmlformats.org/officeDocument/2006/relationships/image" Target="../media/image304.jpeg"/><Relationship Id="rId302" Type="http://schemas.openxmlformats.org/officeDocument/2006/relationships/image" Target="../media/image303.jpeg"/><Relationship Id="rId301" Type="http://schemas.openxmlformats.org/officeDocument/2006/relationships/image" Target="../media/image302.jpeg"/><Relationship Id="rId300" Type="http://schemas.openxmlformats.org/officeDocument/2006/relationships/image" Target="../media/image301.jpeg"/><Relationship Id="rId30" Type="http://schemas.openxmlformats.org/officeDocument/2006/relationships/image" Target="../media/image31.jpeg"/><Relationship Id="rId3" Type="http://schemas.openxmlformats.org/officeDocument/2006/relationships/image" Target="../media/image4.jpeg"/><Relationship Id="rId299" Type="http://schemas.openxmlformats.org/officeDocument/2006/relationships/image" Target="../media/image300.jpeg"/><Relationship Id="rId298" Type="http://schemas.openxmlformats.org/officeDocument/2006/relationships/image" Target="../media/image299.jpeg"/><Relationship Id="rId297" Type="http://schemas.openxmlformats.org/officeDocument/2006/relationships/image" Target="../media/image298.jpeg"/><Relationship Id="rId296" Type="http://schemas.openxmlformats.org/officeDocument/2006/relationships/image" Target="../media/image297.jpeg"/><Relationship Id="rId295" Type="http://schemas.openxmlformats.org/officeDocument/2006/relationships/image" Target="../media/image296.jpeg"/><Relationship Id="rId294" Type="http://schemas.openxmlformats.org/officeDocument/2006/relationships/image" Target="../media/image295.jpeg"/><Relationship Id="rId293" Type="http://schemas.openxmlformats.org/officeDocument/2006/relationships/image" Target="../media/image294.jpeg"/><Relationship Id="rId292" Type="http://schemas.openxmlformats.org/officeDocument/2006/relationships/image" Target="../media/image293.jpeg"/><Relationship Id="rId291" Type="http://schemas.openxmlformats.org/officeDocument/2006/relationships/image" Target="../media/image292.jpeg"/><Relationship Id="rId290" Type="http://schemas.openxmlformats.org/officeDocument/2006/relationships/image" Target="../media/image291.jpeg"/><Relationship Id="rId29" Type="http://schemas.openxmlformats.org/officeDocument/2006/relationships/image" Target="../media/image30.jpeg"/><Relationship Id="rId289" Type="http://schemas.openxmlformats.org/officeDocument/2006/relationships/image" Target="../media/image290.jpeg"/><Relationship Id="rId288" Type="http://schemas.openxmlformats.org/officeDocument/2006/relationships/image" Target="../media/image289.jpeg"/><Relationship Id="rId287" Type="http://schemas.openxmlformats.org/officeDocument/2006/relationships/image" Target="../media/image288.jpeg"/><Relationship Id="rId286" Type="http://schemas.openxmlformats.org/officeDocument/2006/relationships/image" Target="../media/image287.jpeg"/><Relationship Id="rId285" Type="http://schemas.openxmlformats.org/officeDocument/2006/relationships/image" Target="../media/image286.jpeg"/><Relationship Id="rId284" Type="http://schemas.openxmlformats.org/officeDocument/2006/relationships/image" Target="../media/image285.jpeg"/><Relationship Id="rId283" Type="http://schemas.openxmlformats.org/officeDocument/2006/relationships/image" Target="../media/image284.jpeg"/><Relationship Id="rId282" Type="http://schemas.openxmlformats.org/officeDocument/2006/relationships/image" Target="../media/image283.jpeg"/><Relationship Id="rId281" Type="http://schemas.openxmlformats.org/officeDocument/2006/relationships/image" Target="../media/image282.jpeg"/><Relationship Id="rId280" Type="http://schemas.openxmlformats.org/officeDocument/2006/relationships/image" Target="../media/image281.jpeg"/><Relationship Id="rId28" Type="http://schemas.openxmlformats.org/officeDocument/2006/relationships/image" Target="../media/image29.jpeg"/><Relationship Id="rId279" Type="http://schemas.openxmlformats.org/officeDocument/2006/relationships/image" Target="../media/image280.jpeg"/><Relationship Id="rId278" Type="http://schemas.openxmlformats.org/officeDocument/2006/relationships/image" Target="../media/image279.jpeg"/><Relationship Id="rId277" Type="http://schemas.openxmlformats.org/officeDocument/2006/relationships/image" Target="../media/image278.jpeg"/><Relationship Id="rId276" Type="http://schemas.openxmlformats.org/officeDocument/2006/relationships/image" Target="../media/image277.jpeg"/><Relationship Id="rId275" Type="http://schemas.openxmlformats.org/officeDocument/2006/relationships/image" Target="../media/image276.jpeg"/><Relationship Id="rId274" Type="http://schemas.openxmlformats.org/officeDocument/2006/relationships/image" Target="../media/image275.jpeg"/><Relationship Id="rId273" Type="http://schemas.openxmlformats.org/officeDocument/2006/relationships/image" Target="../media/image274.jpeg"/><Relationship Id="rId272" Type="http://schemas.openxmlformats.org/officeDocument/2006/relationships/image" Target="../media/image273.jpeg"/><Relationship Id="rId271" Type="http://schemas.openxmlformats.org/officeDocument/2006/relationships/image" Target="../media/image272.jpeg"/><Relationship Id="rId270" Type="http://schemas.openxmlformats.org/officeDocument/2006/relationships/image" Target="../media/image271.jpeg"/><Relationship Id="rId27" Type="http://schemas.openxmlformats.org/officeDocument/2006/relationships/image" Target="../media/image28.jpeg"/><Relationship Id="rId269" Type="http://schemas.openxmlformats.org/officeDocument/2006/relationships/image" Target="../media/image270.jpeg"/><Relationship Id="rId268" Type="http://schemas.openxmlformats.org/officeDocument/2006/relationships/image" Target="../media/image269.jpeg"/><Relationship Id="rId267" Type="http://schemas.openxmlformats.org/officeDocument/2006/relationships/image" Target="../media/image268.jpeg"/><Relationship Id="rId266" Type="http://schemas.openxmlformats.org/officeDocument/2006/relationships/image" Target="../media/image267.jpeg"/><Relationship Id="rId265" Type="http://schemas.openxmlformats.org/officeDocument/2006/relationships/image" Target="../media/image266.jpeg"/><Relationship Id="rId264" Type="http://schemas.openxmlformats.org/officeDocument/2006/relationships/image" Target="../media/image265.jpeg"/><Relationship Id="rId263" Type="http://schemas.openxmlformats.org/officeDocument/2006/relationships/image" Target="../media/image264.jpeg"/><Relationship Id="rId262" Type="http://schemas.openxmlformats.org/officeDocument/2006/relationships/image" Target="../media/image263.jpeg"/><Relationship Id="rId261" Type="http://schemas.openxmlformats.org/officeDocument/2006/relationships/image" Target="../media/image262.jpeg"/><Relationship Id="rId260" Type="http://schemas.openxmlformats.org/officeDocument/2006/relationships/image" Target="../media/image261.jpeg"/><Relationship Id="rId26" Type="http://schemas.openxmlformats.org/officeDocument/2006/relationships/image" Target="../media/image27.jpeg"/><Relationship Id="rId259" Type="http://schemas.openxmlformats.org/officeDocument/2006/relationships/image" Target="../media/image260.jpeg"/><Relationship Id="rId258" Type="http://schemas.openxmlformats.org/officeDocument/2006/relationships/image" Target="../media/image259.jpeg"/><Relationship Id="rId257" Type="http://schemas.openxmlformats.org/officeDocument/2006/relationships/image" Target="../media/image258.jpeg"/><Relationship Id="rId256" Type="http://schemas.openxmlformats.org/officeDocument/2006/relationships/image" Target="../media/image257.jpeg"/><Relationship Id="rId255" Type="http://schemas.openxmlformats.org/officeDocument/2006/relationships/image" Target="../media/image256.jpeg"/><Relationship Id="rId254" Type="http://schemas.openxmlformats.org/officeDocument/2006/relationships/image" Target="../media/image255.jpeg"/><Relationship Id="rId253" Type="http://schemas.openxmlformats.org/officeDocument/2006/relationships/image" Target="../media/image254.jpeg"/><Relationship Id="rId252" Type="http://schemas.openxmlformats.org/officeDocument/2006/relationships/image" Target="../media/image253.jpeg"/><Relationship Id="rId251" Type="http://schemas.openxmlformats.org/officeDocument/2006/relationships/image" Target="../media/image252.jpeg"/><Relationship Id="rId250" Type="http://schemas.openxmlformats.org/officeDocument/2006/relationships/image" Target="../media/image251.jpeg"/><Relationship Id="rId25" Type="http://schemas.openxmlformats.org/officeDocument/2006/relationships/image" Target="../media/image26.jpeg"/><Relationship Id="rId249" Type="http://schemas.openxmlformats.org/officeDocument/2006/relationships/image" Target="../media/image250.jpeg"/><Relationship Id="rId248" Type="http://schemas.openxmlformats.org/officeDocument/2006/relationships/image" Target="../media/image249.jpeg"/><Relationship Id="rId247" Type="http://schemas.openxmlformats.org/officeDocument/2006/relationships/image" Target="../media/image248.jpeg"/><Relationship Id="rId246" Type="http://schemas.openxmlformats.org/officeDocument/2006/relationships/image" Target="../media/image247.jpeg"/><Relationship Id="rId245" Type="http://schemas.openxmlformats.org/officeDocument/2006/relationships/image" Target="../media/image246.jpeg"/><Relationship Id="rId244" Type="http://schemas.openxmlformats.org/officeDocument/2006/relationships/image" Target="../media/image245.jpeg"/><Relationship Id="rId243" Type="http://schemas.openxmlformats.org/officeDocument/2006/relationships/image" Target="../media/image244.jpeg"/><Relationship Id="rId242" Type="http://schemas.openxmlformats.org/officeDocument/2006/relationships/image" Target="../media/image243.jpeg"/><Relationship Id="rId241" Type="http://schemas.openxmlformats.org/officeDocument/2006/relationships/image" Target="../media/image242.jpeg"/><Relationship Id="rId240" Type="http://schemas.openxmlformats.org/officeDocument/2006/relationships/image" Target="../media/image241.jpeg"/><Relationship Id="rId24" Type="http://schemas.openxmlformats.org/officeDocument/2006/relationships/image" Target="../media/image25.jpeg"/><Relationship Id="rId239" Type="http://schemas.openxmlformats.org/officeDocument/2006/relationships/image" Target="../media/image240.jpeg"/><Relationship Id="rId238" Type="http://schemas.openxmlformats.org/officeDocument/2006/relationships/image" Target="../media/image239.jpeg"/><Relationship Id="rId237" Type="http://schemas.openxmlformats.org/officeDocument/2006/relationships/image" Target="../media/image238.jpeg"/><Relationship Id="rId236" Type="http://schemas.openxmlformats.org/officeDocument/2006/relationships/image" Target="../media/image237.jpeg"/><Relationship Id="rId235" Type="http://schemas.openxmlformats.org/officeDocument/2006/relationships/image" Target="../media/image236.jpeg"/><Relationship Id="rId234" Type="http://schemas.openxmlformats.org/officeDocument/2006/relationships/image" Target="../media/image235.jpeg"/><Relationship Id="rId233" Type="http://schemas.openxmlformats.org/officeDocument/2006/relationships/image" Target="../media/image234.jpeg"/><Relationship Id="rId232" Type="http://schemas.openxmlformats.org/officeDocument/2006/relationships/image" Target="../media/image233.jpeg"/><Relationship Id="rId231" Type="http://schemas.openxmlformats.org/officeDocument/2006/relationships/image" Target="../media/image232.jpeg"/><Relationship Id="rId230" Type="http://schemas.openxmlformats.org/officeDocument/2006/relationships/image" Target="../media/image231.jpeg"/><Relationship Id="rId23" Type="http://schemas.openxmlformats.org/officeDocument/2006/relationships/image" Target="../media/image24.jpeg"/><Relationship Id="rId229" Type="http://schemas.openxmlformats.org/officeDocument/2006/relationships/image" Target="../media/image230.jpeg"/><Relationship Id="rId228" Type="http://schemas.openxmlformats.org/officeDocument/2006/relationships/image" Target="../media/image229.jpeg"/><Relationship Id="rId227" Type="http://schemas.openxmlformats.org/officeDocument/2006/relationships/image" Target="../media/image228.jpeg"/><Relationship Id="rId226" Type="http://schemas.openxmlformats.org/officeDocument/2006/relationships/image" Target="../media/image227.jpeg"/><Relationship Id="rId225" Type="http://schemas.openxmlformats.org/officeDocument/2006/relationships/image" Target="../media/image226.jpeg"/><Relationship Id="rId224" Type="http://schemas.openxmlformats.org/officeDocument/2006/relationships/image" Target="../media/image225.jpeg"/><Relationship Id="rId223" Type="http://schemas.openxmlformats.org/officeDocument/2006/relationships/image" Target="../media/image224.jpeg"/><Relationship Id="rId222" Type="http://schemas.openxmlformats.org/officeDocument/2006/relationships/image" Target="../media/image223.jpeg"/><Relationship Id="rId221" Type="http://schemas.openxmlformats.org/officeDocument/2006/relationships/image" Target="../media/image222.jpeg"/><Relationship Id="rId220" Type="http://schemas.openxmlformats.org/officeDocument/2006/relationships/image" Target="../media/image221.jpeg"/><Relationship Id="rId22" Type="http://schemas.openxmlformats.org/officeDocument/2006/relationships/image" Target="../media/image23.jpeg"/><Relationship Id="rId219" Type="http://schemas.openxmlformats.org/officeDocument/2006/relationships/image" Target="../media/image220.jpeg"/><Relationship Id="rId218" Type="http://schemas.openxmlformats.org/officeDocument/2006/relationships/image" Target="../media/image219.jpeg"/><Relationship Id="rId217" Type="http://schemas.openxmlformats.org/officeDocument/2006/relationships/image" Target="../media/image218.jpeg"/><Relationship Id="rId216" Type="http://schemas.openxmlformats.org/officeDocument/2006/relationships/image" Target="../media/image217.jpeg"/><Relationship Id="rId215" Type="http://schemas.openxmlformats.org/officeDocument/2006/relationships/image" Target="../media/image216.jpeg"/><Relationship Id="rId214" Type="http://schemas.openxmlformats.org/officeDocument/2006/relationships/image" Target="../media/image215.jpeg"/><Relationship Id="rId213" Type="http://schemas.openxmlformats.org/officeDocument/2006/relationships/image" Target="../media/image214.jpeg"/><Relationship Id="rId212" Type="http://schemas.openxmlformats.org/officeDocument/2006/relationships/image" Target="../media/image213.jpeg"/><Relationship Id="rId211" Type="http://schemas.openxmlformats.org/officeDocument/2006/relationships/image" Target="../media/image212.jpeg"/><Relationship Id="rId210" Type="http://schemas.openxmlformats.org/officeDocument/2006/relationships/image" Target="../media/image211.jpeg"/><Relationship Id="rId21" Type="http://schemas.openxmlformats.org/officeDocument/2006/relationships/image" Target="../media/image22.jpeg"/><Relationship Id="rId209" Type="http://schemas.openxmlformats.org/officeDocument/2006/relationships/image" Target="../media/image210.jpeg"/><Relationship Id="rId208" Type="http://schemas.openxmlformats.org/officeDocument/2006/relationships/image" Target="../media/image209.jpeg"/><Relationship Id="rId207" Type="http://schemas.openxmlformats.org/officeDocument/2006/relationships/image" Target="../media/image208.jpeg"/><Relationship Id="rId206" Type="http://schemas.openxmlformats.org/officeDocument/2006/relationships/image" Target="../media/image207.jpeg"/><Relationship Id="rId205" Type="http://schemas.openxmlformats.org/officeDocument/2006/relationships/image" Target="../media/image206.jpeg"/><Relationship Id="rId204" Type="http://schemas.openxmlformats.org/officeDocument/2006/relationships/image" Target="../media/image205.jpeg"/><Relationship Id="rId203" Type="http://schemas.openxmlformats.org/officeDocument/2006/relationships/image" Target="../media/image204.jpeg"/><Relationship Id="rId202" Type="http://schemas.openxmlformats.org/officeDocument/2006/relationships/image" Target="../media/image203.jpeg"/><Relationship Id="rId201" Type="http://schemas.openxmlformats.org/officeDocument/2006/relationships/image" Target="../media/image202.jpeg"/><Relationship Id="rId200" Type="http://schemas.openxmlformats.org/officeDocument/2006/relationships/image" Target="../media/image201.jpeg"/><Relationship Id="rId20" Type="http://schemas.openxmlformats.org/officeDocument/2006/relationships/image" Target="../media/image21.jpeg"/><Relationship Id="rId2" Type="http://schemas.openxmlformats.org/officeDocument/2006/relationships/image" Target="../media/image3.jpeg"/><Relationship Id="rId199" Type="http://schemas.openxmlformats.org/officeDocument/2006/relationships/image" Target="../media/image200.jpeg"/><Relationship Id="rId198" Type="http://schemas.openxmlformats.org/officeDocument/2006/relationships/image" Target="../media/image199.jpeg"/><Relationship Id="rId197" Type="http://schemas.openxmlformats.org/officeDocument/2006/relationships/image" Target="../media/image198.jpeg"/><Relationship Id="rId196" Type="http://schemas.openxmlformats.org/officeDocument/2006/relationships/image" Target="../media/image197.jpeg"/><Relationship Id="rId195" Type="http://schemas.openxmlformats.org/officeDocument/2006/relationships/image" Target="../media/image196.jpeg"/><Relationship Id="rId194" Type="http://schemas.openxmlformats.org/officeDocument/2006/relationships/image" Target="../media/image195.jpeg"/><Relationship Id="rId193" Type="http://schemas.openxmlformats.org/officeDocument/2006/relationships/image" Target="../media/image194.jpeg"/><Relationship Id="rId192" Type="http://schemas.openxmlformats.org/officeDocument/2006/relationships/image" Target="../media/image193.jpeg"/><Relationship Id="rId191" Type="http://schemas.openxmlformats.org/officeDocument/2006/relationships/image" Target="../media/image192.jpeg"/><Relationship Id="rId190" Type="http://schemas.openxmlformats.org/officeDocument/2006/relationships/image" Target="../media/image191.jpeg"/><Relationship Id="rId19" Type="http://schemas.openxmlformats.org/officeDocument/2006/relationships/image" Target="../media/image20.jpeg"/><Relationship Id="rId189" Type="http://schemas.openxmlformats.org/officeDocument/2006/relationships/image" Target="../media/image190.jpeg"/><Relationship Id="rId188" Type="http://schemas.openxmlformats.org/officeDocument/2006/relationships/image" Target="../media/image189.jpeg"/><Relationship Id="rId187" Type="http://schemas.openxmlformats.org/officeDocument/2006/relationships/image" Target="../media/image188.jpeg"/><Relationship Id="rId186" Type="http://schemas.openxmlformats.org/officeDocument/2006/relationships/image" Target="../media/image187.jpeg"/><Relationship Id="rId185" Type="http://schemas.openxmlformats.org/officeDocument/2006/relationships/image" Target="../media/image186.jpeg"/><Relationship Id="rId184" Type="http://schemas.openxmlformats.org/officeDocument/2006/relationships/image" Target="../media/image185.jpeg"/><Relationship Id="rId183" Type="http://schemas.openxmlformats.org/officeDocument/2006/relationships/image" Target="../media/image184.jpeg"/><Relationship Id="rId182" Type="http://schemas.openxmlformats.org/officeDocument/2006/relationships/image" Target="../media/image183.jpeg"/><Relationship Id="rId181" Type="http://schemas.openxmlformats.org/officeDocument/2006/relationships/image" Target="../media/image182.jpeg"/><Relationship Id="rId180" Type="http://schemas.openxmlformats.org/officeDocument/2006/relationships/image" Target="../media/image181.jpeg"/><Relationship Id="rId18" Type="http://schemas.openxmlformats.org/officeDocument/2006/relationships/image" Target="../media/image19.jpeg"/><Relationship Id="rId179" Type="http://schemas.openxmlformats.org/officeDocument/2006/relationships/image" Target="../media/image180.jpeg"/><Relationship Id="rId178" Type="http://schemas.openxmlformats.org/officeDocument/2006/relationships/image" Target="../media/image179.jpeg"/><Relationship Id="rId177" Type="http://schemas.openxmlformats.org/officeDocument/2006/relationships/image" Target="../media/image178.jpeg"/><Relationship Id="rId176" Type="http://schemas.openxmlformats.org/officeDocument/2006/relationships/image" Target="../media/image177.jpeg"/><Relationship Id="rId175" Type="http://schemas.openxmlformats.org/officeDocument/2006/relationships/image" Target="../media/image176.jpeg"/><Relationship Id="rId174" Type="http://schemas.openxmlformats.org/officeDocument/2006/relationships/image" Target="../media/image175.jpeg"/><Relationship Id="rId173" Type="http://schemas.openxmlformats.org/officeDocument/2006/relationships/image" Target="../media/image174.jpeg"/><Relationship Id="rId172" Type="http://schemas.openxmlformats.org/officeDocument/2006/relationships/image" Target="../media/image173.jpeg"/><Relationship Id="rId171" Type="http://schemas.openxmlformats.org/officeDocument/2006/relationships/image" Target="../media/image172.jpeg"/><Relationship Id="rId170" Type="http://schemas.openxmlformats.org/officeDocument/2006/relationships/image" Target="../media/image171.jpeg"/><Relationship Id="rId17" Type="http://schemas.openxmlformats.org/officeDocument/2006/relationships/image" Target="../media/image18.jpeg"/><Relationship Id="rId169" Type="http://schemas.openxmlformats.org/officeDocument/2006/relationships/image" Target="../media/image170.jpeg"/><Relationship Id="rId168" Type="http://schemas.openxmlformats.org/officeDocument/2006/relationships/image" Target="../media/image169.jpeg"/><Relationship Id="rId167" Type="http://schemas.openxmlformats.org/officeDocument/2006/relationships/image" Target="../media/image168.jpeg"/><Relationship Id="rId166" Type="http://schemas.openxmlformats.org/officeDocument/2006/relationships/image" Target="../media/image167.jpeg"/><Relationship Id="rId165" Type="http://schemas.openxmlformats.org/officeDocument/2006/relationships/image" Target="../media/image166.jpeg"/><Relationship Id="rId164" Type="http://schemas.openxmlformats.org/officeDocument/2006/relationships/image" Target="../media/image165.jpeg"/><Relationship Id="rId163" Type="http://schemas.openxmlformats.org/officeDocument/2006/relationships/image" Target="../media/image164.jpeg"/><Relationship Id="rId162" Type="http://schemas.openxmlformats.org/officeDocument/2006/relationships/image" Target="../media/image163.jpeg"/><Relationship Id="rId161" Type="http://schemas.openxmlformats.org/officeDocument/2006/relationships/image" Target="../media/image162.jpeg"/><Relationship Id="rId160" Type="http://schemas.openxmlformats.org/officeDocument/2006/relationships/image" Target="../media/image161.jpeg"/><Relationship Id="rId16" Type="http://schemas.openxmlformats.org/officeDocument/2006/relationships/image" Target="../media/image17.jpeg"/><Relationship Id="rId159" Type="http://schemas.openxmlformats.org/officeDocument/2006/relationships/image" Target="../media/image160.jpeg"/><Relationship Id="rId158" Type="http://schemas.openxmlformats.org/officeDocument/2006/relationships/image" Target="../media/image159.jpeg"/><Relationship Id="rId157" Type="http://schemas.openxmlformats.org/officeDocument/2006/relationships/image" Target="../media/image158.jpeg"/><Relationship Id="rId156" Type="http://schemas.openxmlformats.org/officeDocument/2006/relationships/image" Target="../media/image157.jpeg"/><Relationship Id="rId155" Type="http://schemas.openxmlformats.org/officeDocument/2006/relationships/image" Target="../media/image156.jpeg"/><Relationship Id="rId154" Type="http://schemas.openxmlformats.org/officeDocument/2006/relationships/image" Target="../media/image155.jpeg"/><Relationship Id="rId153" Type="http://schemas.openxmlformats.org/officeDocument/2006/relationships/image" Target="../media/image154.jpeg"/><Relationship Id="rId152" Type="http://schemas.openxmlformats.org/officeDocument/2006/relationships/image" Target="../media/image153.jpeg"/><Relationship Id="rId151" Type="http://schemas.openxmlformats.org/officeDocument/2006/relationships/image" Target="../media/image152.jpeg"/><Relationship Id="rId150" Type="http://schemas.openxmlformats.org/officeDocument/2006/relationships/image" Target="../media/image151.jpeg"/><Relationship Id="rId15" Type="http://schemas.openxmlformats.org/officeDocument/2006/relationships/image" Target="../media/image16.jpeg"/><Relationship Id="rId149" Type="http://schemas.openxmlformats.org/officeDocument/2006/relationships/image" Target="../media/image150.jpeg"/><Relationship Id="rId148" Type="http://schemas.openxmlformats.org/officeDocument/2006/relationships/image" Target="../media/image149.jpeg"/><Relationship Id="rId147" Type="http://schemas.openxmlformats.org/officeDocument/2006/relationships/image" Target="../media/image148.jpeg"/><Relationship Id="rId146" Type="http://schemas.openxmlformats.org/officeDocument/2006/relationships/image" Target="../media/image147.jpeg"/><Relationship Id="rId145" Type="http://schemas.openxmlformats.org/officeDocument/2006/relationships/image" Target="../media/image146.jpeg"/><Relationship Id="rId144" Type="http://schemas.openxmlformats.org/officeDocument/2006/relationships/image" Target="../media/image145.jpeg"/><Relationship Id="rId143" Type="http://schemas.openxmlformats.org/officeDocument/2006/relationships/image" Target="../media/image144.jpeg"/><Relationship Id="rId142" Type="http://schemas.openxmlformats.org/officeDocument/2006/relationships/image" Target="../media/image143.jpeg"/><Relationship Id="rId141" Type="http://schemas.openxmlformats.org/officeDocument/2006/relationships/image" Target="../media/image142.jpeg"/><Relationship Id="rId140" Type="http://schemas.openxmlformats.org/officeDocument/2006/relationships/image" Target="../media/image141.jpeg"/><Relationship Id="rId14" Type="http://schemas.openxmlformats.org/officeDocument/2006/relationships/image" Target="../media/image15.jpeg"/><Relationship Id="rId139" Type="http://schemas.openxmlformats.org/officeDocument/2006/relationships/image" Target="../media/image140.jpeg"/><Relationship Id="rId138" Type="http://schemas.openxmlformats.org/officeDocument/2006/relationships/image" Target="../media/image139.jpeg"/><Relationship Id="rId137" Type="http://schemas.openxmlformats.org/officeDocument/2006/relationships/image" Target="../media/image138.jpeg"/><Relationship Id="rId136" Type="http://schemas.openxmlformats.org/officeDocument/2006/relationships/image" Target="../media/image137.jpeg"/><Relationship Id="rId135" Type="http://schemas.openxmlformats.org/officeDocument/2006/relationships/image" Target="../media/image136.jpeg"/><Relationship Id="rId134" Type="http://schemas.openxmlformats.org/officeDocument/2006/relationships/image" Target="../media/image135.jpeg"/><Relationship Id="rId133" Type="http://schemas.openxmlformats.org/officeDocument/2006/relationships/image" Target="../media/image134.jpeg"/><Relationship Id="rId132" Type="http://schemas.openxmlformats.org/officeDocument/2006/relationships/image" Target="../media/image133.jpeg"/><Relationship Id="rId131" Type="http://schemas.openxmlformats.org/officeDocument/2006/relationships/image" Target="../media/image132.jpeg"/><Relationship Id="rId130" Type="http://schemas.openxmlformats.org/officeDocument/2006/relationships/image" Target="../media/image131.jpeg"/><Relationship Id="rId13" Type="http://schemas.openxmlformats.org/officeDocument/2006/relationships/image" Target="../media/image14.jpeg"/><Relationship Id="rId129" Type="http://schemas.openxmlformats.org/officeDocument/2006/relationships/image" Target="../media/image130.jpeg"/><Relationship Id="rId128" Type="http://schemas.openxmlformats.org/officeDocument/2006/relationships/image" Target="../media/image129.jpeg"/><Relationship Id="rId127" Type="http://schemas.openxmlformats.org/officeDocument/2006/relationships/image" Target="../media/image128.jpeg"/><Relationship Id="rId126" Type="http://schemas.openxmlformats.org/officeDocument/2006/relationships/image" Target="../media/image127.jpeg"/><Relationship Id="rId125" Type="http://schemas.openxmlformats.org/officeDocument/2006/relationships/image" Target="../media/image126.jpeg"/><Relationship Id="rId124" Type="http://schemas.openxmlformats.org/officeDocument/2006/relationships/image" Target="../media/image125.jpeg"/><Relationship Id="rId123" Type="http://schemas.openxmlformats.org/officeDocument/2006/relationships/image" Target="../media/image124.jpeg"/><Relationship Id="rId122" Type="http://schemas.openxmlformats.org/officeDocument/2006/relationships/image" Target="../media/image123.jpeg"/><Relationship Id="rId121" Type="http://schemas.openxmlformats.org/officeDocument/2006/relationships/image" Target="../media/image122.jpeg"/><Relationship Id="rId120" Type="http://schemas.openxmlformats.org/officeDocument/2006/relationships/image" Target="../media/image121.jpeg"/><Relationship Id="rId12" Type="http://schemas.openxmlformats.org/officeDocument/2006/relationships/image" Target="../media/image13.jpeg"/><Relationship Id="rId119" Type="http://schemas.openxmlformats.org/officeDocument/2006/relationships/image" Target="../media/image120.jpeg"/><Relationship Id="rId118" Type="http://schemas.openxmlformats.org/officeDocument/2006/relationships/image" Target="../media/image119.jpeg"/><Relationship Id="rId117" Type="http://schemas.openxmlformats.org/officeDocument/2006/relationships/image" Target="../media/image118.jpeg"/><Relationship Id="rId116" Type="http://schemas.openxmlformats.org/officeDocument/2006/relationships/image" Target="../media/image117.jpeg"/><Relationship Id="rId115" Type="http://schemas.openxmlformats.org/officeDocument/2006/relationships/image" Target="../media/image116.jpeg"/><Relationship Id="rId114" Type="http://schemas.openxmlformats.org/officeDocument/2006/relationships/image" Target="../media/image115.jpeg"/><Relationship Id="rId113" Type="http://schemas.openxmlformats.org/officeDocument/2006/relationships/image" Target="../media/image114.jpeg"/><Relationship Id="rId112" Type="http://schemas.openxmlformats.org/officeDocument/2006/relationships/image" Target="../media/image113.jpeg"/><Relationship Id="rId111" Type="http://schemas.openxmlformats.org/officeDocument/2006/relationships/image" Target="../media/image112.jpeg"/><Relationship Id="rId110" Type="http://schemas.openxmlformats.org/officeDocument/2006/relationships/image" Target="../media/image111.jpeg"/><Relationship Id="rId11" Type="http://schemas.openxmlformats.org/officeDocument/2006/relationships/image" Target="../media/image12.jpeg"/><Relationship Id="rId109" Type="http://schemas.openxmlformats.org/officeDocument/2006/relationships/image" Target="../media/image110.jpeg"/><Relationship Id="rId108" Type="http://schemas.openxmlformats.org/officeDocument/2006/relationships/image" Target="../media/image109.jpeg"/><Relationship Id="rId107" Type="http://schemas.openxmlformats.org/officeDocument/2006/relationships/image" Target="../media/image108.jpeg"/><Relationship Id="rId106" Type="http://schemas.openxmlformats.org/officeDocument/2006/relationships/image" Target="../media/image107.jpeg"/><Relationship Id="rId105" Type="http://schemas.openxmlformats.org/officeDocument/2006/relationships/image" Target="../media/image106.jpeg"/><Relationship Id="rId104" Type="http://schemas.openxmlformats.org/officeDocument/2006/relationships/image" Target="../media/image105.jpeg"/><Relationship Id="rId103" Type="http://schemas.openxmlformats.org/officeDocument/2006/relationships/image" Target="../media/image104.jpeg"/><Relationship Id="rId102" Type="http://schemas.openxmlformats.org/officeDocument/2006/relationships/image" Target="../media/image103.jpeg"/><Relationship Id="rId101" Type="http://schemas.openxmlformats.org/officeDocument/2006/relationships/image" Target="../media/image102.jpeg"/><Relationship Id="rId100" Type="http://schemas.openxmlformats.org/officeDocument/2006/relationships/image" Target="../media/image101.jpeg"/><Relationship Id="rId10" Type="http://schemas.openxmlformats.org/officeDocument/2006/relationships/image" Target="../media/image11.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5" Type="http://schemas.openxmlformats.org/officeDocument/2006/relationships/chart" Target="../charts/chart15.xml"/><Relationship Id="rId14" Type="http://schemas.openxmlformats.org/officeDocument/2006/relationships/chart" Target="../charts/chart14.xml"/><Relationship Id="rId13" Type="http://schemas.openxmlformats.org/officeDocument/2006/relationships/chart" Target="../charts/chart13.xml"/><Relationship Id="rId12" Type="http://schemas.openxmlformats.org/officeDocument/2006/relationships/chart" Target="../charts/chart12.xml"/><Relationship Id="rId11" Type="http://schemas.openxmlformats.org/officeDocument/2006/relationships/chart" Target="../charts/chart11.xml"/><Relationship Id="rId10" Type="http://schemas.openxmlformats.org/officeDocument/2006/relationships/chart" Target="../charts/chart10.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4" Type="http://schemas.openxmlformats.org/officeDocument/2006/relationships/image" Target="../media/image110.jpeg"/><Relationship Id="rId3" Type="http://schemas.openxmlformats.org/officeDocument/2006/relationships/image" Target="../media/image109.jpeg"/><Relationship Id="rId2" Type="http://schemas.openxmlformats.org/officeDocument/2006/relationships/image" Target="../media/image43.jpeg"/><Relationship Id="rId1" Type="http://schemas.openxmlformats.org/officeDocument/2006/relationships/image" Target="../media/image108.jpeg"/></Relationships>
</file>

<file path=xl/drawings/_rels/drawing5.xml.rels><?xml version="1.0" encoding="UTF-8" standalone="yes"?>
<Relationships xmlns="http://schemas.openxmlformats.org/package/2006/relationships"><Relationship Id="rId9" Type="http://schemas.openxmlformats.org/officeDocument/2006/relationships/image" Target="../media/image405.png"/><Relationship Id="rId8" Type="http://schemas.openxmlformats.org/officeDocument/2006/relationships/image" Target="../media/image404.png"/><Relationship Id="rId7" Type="http://schemas.openxmlformats.org/officeDocument/2006/relationships/image" Target="../media/image403.png"/><Relationship Id="rId6" Type="http://schemas.openxmlformats.org/officeDocument/2006/relationships/image" Target="../media/image402.png"/><Relationship Id="rId5" Type="http://schemas.openxmlformats.org/officeDocument/2006/relationships/image" Target="../media/image401.png"/><Relationship Id="rId4" Type="http://schemas.openxmlformats.org/officeDocument/2006/relationships/image" Target="../media/image400.png"/><Relationship Id="rId3" Type="http://schemas.openxmlformats.org/officeDocument/2006/relationships/image" Target="../media/image399.png"/><Relationship Id="rId2" Type="http://schemas.openxmlformats.org/officeDocument/2006/relationships/image" Target="../media/image398.png"/><Relationship Id="rId1" Type="http://schemas.openxmlformats.org/officeDocument/2006/relationships/image" Target="../media/image397.png"/></Relationships>
</file>

<file path=xl/drawings/_rels/drawing6.xml.rels><?xml version="1.0" encoding="UTF-8" standalone="yes"?>
<Relationships xmlns="http://schemas.openxmlformats.org/package/2006/relationships"><Relationship Id="rId2" Type="http://schemas.openxmlformats.org/officeDocument/2006/relationships/image" Target="../media/image407.jpeg"/><Relationship Id="rId1" Type="http://schemas.openxmlformats.org/officeDocument/2006/relationships/image" Target="../media/image406.png"/></Relationships>
</file>

<file path=xl/drawings/_rels/drawing7.xml.rels><?xml version="1.0" encoding="UTF-8" standalone="yes"?>
<Relationships xmlns="http://schemas.openxmlformats.org/package/2006/relationships"><Relationship Id="rId1" Type="http://schemas.openxmlformats.org/officeDocument/2006/relationships/image" Target="../media/image408.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9.png"/></Relationships>
</file>

<file path=xl/drawings/_rels/drawing9.xml.rels><?xml version="1.0" encoding="UTF-8" standalone="yes"?>
<Relationships xmlns="http://schemas.openxmlformats.org/package/2006/relationships"><Relationship Id="rId9" Type="http://schemas.openxmlformats.org/officeDocument/2006/relationships/image" Target="../media/image418.png"/><Relationship Id="rId8" Type="http://schemas.openxmlformats.org/officeDocument/2006/relationships/image" Target="../media/image417.png"/><Relationship Id="rId7" Type="http://schemas.openxmlformats.org/officeDocument/2006/relationships/image" Target="../media/image416.png"/><Relationship Id="rId6" Type="http://schemas.openxmlformats.org/officeDocument/2006/relationships/image" Target="../media/image415.png"/><Relationship Id="rId5" Type="http://schemas.openxmlformats.org/officeDocument/2006/relationships/image" Target="../media/image414.png"/><Relationship Id="rId4" Type="http://schemas.openxmlformats.org/officeDocument/2006/relationships/image" Target="../media/image413.png"/><Relationship Id="rId3" Type="http://schemas.openxmlformats.org/officeDocument/2006/relationships/image" Target="../media/image412.png"/><Relationship Id="rId2" Type="http://schemas.openxmlformats.org/officeDocument/2006/relationships/image" Target="../media/image411.png"/><Relationship Id="rId15" Type="http://schemas.openxmlformats.org/officeDocument/2006/relationships/image" Target="../media/image424.png"/><Relationship Id="rId14" Type="http://schemas.openxmlformats.org/officeDocument/2006/relationships/image" Target="../media/image423.png"/><Relationship Id="rId13" Type="http://schemas.openxmlformats.org/officeDocument/2006/relationships/image" Target="../media/image422.png"/><Relationship Id="rId12" Type="http://schemas.openxmlformats.org/officeDocument/2006/relationships/image" Target="../media/image421.png"/><Relationship Id="rId11" Type="http://schemas.openxmlformats.org/officeDocument/2006/relationships/image" Target="../media/image420.png"/><Relationship Id="rId10" Type="http://schemas.openxmlformats.org/officeDocument/2006/relationships/image" Target="../media/image419.png"/><Relationship Id="rId1" Type="http://schemas.openxmlformats.org/officeDocument/2006/relationships/image" Target="../media/image4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26</xdr:col>
      <xdr:colOff>142875</xdr:colOff>
      <xdr:row>47</xdr:row>
      <xdr:rowOff>28575</xdr:rowOff>
    </xdr:from>
    <xdr:to>
      <xdr:col>35</xdr:col>
      <xdr:colOff>163195</xdr:colOff>
      <xdr:row>59</xdr:row>
      <xdr:rowOff>88900</xdr:rowOff>
    </xdr:to>
    <xdr:pic>
      <xdr:nvPicPr>
        <xdr:cNvPr id="17" name="图片 16"/>
        <xdr:cNvPicPr>
          <a:picLocks noChangeAspect="1"/>
        </xdr:cNvPicPr>
      </xdr:nvPicPr>
      <xdr:blipFill>
        <a:blip r:embed="rId1"/>
        <a:stretch>
          <a:fillRect/>
        </a:stretch>
      </xdr:blipFill>
      <xdr:spPr>
        <a:xfrm>
          <a:off x="17784445" y="8410575"/>
          <a:ext cx="7316470" cy="21177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4" name="Picture 3"/>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3</xdr:row>
      <xdr:rowOff>45000</xdr:rowOff>
    </xdr:from>
    <xdr:to>
      <xdr:col>0</xdr:col>
      <xdr:colOff>428800</xdr:colOff>
      <xdr:row>3</xdr:row>
      <xdr:rowOff>270000</xdr:rowOff>
    </xdr:to>
    <xdr:pic>
      <xdr:nvPicPr>
        <xdr:cNvPr id="6" name="Picture 5"/>
        <xdr:cNvPicPr>
          <a:picLocks noChangeAspect="1"/>
        </xdr:cNvPicPr>
      </xdr:nvPicPr>
      <xdr:blipFill>
        <a:blip r:embed="rId3" cstate="print"/>
        <a:stretch>
          <a:fillRect/>
        </a:stretch>
      </xdr:blipFill>
      <xdr:spPr>
        <a:xfrm>
          <a:off x="191770" y="996950"/>
          <a:ext cx="236855" cy="225425"/>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7" name="Picture 6"/>
        <xdr:cNvPicPr>
          <a:picLocks noChangeAspect="1"/>
        </xdr:cNvPicPr>
      </xdr:nvPicPr>
      <xdr:blipFill>
        <a:blip r:embed="rId4" cstate="print"/>
        <a:stretch>
          <a:fillRect/>
        </a:stretch>
      </xdr:blipFill>
      <xdr:spPr>
        <a:xfrm>
          <a:off x="191770" y="13017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8" name="Picture 7"/>
        <xdr:cNvPicPr>
          <a:picLocks noChangeAspect="1"/>
        </xdr:cNvPicPr>
      </xdr:nvPicPr>
      <xdr:blipFill>
        <a:blip r:embed="rId5" cstate="print"/>
        <a:stretch>
          <a:fillRect/>
        </a:stretch>
      </xdr:blipFill>
      <xdr:spPr>
        <a:xfrm>
          <a:off x="191770" y="16065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9" name="Picture 8"/>
        <xdr:cNvPicPr>
          <a:picLocks noChangeAspect="1"/>
        </xdr:cNvPicPr>
      </xdr:nvPicPr>
      <xdr:blipFill>
        <a:blip r:embed="rId6" cstate="print"/>
        <a:stretch>
          <a:fillRect/>
        </a:stretch>
      </xdr:blipFill>
      <xdr:spPr>
        <a:xfrm>
          <a:off x="191770" y="19113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10" name="Picture 9"/>
        <xdr:cNvPicPr>
          <a:picLocks noChangeAspect="1"/>
        </xdr:cNvPicPr>
      </xdr:nvPicPr>
      <xdr:blipFill>
        <a:blip r:embed="rId7" cstate="print"/>
        <a:stretch>
          <a:fillRect/>
        </a:stretch>
      </xdr:blipFill>
      <xdr:spPr>
        <a:xfrm>
          <a:off x="191770" y="22161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1" name="Picture 10"/>
        <xdr:cNvPicPr>
          <a:picLocks noChangeAspect="1"/>
        </xdr:cNvPicPr>
      </xdr:nvPicPr>
      <xdr:blipFill>
        <a:blip r:embed="rId8" cstate="print"/>
        <a:stretch>
          <a:fillRect/>
        </a:stretch>
      </xdr:blipFill>
      <xdr:spPr>
        <a:xfrm>
          <a:off x="191770" y="2520950"/>
          <a:ext cx="236855" cy="225425"/>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12" name="Picture 11"/>
        <xdr:cNvPicPr>
          <a:picLocks noChangeAspect="1"/>
        </xdr:cNvPicPr>
      </xdr:nvPicPr>
      <xdr:blipFill>
        <a:blip r:embed="rId9" cstate="print"/>
        <a:stretch>
          <a:fillRect/>
        </a:stretch>
      </xdr:blipFill>
      <xdr:spPr>
        <a:xfrm>
          <a:off x="191770" y="2825750"/>
          <a:ext cx="236855" cy="225425"/>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13" name="Picture 12"/>
        <xdr:cNvPicPr>
          <a:picLocks noChangeAspect="1"/>
        </xdr:cNvPicPr>
      </xdr:nvPicPr>
      <xdr:blipFill>
        <a:blip r:embed="rId10" cstate="print"/>
        <a:stretch>
          <a:fillRect/>
        </a:stretch>
      </xdr:blipFill>
      <xdr:spPr>
        <a:xfrm>
          <a:off x="191770" y="31305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14" name="Picture 13"/>
        <xdr:cNvPicPr>
          <a:picLocks noChangeAspect="1"/>
        </xdr:cNvPicPr>
      </xdr:nvPicPr>
      <xdr:blipFill>
        <a:blip r:embed="rId11" cstate="print"/>
        <a:stretch>
          <a:fillRect/>
        </a:stretch>
      </xdr:blipFill>
      <xdr:spPr>
        <a:xfrm>
          <a:off x="191770" y="3435350"/>
          <a:ext cx="236855" cy="225425"/>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15" name="Picture 14"/>
        <xdr:cNvPicPr>
          <a:picLocks noChangeAspect="1"/>
        </xdr:cNvPicPr>
      </xdr:nvPicPr>
      <xdr:blipFill>
        <a:blip r:embed="rId12" cstate="print"/>
        <a:stretch>
          <a:fillRect/>
        </a:stretch>
      </xdr:blipFill>
      <xdr:spPr>
        <a:xfrm>
          <a:off x="191770" y="37401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6" name="Picture 15"/>
        <xdr:cNvPicPr>
          <a:picLocks noChangeAspect="1"/>
        </xdr:cNvPicPr>
      </xdr:nvPicPr>
      <xdr:blipFill>
        <a:blip r:embed="rId13" cstate="print"/>
        <a:stretch>
          <a:fillRect/>
        </a:stretch>
      </xdr:blipFill>
      <xdr:spPr>
        <a:xfrm>
          <a:off x="191770" y="40449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17" name="Picture 16"/>
        <xdr:cNvPicPr>
          <a:picLocks noChangeAspect="1"/>
        </xdr:cNvPicPr>
      </xdr:nvPicPr>
      <xdr:blipFill>
        <a:blip r:embed="rId14" cstate="print"/>
        <a:stretch>
          <a:fillRect/>
        </a:stretch>
      </xdr:blipFill>
      <xdr:spPr>
        <a:xfrm>
          <a:off x="191770" y="43497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18" name="Picture 17"/>
        <xdr:cNvPicPr>
          <a:picLocks noChangeAspect="1"/>
        </xdr:cNvPicPr>
      </xdr:nvPicPr>
      <xdr:blipFill>
        <a:blip r:embed="rId15" cstate="print"/>
        <a:stretch>
          <a:fillRect/>
        </a:stretch>
      </xdr:blipFill>
      <xdr:spPr>
        <a:xfrm>
          <a:off x="191770" y="46545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19" name="Picture 18"/>
        <xdr:cNvPicPr>
          <a:picLocks noChangeAspect="1"/>
        </xdr:cNvPicPr>
      </xdr:nvPicPr>
      <xdr:blipFill>
        <a:blip r:embed="rId16" cstate="print"/>
        <a:stretch>
          <a:fillRect/>
        </a:stretch>
      </xdr:blipFill>
      <xdr:spPr>
        <a:xfrm>
          <a:off x="191770" y="49593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20" name="Picture 19"/>
        <xdr:cNvPicPr>
          <a:picLocks noChangeAspect="1"/>
        </xdr:cNvPicPr>
      </xdr:nvPicPr>
      <xdr:blipFill>
        <a:blip r:embed="rId17" cstate="print"/>
        <a:stretch>
          <a:fillRect/>
        </a:stretch>
      </xdr:blipFill>
      <xdr:spPr>
        <a:xfrm>
          <a:off x="191770" y="52641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21" name="Picture 20"/>
        <xdr:cNvPicPr>
          <a:picLocks noChangeAspect="1"/>
        </xdr:cNvPicPr>
      </xdr:nvPicPr>
      <xdr:blipFill>
        <a:blip r:embed="rId18" cstate="print"/>
        <a:stretch>
          <a:fillRect/>
        </a:stretch>
      </xdr:blipFill>
      <xdr:spPr>
        <a:xfrm>
          <a:off x="191770" y="55689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22" name="Picture 21"/>
        <xdr:cNvPicPr>
          <a:picLocks noChangeAspect="1"/>
        </xdr:cNvPicPr>
      </xdr:nvPicPr>
      <xdr:blipFill>
        <a:blip r:embed="rId19" cstate="print"/>
        <a:stretch>
          <a:fillRect/>
        </a:stretch>
      </xdr:blipFill>
      <xdr:spPr>
        <a:xfrm>
          <a:off x="191770" y="5873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3" name="Picture 22"/>
        <xdr:cNvPicPr>
          <a:picLocks noChangeAspect="1"/>
        </xdr:cNvPicPr>
      </xdr:nvPicPr>
      <xdr:blipFill>
        <a:blip r:embed="rId20" cstate="print"/>
        <a:stretch>
          <a:fillRect/>
        </a:stretch>
      </xdr:blipFill>
      <xdr:spPr>
        <a:xfrm>
          <a:off x="191770" y="61785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24" name="Picture 23"/>
        <xdr:cNvPicPr>
          <a:picLocks noChangeAspect="1"/>
        </xdr:cNvPicPr>
      </xdr:nvPicPr>
      <xdr:blipFill>
        <a:blip r:embed="rId21" cstate="print"/>
        <a:stretch>
          <a:fillRect/>
        </a:stretch>
      </xdr:blipFill>
      <xdr:spPr>
        <a:xfrm>
          <a:off x="191770" y="64833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25" name="Picture 24"/>
        <xdr:cNvPicPr>
          <a:picLocks noChangeAspect="1"/>
        </xdr:cNvPicPr>
      </xdr:nvPicPr>
      <xdr:blipFill>
        <a:blip r:embed="rId22" cstate="print"/>
        <a:stretch>
          <a:fillRect/>
        </a:stretch>
      </xdr:blipFill>
      <xdr:spPr>
        <a:xfrm>
          <a:off x="191770" y="67881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26" name="Picture 25"/>
        <xdr:cNvPicPr>
          <a:picLocks noChangeAspect="1"/>
        </xdr:cNvPicPr>
      </xdr:nvPicPr>
      <xdr:blipFill>
        <a:blip r:embed="rId23" cstate="print"/>
        <a:stretch>
          <a:fillRect/>
        </a:stretch>
      </xdr:blipFill>
      <xdr:spPr>
        <a:xfrm>
          <a:off x="191770" y="70929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7" name="Picture 26"/>
        <xdr:cNvPicPr>
          <a:picLocks noChangeAspect="1"/>
        </xdr:cNvPicPr>
      </xdr:nvPicPr>
      <xdr:blipFill>
        <a:blip r:embed="rId24" cstate="print"/>
        <a:stretch>
          <a:fillRect/>
        </a:stretch>
      </xdr:blipFill>
      <xdr:spPr>
        <a:xfrm>
          <a:off x="191770" y="7397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8" name="Picture 27"/>
        <xdr:cNvPicPr>
          <a:picLocks noChangeAspect="1"/>
        </xdr:cNvPicPr>
      </xdr:nvPicPr>
      <xdr:blipFill>
        <a:blip r:embed="rId25"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9" name="Picture 28"/>
        <xdr:cNvPicPr>
          <a:picLocks noChangeAspect="1"/>
        </xdr:cNvPicPr>
      </xdr:nvPicPr>
      <xdr:blipFill>
        <a:blip r:embed="rId26" cstate="print"/>
        <a:stretch>
          <a:fillRect/>
        </a:stretch>
      </xdr:blipFill>
      <xdr:spPr>
        <a:xfrm>
          <a:off x="191770" y="8007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30" name="Picture 29"/>
        <xdr:cNvPicPr>
          <a:picLocks noChangeAspect="1"/>
        </xdr:cNvPicPr>
      </xdr:nvPicPr>
      <xdr:blipFill>
        <a:blip r:embed="rId27" cstate="print"/>
        <a:stretch>
          <a:fillRect/>
        </a:stretch>
      </xdr:blipFill>
      <xdr:spPr>
        <a:xfrm>
          <a:off x="191770" y="8312150"/>
          <a:ext cx="236855" cy="225425"/>
        </a:xfrm>
        <a:prstGeom prst="rect">
          <a:avLst/>
        </a:prstGeom>
      </xdr:spPr>
    </xdr:pic>
    <xdr:clientData/>
  </xdr:twoCellAnchor>
  <xdr:twoCellAnchor>
    <xdr:from>
      <xdr:col>0</xdr:col>
      <xdr:colOff>192000</xdr:colOff>
      <xdr:row>28</xdr:row>
      <xdr:rowOff>44999</xdr:rowOff>
    </xdr:from>
    <xdr:to>
      <xdr:col>0</xdr:col>
      <xdr:colOff>428800</xdr:colOff>
      <xdr:row>28</xdr:row>
      <xdr:rowOff>269999</xdr:rowOff>
    </xdr:to>
    <xdr:pic>
      <xdr:nvPicPr>
        <xdr:cNvPr id="31" name="Picture 30"/>
        <xdr:cNvPicPr>
          <a:picLocks noChangeAspect="1"/>
        </xdr:cNvPicPr>
      </xdr:nvPicPr>
      <xdr:blipFill>
        <a:blip r:embed="rId28" cstate="print"/>
        <a:stretch>
          <a:fillRect/>
        </a:stretch>
      </xdr:blipFill>
      <xdr:spPr>
        <a:xfrm>
          <a:off x="191770" y="86169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32" name="Picture 31"/>
        <xdr:cNvPicPr>
          <a:picLocks noChangeAspect="1"/>
        </xdr:cNvPicPr>
      </xdr:nvPicPr>
      <xdr:blipFill>
        <a:blip r:embed="rId29" cstate="print"/>
        <a:stretch>
          <a:fillRect/>
        </a:stretch>
      </xdr:blipFill>
      <xdr:spPr>
        <a:xfrm>
          <a:off x="191770" y="89217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33" name="Picture 32"/>
        <xdr:cNvPicPr>
          <a:picLocks noChangeAspect="1"/>
        </xdr:cNvPicPr>
      </xdr:nvPicPr>
      <xdr:blipFill>
        <a:blip r:embed="rId30" cstate="print"/>
        <a:stretch>
          <a:fillRect/>
        </a:stretch>
      </xdr:blipFill>
      <xdr:spPr>
        <a:xfrm>
          <a:off x="191770" y="92265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34" name="Picture 33"/>
        <xdr:cNvPicPr>
          <a:picLocks noChangeAspect="1"/>
        </xdr:cNvPicPr>
      </xdr:nvPicPr>
      <xdr:blipFill>
        <a:blip r:embed="rId31" cstate="print"/>
        <a:stretch>
          <a:fillRect/>
        </a:stretch>
      </xdr:blipFill>
      <xdr:spPr>
        <a:xfrm>
          <a:off x="191770" y="95313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35" name="Picture 34"/>
        <xdr:cNvPicPr>
          <a:picLocks noChangeAspect="1"/>
        </xdr:cNvPicPr>
      </xdr:nvPicPr>
      <xdr:blipFill>
        <a:blip r:embed="rId32" cstate="print"/>
        <a:stretch>
          <a:fillRect/>
        </a:stretch>
      </xdr:blipFill>
      <xdr:spPr>
        <a:xfrm>
          <a:off x="191770" y="9836150"/>
          <a:ext cx="236855" cy="225425"/>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36" name="Picture 35"/>
        <xdr:cNvPicPr>
          <a:picLocks noChangeAspect="1"/>
        </xdr:cNvPicPr>
      </xdr:nvPicPr>
      <xdr:blipFill>
        <a:blip r:embed="rId33" cstate="print"/>
        <a:stretch>
          <a:fillRect/>
        </a:stretch>
      </xdr:blipFill>
      <xdr:spPr>
        <a:xfrm>
          <a:off x="191770" y="10140950"/>
          <a:ext cx="236855" cy="225425"/>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37" name="Picture 36"/>
        <xdr:cNvPicPr>
          <a:picLocks noChangeAspect="1"/>
        </xdr:cNvPicPr>
      </xdr:nvPicPr>
      <xdr:blipFill>
        <a:blip r:embed="rId34" cstate="print"/>
        <a:stretch>
          <a:fillRect/>
        </a:stretch>
      </xdr:blipFill>
      <xdr:spPr>
        <a:xfrm>
          <a:off x="191770" y="10445750"/>
          <a:ext cx="236855" cy="225425"/>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38" name="Picture 37"/>
        <xdr:cNvPicPr>
          <a:picLocks noChangeAspect="1"/>
        </xdr:cNvPicPr>
      </xdr:nvPicPr>
      <xdr:blipFill>
        <a:blip r:embed="rId35" cstate="print"/>
        <a:stretch>
          <a:fillRect/>
        </a:stretch>
      </xdr:blipFill>
      <xdr:spPr>
        <a:xfrm>
          <a:off x="191770" y="107505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39" name="Picture 38"/>
        <xdr:cNvPicPr>
          <a:picLocks noChangeAspect="1"/>
        </xdr:cNvPicPr>
      </xdr:nvPicPr>
      <xdr:blipFill>
        <a:blip r:embed="rId36" cstate="print"/>
        <a:stretch>
          <a:fillRect/>
        </a:stretch>
      </xdr:blipFill>
      <xdr:spPr>
        <a:xfrm>
          <a:off x="191770" y="11055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40" name="Picture 39"/>
        <xdr:cNvPicPr>
          <a:picLocks noChangeAspect="1"/>
        </xdr:cNvPicPr>
      </xdr:nvPicPr>
      <xdr:blipFill>
        <a:blip r:embed="rId37" cstate="print"/>
        <a:stretch>
          <a:fillRect/>
        </a:stretch>
      </xdr:blipFill>
      <xdr:spPr>
        <a:xfrm>
          <a:off x="191770" y="113601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41" name="Picture 40"/>
        <xdr:cNvPicPr>
          <a:picLocks noChangeAspect="1"/>
        </xdr:cNvPicPr>
      </xdr:nvPicPr>
      <xdr:blipFill>
        <a:blip r:embed="rId38"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42" name="Picture 41"/>
        <xdr:cNvPicPr>
          <a:picLocks noChangeAspect="1"/>
        </xdr:cNvPicPr>
      </xdr:nvPicPr>
      <xdr:blipFill>
        <a:blip r:embed="rId39" cstate="print"/>
        <a:stretch>
          <a:fillRect/>
        </a:stretch>
      </xdr:blipFill>
      <xdr:spPr>
        <a:xfrm>
          <a:off x="191770" y="119697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43" name="Picture 42"/>
        <xdr:cNvPicPr>
          <a:picLocks noChangeAspect="1"/>
        </xdr:cNvPicPr>
      </xdr:nvPicPr>
      <xdr:blipFill>
        <a:blip r:embed="rId40" cstate="print"/>
        <a:stretch>
          <a:fillRect/>
        </a:stretch>
      </xdr:blipFill>
      <xdr:spPr>
        <a:xfrm>
          <a:off x="191770" y="122745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4" name="Picture 43"/>
        <xdr:cNvPicPr>
          <a:picLocks noChangeAspect="1"/>
        </xdr:cNvPicPr>
      </xdr:nvPicPr>
      <xdr:blipFill>
        <a:blip r:embed="rId41" cstate="print"/>
        <a:stretch>
          <a:fillRect/>
        </a:stretch>
      </xdr:blipFill>
      <xdr:spPr>
        <a:xfrm>
          <a:off x="191770" y="12579350"/>
          <a:ext cx="236855" cy="225425"/>
        </a:xfrm>
        <a:prstGeom prst="rect">
          <a:avLst/>
        </a:prstGeom>
      </xdr:spPr>
    </xdr:pic>
    <xdr:clientData/>
  </xdr:twoCellAnchor>
  <xdr:twoCellAnchor>
    <xdr:from>
      <xdr:col>0</xdr:col>
      <xdr:colOff>192000</xdr:colOff>
      <xdr:row>42</xdr:row>
      <xdr:rowOff>44999</xdr:rowOff>
    </xdr:from>
    <xdr:to>
      <xdr:col>0</xdr:col>
      <xdr:colOff>428800</xdr:colOff>
      <xdr:row>42</xdr:row>
      <xdr:rowOff>269999</xdr:rowOff>
    </xdr:to>
    <xdr:pic>
      <xdr:nvPicPr>
        <xdr:cNvPr id="45" name="Picture 44"/>
        <xdr:cNvPicPr>
          <a:picLocks noChangeAspect="1"/>
        </xdr:cNvPicPr>
      </xdr:nvPicPr>
      <xdr:blipFill>
        <a:blip r:embed="rId42" cstate="print"/>
        <a:stretch>
          <a:fillRect/>
        </a:stretch>
      </xdr:blipFill>
      <xdr:spPr>
        <a:xfrm>
          <a:off x="191770" y="128841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269999</xdr:rowOff>
    </xdr:to>
    <xdr:pic>
      <xdr:nvPicPr>
        <xdr:cNvPr id="46" name="Picture 45"/>
        <xdr:cNvPicPr>
          <a:picLocks noChangeAspect="1"/>
        </xdr:cNvPicPr>
      </xdr:nvPicPr>
      <xdr:blipFill>
        <a:blip r:embed="rId43" cstate="print"/>
        <a:stretch>
          <a:fillRect/>
        </a:stretch>
      </xdr:blipFill>
      <xdr:spPr>
        <a:xfrm>
          <a:off x="191770" y="13188950"/>
          <a:ext cx="236855" cy="225425"/>
        </a:xfrm>
        <a:prstGeom prst="rect">
          <a:avLst/>
        </a:prstGeom>
      </xdr:spPr>
    </xdr:pic>
    <xdr:clientData/>
  </xdr:twoCellAnchor>
  <xdr:twoCellAnchor>
    <xdr:from>
      <xdr:col>0</xdr:col>
      <xdr:colOff>192000</xdr:colOff>
      <xdr:row>44</xdr:row>
      <xdr:rowOff>44999</xdr:rowOff>
    </xdr:from>
    <xdr:to>
      <xdr:col>0</xdr:col>
      <xdr:colOff>428800</xdr:colOff>
      <xdr:row>44</xdr:row>
      <xdr:rowOff>269999</xdr:rowOff>
    </xdr:to>
    <xdr:pic>
      <xdr:nvPicPr>
        <xdr:cNvPr id="47" name="Picture 46"/>
        <xdr:cNvPicPr>
          <a:picLocks noChangeAspect="1"/>
        </xdr:cNvPicPr>
      </xdr:nvPicPr>
      <xdr:blipFill>
        <a:blip r:embed="rId44" cstate="print"/>
        <a:stretch>
          <a:fillRect/>
        </a:stretch>
      </xdr:blipFill>
      <xdr:spPr>
        <a:xfrm>
          <a:off x="191770" y="13493750"/>
          <a:ext cx="236855" cy="225425"/>
        </a:xfrm>
        <a:prstGeom prst="rect">
          <a:avLst/>
        </a:prstGeom>
      </xdr:spPr>
    </xdr:pic>
    <xdr:clientData/>
  </xdr:twoCellAnchor>
  <xdr:twoCellAnchor>
    <xdr:from>
      <xdr:col>0</xdr:col>
      <xdr:colOff>192000</xdr:colOff>
      <xdr:row>45</xdr:row>
      <xdr:rowOff>44999</xdr:rowOff>
    </xdr:from>
    <xdr:to>
      <xdr:col>0</xdr:col>
      <xdr:colOff>428800</xdr:colOff>
      <xdr:row>45</xdr:row>
      <xdr:rowOff>269999</xdr:rowOff>
    </xdr:to>
    <xdr:pic>
      <xdr:nvPicPr>
        <xdr:cNvPr id="48" name="Picture 47"/>
        <xdr:cNvPicPr>
          <a:picLocks noChangeAspect="1"/>
        </xdr:cNvPicPr>
      </xdr:nvPicPr>
      <xdr:blipFill>
        <a:blip r:embed="rId45" cstate="print"/>
        <a:stretch>
          <a:fillRect/>
        </a:stretch>
      </xdr:blipFill>
      <xdr:spPr>
        <a:xfrm>
          <a:off x="191770" y="13798550"/>
          <a:ext cx="236855" cy="225425"/>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49" name="Picture 48"/>
        <xdr:cNvPicPr>
          <a:picLocks noChangeAspect="1"/>
        </xdr:cNvPicPr>
      </xdr:nvPicPr>
      <xdr:blipFill>
        <a:blip r:embed="rId46" cstate="print"/>
        <a:stretch>
          <a:fillRect/>
        </a:stretch>
      </xdr:blipFill>
      <xdr:spPr>
        <a:xfrm>
          <a:off x="191770" y="14103350"/>
          <a:ext cx="236855" cy="225425"/>
        </a:xfrm>
        <a:prstGeom prst="rect">
          <a:avLst/>
        </a:prstGeom>
      </xdr:spPr>
    </xdr:pic>
    <xdr:clientData/>
  </xdr:twoCellAnchor>
  <xdr:twoCellAnchor>
    <xdr:from>
      <xdr:col>0</xdr:col>
      <xdr:colOff>192000</xdr:colOff>
      <xdr:row>47</xdr:row>
      <xdr:rowOff>44999</xdr:rowOff>
    </xdr:from>
    <xdr:to>
      <xdr:col>0</xdr:col>
      <xdr:colOff>428800</xdr:colOff>
      <xdr:row>47</xdr:row>
      <xdr:rowOff>269999</xdr:rowOff>
    </xdr:to>
    <xdr:pic>
      <xdr:nvPicPr>
        <xdr:cNvPr id="50" name="Picture 49"/>
        <xdr:cNvPicPr>
          <a:picLocks noChangeAspect="1"/>
        </xdr:cNvPicPr>
      </xdr:nvPicPr>
      <xdr:blipFill>
        <a:blip r:embed="rId47" cstate="print"/>
        <a:stretch>
          <a:fillRect/>
        </a:stretch>
      </xdr:blipFill>
      <xdr:spPr>
        <a:xfrm>
          <a:off x="191770" y="14408150"/>
          <a:ext cx="236855" cy="225425"/>
        </a:xfrm>
        <a:prstGeom prst="rect">
          <a:avLst/>
        </a:prstGeom>
      </xdr:spPr>
    </xdr:pic>
    <xdr:clientData/>
  </xdr:twoCellAnchor>
  <xdr:twoCellAnchor>
    <xdr:from>
      <xdr:col>0</xdr:col>
      <xdr:colOff>192000</xdr:colOff>
      <xdr:row>48</xdr:row>
      <xdr:rowOff>44999</xdr:rowOff>
    </xdr:from>
    <xdr:to>
      <xdr:col>0</xdr:col>
      <xdr:colOff>428800</xdr:colOff>
      <xdr:row>48</xdr:row>
      <xdr:rowOff>269999</xdr:rowOff>
    </xdr:to>
    <xdr:pic>
      <xdr:nvPicPr>
        <xdr:cNvPr id="51" name="Picture 50"/>
        <xdr:cNvPicPr>
          <a:picLocks noChangeAspect="1"/>
        </xdr:cNvPicPr>
      </xdr:nvPicPr>
      <xdr:blipFill>
        <a:blip r:embed="rId48" cstate="print"/>
        <a:stretch>
          <a:fillRect/>
        </a:stretch>
      </xdr:blipFill>
      <xdr:spPr>
        <a:xfrm>
          <a:off x="191770" y="14712950"/>
          <a:ext cx="236855" cy="225425"/>
        </a:xfrm>
        <a:prstGeom prst="rect">
          <a:avLst/>
        </a:prstGeom>
      </xdr:spPr>
    </xdr:pic>
    <xdr:clientData/>
  </xdr:twoCellAnchor>
  <xdr:twoCellAnchor>
    <xdr:from>
      <xdr:col>0</xdr:col>
      <xdr:colOff>192000</xdr:colOff>
      <xdr:row>49</xdr:row>
      <xdr:rowOff>44999</xdr:rowOff>
    </xdr:from>
    <xdr:to>
      <xdr:col>0</xdr:col>
      <xdr:colOff>428800</xdr:colOff>
      <xdr:row>49</xdr:row>
      <xdr:rowOff>269999</xdr:rowOff>
    </xdr:to>
    <xdr:pic>
      <xdr:nvPicPr>
        <xdr:cNvPr id="52" name="Picture 51"/>
        <xdr:cNvPicPr>
          <a:picLocks noChangeAspect="1"/>
        </xdr:cNvPicPr>
      </xdr:nvPicPr>
      <xdr:blipFill>
        <a:blip r:embed="rId49" cstate="print"/>
        <a:stretch>
          <a:fillRect/>
        </a:stretch>
      </xdr:blipFill>
      <xdr:spPr>
        <a:xfrm>
          <a:off x="191770" y="15017750"/>
          <a:ext cx="236855" cy="225425"/>
        </a:xfrm>
        <a:prstGeom prst="rect">
          <a:avLst/>
        </a:prstGeom>
      </xdr:spPr>
    </xdr:pic>
    <xdr:clientData/>
  </xdr:twoCellAnchor>
  <xdr:twoCellAnchor>
    <xdr:from>
      <xdr:col>0</xdr:col>
      <xdr:colOff>192000</xdr:colOff>
      <xdr:row>50</xdr:row>
      <xdr:rowOff>44999</xdr:rowOff>
    </xdr:from>
    <xdr:to>
      <xdr:col>0</xdr:col>
      <xdr:colOff>428800</xdr:colOff>
      <xdr:row>50</xdr:row>
      <xdr:rowOff>269999</xdr:rowOff>
    </xdr:to>
    <xdr:pic>
      <xdr:nvPicPr>
        <xdr:cNvPr id="53" name="Picture 52"/>
        <xdr:cNvPicPr>
          <a:picLocks noChangeAspect="1"/>
        </xdr:cNvPicPr>
      </xdr:nvPicPr>
      <xdr:blipFill>
        <a:blip r:embed="rId50" cstate="print"/>
        <a:stretch>
          <a:fillRect/>
        </a:stretch>
      </xdr:blipFill>
      <xdr:spPr>
        <a:xfrm>
          <a:off x="191770" y="15322550"/>
          <a:ext cx="236855" cy="225425"/>
        </a:xfrm>
        <a:prstGeom prst="rect">
          <a:avLst/>
        </a:prstGeom>
      </xdr:spPr>
    </xdr:pic>
    <xdr:clientData/>
  </xdr:twoCellAnchor>
  <xdr:twoCellAnchor>
    <xdr:from>
      <xdr:col>0</xdr:col>
      <xdr:colOff>192000</xdr:colOff>
      <xdr:row>51</xdr:row>
      <xdr:rowOff>44999</xdr:rowOff>
    </xdr:from>
    <xdr:to>
      <xdr:col>0</xdr:col>
      <xdr:colOff>428800</xdr:colOff>
      <xdr:row>51</xdr:row>
      <xdr:rowOff>269999</xdr:rowOff>
    </xdr:to>
    <xdr:pic>
      <xdr:nvPicPr>
        <xdr:cNvPr id="54" name="Picture 53"/>
        <xdr:cNvPicPr>
          <a:picLocks noChangeAspect="1"/>
        </xdr:cNvPicPr>
      </xdr:nvPicPr>
      <xdr:blipFill>
        <a:blip r:embed="rId51" cstate="print"/>
        <a:stretch>
          <a:fillRect/>
        </a:stretch>
      </xdr:blipFill>
      <xdr:spPr>
        <a:xfrm>
          <a:off x="191770" y="15627350"/>
          <a:ext cx="236855" cy="225425"/>
        </a:xfrm>
        <a:prstGeom prst="rect">
          <a:avLst/>
        </a:prstGeom>
      </xdr:spPr>
    </xdr:pic>
    <xdr:clientData/>
  </xdr:twoCellAnchor>
  <xdr:twoCellAnchor>
    <xdr:from>
      <xdr:col>0</xdr:col>
      <xdr:colOff>192000</xdr:colOff>
      <xdr:row>52</xdr:row>
      <xdr:rowOff>44999</xdr:rowOff>
    </xdr:from>
    <xdr:to>
      <xdr:col>0</xdr:col>
      <xdr:colOff>428800</xdr:colOff>
      <xdr:row>52</xdr:row>
      <xdr:rowOff>269999</xdr:rowOff>
    </xdr:to>
    <xdr:pic>
      <xdr:nvPicPr>
        <xdr:cNvPr id="55" name="Picture 54"/>
        <xdr:cNvPicPr>
          <a:picLocks noChangeAspect="1"/>
        </xdr:cNvPicPr>
      </xdr:nvPicPr>
      <xdr:blipFill>
        <a:blip r:embed="rId52" cstate="print"/>
        <a:stretch>
          <a:fillRect/>
        </a:stretch>
      </xdr:blipFill>
      <xdr:spPr>
        <a:xfrm>
          <a:off x="191770" y="15932150"/>
          <a:ext cx="236855" cy="225425"/>
        </a:xfrm>
        <a:prstGeom prst="rect">
          <a:avLst/>
        </a:prstGeom>
      </xdr:spPr>
    </xdr:pic>
    <xdr:clientData/>
  </xdr:twoCellAnchor>
  <xdr:twoCellAnchor>
    <xdr:from>
      <xdr:col>0</xdr:col>
      <xdr:colOff>192000</xdr:colOff>
      <xdr:row>53</xdr:row>
      <xdr:rowOff>44999</xdr:rowOff>
    </xdr:from>
    <xdr:to>
      <xdr:col>0</xdr:col>
      <xdr:colOff>428800</xdr:colOff>
      <xdr:row>53</xdr:row>
      <xdr:rowOff>269999</xdr:rowOff>
    </xdr:to>
    <xdr:pic>
      <xdr:nvPicPr>
        <xdr:cNvPr id="56" name="Picture 55"/>
        <xdr:cNvPicPr>
          <a:picLocks noChangeAspect="1"/>
        </xdr:cNvPicPr>
      </xdr:nvPicPr>
      <xdr:blipFill>
        <a:blip r:embed="rId53" cstate="print"/>
        <a:stretch>
          <a:fillRect/>
        </a:stretch>
      </xdr:blipFill>
      <xdr:spPr>
        <a:xfrm>
          <a:off x="191770" y="16236950"/>
          <a:ext cx="236855" cy="225425"/>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57" name="Picture 56"/>
        <xdr:cNvPicPr>
          <a:picLocks noChangeAspect="1"/>
        </xdr:cNvPicPr>
      </xdr:nvPicPr>
      <xdr:blipFill>
        <a:blip r:embed="rId54" cstate="print"/>
        <a:stretch>
          <a:fillRect/>
        </a:stretch>
      </xdr:blipFill>
      <xdr:spPr>
        <a:xfrm>
          <a:off x="191770" y="16541750"/>
          <a:ext cx="236855" cy="225425"/>
        </a:xfrm>
        <a:prstGeom prst="rect">
          <a:avLst/>
        </a:prstGeom>
      </xdr:spPr>
    </xdr:pic>
    <xdr:clientData/>
  </xdr:twoCellAnchor>
  <xdr:twoCellAnchor>
    <xdr:from>
      <xdr:col>0</xdr:col>
      <xdr:colOff>192000</xdr:colOff>
      <xdr:row>56</xdr:row>
      <xdr:rowOff>44999</xdr:rowOff>
    </xdr:from>
    <xdr:to>
      <xdr:col>0</xdr:col>
      <xdr:colOff>428800</xdr:colOff>
      <xdr:row>56</xdr:row>
      <xdr:rowOff>269999</xdr:rowOff>
    </xdr:to>
    <xdr:pic>
      <xdr:nvPicPr>
        <xdr:cNvPr id="58" name="Picture 57"/>
        <xdr:cNvPicPr>
          <a:picLocks noChangeAspect="1"/>
        </xdr:cNvPicPr>
      </xdr:nvPicPr>
      <xdr:blipFill>
        <a:blip r:embed="rId55" cstate="print"/>
        <a:stretch>
          <a:fillRect/>
        </a:stretch>
      </xdr:blipFill>
      <xdr:spPr>
        <a:xfrm>
          <a:off x="191770" y="17151350"/>
          <a:ext cx="236855" cy="225425"/>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59" name="Picture 58"/>
        <xdr:cNvPicPr>
          <a:picLocks noChangeAspect="1"/>
        </xdr:cNvPicPr>
      </xdr:nvPicPr>
      <xdr:blipFill>
        <a:blip r:embed="rId56" cstate="print"/>
        <a:stretch>
          <a:fillRect/>
        </a:stretch>
      </xdr:blipFill>
      <xdr:spPr>
        <a:xfrm>
          <a:off x="191770" y="16846550"/>
          <a:ext cx="236855" cy="225425"/>
        </a:xfrm>
        <a:prstGeom prst="rect">
          <a:avLst/>
        </a:prstGeom>
      </xdr:spPr>
    </xdr:pic>
    <xdr:clientData/>
  </xdr:twoCellAnchor>
  <xdr:twoCellAnchor>
    <xdr:from>
      <xdr:col>0</xdr:col>
      <xdr:colOff>192000</xdr:colOff>
      <xdr:row>57</xdr:row>
      <xdr:rowOff>44999</xdr:rowOff>
    </xdr:from>
    <xdr:to>
      <xdr:col>0</xdr:col>
      <xdr:colOff>428800</xdr:colOff>
      <xdr:row>57</xdr:row>
      <xdr:rowOff>269999</xdr:rowOff>
    </xdr:to>
    <xdr:pic>
      <xdr:nvPicPr>
        <xdr:cNvPr id="60" name="Picture 59"/>
        <xdr:cNvPicPr>
          <a:picLocks noChangeAspect="1"/>
        </xdr:cNvPicPr>
      </xdr:nvPicPr>
      <xdr:blipFill>
        <a:blip r:embed="rId57" cstate="print"/>
        <a:stretch>
          <a:fillRect/>
        </a:stretch>
      </xdr:blipFill>
      <xdr:spPr>
        <a:xfrm>
          <a:off x="191770" y="17456150"/>
          <a:ext cx="236855" cy="225425"/>
        </a:xfrm>
        <a:prstGeom prst="rect">
          <a:avLst/>
        </a:prstGeom>
      </xdr:spPr>
    </xdr:pic>
    <xdr:clientData/>
  </xdr:twoCellAnchor>
  <xdr:twoCellAnchor>
    <xdr:from>
      <xdr:col>0</xdr:col>
      <xdr:colOff>192000</xdr:colOff>
      <xdr:row>58</xdr:row>
      <xdr:rowOff>44999</xdr:rowOff>
    </xdr:from>
    <xdr:to>
      <xdr:col>0</xdr:col>
      <xdr:colOff>428800</xdr:colOff>
      <xdr:row>58</xdr:row>
      <xdr:rowOff>269999</xdr:rowOff>
    </xdr:to>
    <xdr:pic>
      <xdr:nvPicPr>
        <xdr:cNvPr id="61" name="Picture 60"/>
        <xdr:cNvPicPr>
          <a:picLocks noChangeAspect="1"/>
        </xdr:cNvPicPr>
      </xdr:nvPicPr>
      <xdr:blipFill>
        <a:blip r:embed="rId58" cstate="print"/>
        <a:stretch>
          <a:fillRect/>
        </a:stretch>
      </xdr:blipFill>
      <xdr:spPr>
        <a:xfrm>
          <a:off x="191770" y="17760950"/>
          <a:ext cx="236855" cy="225425"/>
        </a:xfrm>
        <a:prstGeom prst="rect">
          <a:avLst/>
        </a:prstGeom>
      </xdr:spPr>
    </xdr:pic>
    <xdr:clientData/>
  </xdr:twoCellAnchor>
  <xdr:twoCellAnchor>
    <xdr:from>
      <xdr:col>0</xdr:col>
      <xdr:colOff>192000</xdr:colOff>
      <xdr:row>59</xdr:row>
      <xdr:rowOff>44999</xdr:rowOff>
    </xdr:from>
    <xdr:to>
      <xdr:col>0</xdr:col>
      <xdr:colOff>428800</xdr:colOff>
      <xdr:row>59</xdr:row>
      <xdr:rowOff>269999</xdr:rowOff>
    </xdr:to>
    <xdr:pic>
      <xdr:nvPicPr>
        <xdr:cNvPr id="62" name="Picture 61"/>
        <xdr:cNvPicPr>
          <a:picLocks noChangeAspect="1"/>
        </xdr:cNvPicPr>
      </xdr:nvPicPr>
      <xdr:blipFill>
        <a:blip r:embed="rId59" cstate="print"/>
        <a:stretch>
          <a:fillRect/>
        </a:stretch>
      </xdr:blipFill>
      <xdr:spPr>
        <a:xfrm>
          <a:off x="191770" y="18065750"/>
          <a:ext cx="236855" cy="225425"/>
        </a:xfrm>
        <a:prstGeom prst="rect">
          <a:avLst/>
        </a:prstGeom>
      </xdr:spPr>
    </xdr:pic>
    <xdr:clientData/>
  </xdr:twoCellAnchor>
  <xdr:twoCellAnchor>
    <xdr:from>
      <xdr:col>0</xdr:col>
      <xdr:colOff>192000</xdr:colOff>
      <xdr:row>60</xdr:row>
      <xdr:rowOff>44999</xdr:rowOff>
    </xdr:from>
    <xdr:to>
      <xdr:col>0</xdr:col>
      <xdr:colOff>428800</xdr:colOff>
      <xdr:row>60</xdr:row>
      <xdr:rowOff>269999</xdr:rowOff>
    </xdr:to>
    <xdr:pic>
      <xdr:nvPicPr>
        <xdr:cNvPr id="63" name="Picture 62"/>
        <xdr:cNvPicPr>
          <a:picLocks noChangeAspect="1"/>
        </xdr:cNvPicPr>
      </xdr:nvPicPr>
      <xdr:blipFill>
        <a:blip r:embed="rId60" cstate="print"/>
        <a:stretch>
          <a:fillRect/>
        </a:stretch>
      </xdr:blipFill>
      <xdr:spPr>
        <a:xfrm>
          <a:off x="191770" y="18370550"/>
          <a:ext cx="236855" cy="225425"/>
        </a:xfrm>
        <a:prstGeom prst="rect">
          <a:avLst/>
        </a:prstGeom>
      </xdr:spPr>
    </xdr:pic>
    <xdr:clientData/>
  </xdr:twoCellAnchor>
  <xdr:twoCellAnchor>
    <xdr:from>
      <xdr:col>0</xdr:col>
      <xdr:colOff>192000</xdr:colOff>
      <xdr:row>61</xdr:row>
      <xdr:rowOff>44999</xdr:rowOff>
    </xdr:from>
    <xdr:to>
      <xdr:col>0</xdr:col>
      <xdr:colOff>428800</xdr:colOff>
      <xdr:row>61</xdr:row>
      <xdr:rowOff>269999</xdr:rowOff>
    </xdr:to>
    <xdr:pic>
      <xdr:nvPicPr>
        <xdr:cNvPr id="64" name="Picture 63"/>
        <xdr:cNvPicPr>
          <a:picLocks noChangeAspect="1"/>
        </xdr:cNvPicPr>
      </xdr:nvPicPr>
      <xdr:blipFill>
        <a:blip r:embed="rId61" cstate="print"/>
        <a:stretch>
          <a:fillRect/>
        </a:stretch>
      </xdr:blipFill>
      <xdr:spPr>
        <a:xfrm>
          <a:off x="191770" y="18675350"/>
          <a:ext cx="236855" cy="225425"/>
        </a:xfrm>
        <a:prstGeom prst="rect">
          <a:avLst/>
        </a:prstGeom>
      </xdr:spPr>
    </xdr:pic>
    <xdr:clientData/>
  </xdr:twoCellAnchor>
  <xdr:twoCellAnchor>
    <xdr:from>
      <xdr:col>0</xdr:col>
      <xdr:colOff>192000</xdr:colOff>
      <xdr:row>63</xdr:row>
      <xdr:rowOff>45000</xdr:rowOff>
    </xdr:from>
    <xdr:to>
      <xdr:col>0</xdr:col>
      <xdr:colOff>428800</xdr:colOff>
      <xdr:row>63</xdr:row>
      <xdr:rowOff>270000</xdr:rowOff>
    </xdr:to>
    <xdr:pic>
      <xdr:nvPicPr>
        <xdr:cNvPr id="65" name="Picture 64"/>
        <xdr:cNvPicPr>
          <a:picLocks noChangeAspect="1"/>
        </xdr:cNvPicPr>
      </xdr:nvPicPr>
      <xdr:blipFill>
        <a:blip r:embed="rId62" cstate="print"/>
        <a:stretch>
          <a:fillRect/>
        </a:stretch>
      </xdr:blipFill>
      <xdr:spPr>
        <a:xfrm>
          <a:off x="191770" y="19284950"/>
          <a:ext cx="236855" cy="225425"/>
        </a:xfrm>
        <a:prstGeom prst="rect">
          <a:avLst/>
        </a:prstGeom>
      </xdr:spPr>
    </xdr:pic>
    <xdr:clientData/>
  </xdr:twoCellAnchor>
  <xdr:twoCellAnchor>
    <xdr:from>
      <xdr:col>0</xdr:col>
      <xdr:colOff>192000</xdr:colOff>
      <xdr:row>62</xdr:row>
      <xdr:rowOff>45000</xdr:rowOff>
    </xdr:from>
    <xdr:to>
      <xdr:col>0</xdr:col>
      <xdr:colOff>428800</xdr:colOff>
      <xdr:row>62</xdr:row>
      <xdr:rowOff>270000</xdr:rowOff>
    </xdr:to>
    <xdr:pic>
      <xdr:nvPicPr>
        <xdr:cNvPr id="66" name="Picture 65"/>
        <xdr:cNvPicPr>
          <a:picLocks noChangeAspect="1"/>
        </xdr:cNvPicPr>
      </xdr:nvPicPr>
      <xdr:blipFill>
        <a:blip r:embed="rId63" cstate="print"/>
        <a:stretch>
          <a:fillRect/>
        </a:stretch>
      </xdr:blipFill>
      <xdr:spPr>
        <a:xfrm>
          <a:off x="191770" y="18980150"/>
          <a:ext cx="236855" cy="225425"/>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67" name="Picture 66"/>
        <xdr:cNvPicPr>
          <a:picLocks noChangeAspect="1"/>
        </xdr:cNvPicPr>
      </xdr:nvPicPr>
      <xdr:blipFill>
        <a:blip r:embed="rId64" cstate="print"/>
        <a:stretch>
          <a:fillRect/>
        </a:stretch>
      </xdr:blipFill>
      <xdr:spPr>
        <a:xfrm>
          <a:off x="191770" y="19589750"/>
          <a:ext cx="236855" cy="225425"/>
        </a:xfrm>
        <a:prstGeom prst="rect">
          <a:avLst/>
        </a:prstGeom>
      </xdr:spPr>
    </xdr:pic>
    <xdr:clientData/>
  </xdr:twoCellAnchor>
  <xdr:twoCellAnchor>
    <xdr:from>
      <xdr:col>0</xdr:col>
      <xdr:colOff>192000</xdr:colOff>
      <xdr:row>65</xdr:row>
      <xdr:rowOff>45000</xdr:rowOff>
    </xdr:from>
    <xdr:to>
      <xdr:col>0</xdr:col>
      <xdr:colOff>428800</xdr:colOff>
      <xdr:row>65</xdr:row>
      <xdr:rowOff>270000</xdr:rowOff>
    </xdr:to>
    <xdr:pic>
      <xdr:nvPicPr>
        <xdr:cNvPr id="68" name="Picture 67"/>
        <xdr:cNvPicPr>
          <a:picLocks noChangeAspect="1"/>
        </xdr:cNvPicPr>
      </xdr:nvPicPr>
      <xdr:blipFill>
        <a:blip r:embed="rId65" cstate="print"/>
        <a:stretch>
          <a:fillRect/>
        </a:stretch>
      </xdr:blipFill>
      <xdr:spPr>
        <a:xfrm>
          <a:off x="191770" y="19894550"/>
          <a:ext cx="236855" cy="225425"/>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69" name="Picture 68"/>
        <xdr:cNvPicPr>
          <a:picLocks noChangeAspect="1"/>
        </xdr:cNvPicPr>
      </xdr:nvPicPr>
      <xdr:blipFill>
        <a:blip r:embed="rId66" cstate="print"/>
        <a:stretch>
          <a:fillRect/>
        </a:stretch>
      </xdr:blipFill>
      <xdr:spPr>
        <a:xfrm>
          <a:off x="191770" y="20199350"/>
          <a:ext cx="236855" cy="225425"/>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70" name="Picture 69"/>
        <xdr:cNvPicPr>
          <a:picLocks noChangeAspect="1"/>
        </xdr:cNvPicPr>
      </xdr:nvPicPr>
      <xdr:blipFill>
        <a:blip r:embed="rId67" cstate="print"/>
        <a:stretch>
          <a:fillRect/>
        </a:stretch>
      </xdr:blipFill>
      <xdr:spPr>
        <a:xfrm>
          <a:off x="191770" y="20504150"/>
          <a:ext cx="236855" cy="225425"/>
        </a:xfrm>
        <a:prstGeom prst="rect">
          <a:avLst/>
        </a:prstGeom>
      </xdr:spPr>
    </xdr:pic>
    <xdr:clientData/>
  </xdr:twoCellAnchor>
  <xdr:twoCellAnchor>
    <xdr:from>
      <xdr:col>0</xdr:col>
      <xdr:colOff>192000</xdr:colOff>
      <xdr:row>68</xdr:row>
      <xdr:rowOff>45000</xdr:rowOff>
    </xdr:from>
    <xdr:to>
      <xdr:col>0</xdr:col>
      <xdr:colOff>428800</xdr:colOff>
      <xdr:row>68</xdr:row>
      <xdr:rowOff>270000</xdr:rowOff>
    </xdr:to>
    <xdr:pic>
      <xdr:nvPicPr>
        <xdr:cNvPr id="71" name="Picture 70"/>
        <xdr:cNvPicPr>
          <a:picLocks noChangeAspect="1"/>
        </xdr:cNvPicPr>
      </xdr:nvPicPr>
      <xdr:blipFill>
        <a:blip r:embed="rId68" cstate="print"/>
        <a:stretch>
          <a:fillRect/>
        </a:stretch>
      </xdr:blipFill>
      <xdr:spPr>
        <a:xfrm>
          <a:off x="191770" y="20808950"/>
          <a:ext cx="236855" cy="225425"/>
        </a:xfrm>
        <a:prstGeom prst="rect">
          <a:avLst/>
        </a:prstGeom>
      </xdr:spPr>
    </xdr:pic>
    <xdr:clientData/>
  </xdr:twoCellAnchor>
  <xdr:twoCellAnchor>
    <xdr:from>
      <xdr:col>0</xdr:col>
      <xdr:colOff>192000</xdr:colOff>
      <xdr:row>69</xdr:row>
      <xdr:rowOff>45000</xdr:rowOff>
    </xdr:from>
    <xdr:to>
      <xdr:col>0</xdr:col>
      <xdr:colOff>428800</xdr:colOff>
      <xdr:row>69</xdr:row>
      <xdr:rowOff>270000</xdr:rowOff>
    </xdr:to>
    <xdr:pic>
      <xdr:nvPicPr>
        <xdr:cNvPr id="72" name="Picture 71"/>
        <xdr:cNvPicPr>
          <a:picLocks noChangeAspect="1"/>
        </xdr:cNvPicPr>
      </xdr:nvPicPr>
      <xdr:blipFill>
        <a:blip r:embed="rId69" cstate="print"/>
        <a:stretch>
          <a:fillRect/>
        </a:stretch>
      </xdr:blipFill>
      <xdr:spPr>
        <a:xfrm>
          <a:off x="191770" y="21113750"/>
          <a:ext cx="236855" cy="225425"/>
        </a:xfrm>
        <a:prstGeom prst="rect">
          <a:avLst/>
        </a:prstGeom>
      </xdr:spPr>
    </xdr:pic>
    <xdr:clientData/>
  </xdr:twoCellAnchor>
  <xdr:twoCellAnchor>
    <xdr:from>
      <xdr:col>0</xdr:col>
      <xdr:colOff>192000</xdr:colOff>
      <xdr:row>70</xdr:row>
      <xdr:rowOff>45000</xdr:rowOff>
    </xdr:from>
    <xdr:to>
      <xdr:col>0</xdr:col>
      <xdr:colOff>428800</xdr:colOff>
      <xdr:row>70</xdr:row>
      <xdr:rowOff>270000</xdr:rowOff>
    </xdr:to>
    <xdr:pic>
      <xdr:nvPicPr>
        <xdr:cNvPr id="73" name="Picture 72"/>
        <xdr:cNvPicPr>
          <a:picLocks noChangeAspect="1"/>
        </xdr:cNvPicPr>
      </xdr:nvPicPr>
      <xdr:blipFill>
        <a:blip r:embed="rId70" cstate="print"/>
        <a:stretch>
          <a:fillRect/>
        </a:stretch>
      </xdr:blipFill>
      <xdr:spPr>
        <a:xfrm>
          <a:off x="191770" y="21418550"/>
          <a:ext cx="236855" cy="225425"/>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74" name="Picture 73"/>
        <xdr:cNvPicPr>
          <a:picLocks noChangeAspect="1"/>
        </xdr:cNvPicPr>
      </xdr:nvPicPr>
      <xdr:blipFill>
        <a:blip r:embed="rId71" cstate="print"/>
        <a:stretch>
          <a:fillRect/>
        </a:stretch>
      </xdr:blipFill>
      <xdr:spPr>
        <a:xfrm>
          <a:off x="191770" y="21723350"/>
          <a:ext cx="236855" cy="225425"/>
        </a:xfrm>
        <a:prstGeom prst="rect">
          <a:avLst/>
        </a:prstGeom>
      </xdr:spPr>
    </xdr:pic>
    <xdr:clientData/>
  </xdr:twoCellAnchor>
  <xdr:twoCellAnchor>
    <xdr:from>
      <xdr:col>0</xdr:col>
      <xdr:colOff>192000</xdr:colOff>
      <xdr:row>72</xdr:row>
      <xdr:rowOff>45000</xdr:rowOff>
    </xdr:from>
    <xdr:to>
      <xdr:col>0</xdr:col>
      <xdr:colOff>428800</xdr:colOff>
      <xdr:row>72</xdr:row>
      <xdr:rowOff>270000</xdr:rowOff>
    </xdr:to>
    <xdr:pic>
      <xdr:nvPicPr>
        <xdr:cNvPr id="75" name="Picture 74"/>
        <xdr:cNvPicPr>
          <a:picLocks noChangeAspect="1"/>
        </xdr:cNvPicPr>
      </xdr:nvPicPr>
      <xdr:blipFill>
        <a:blip r:embed="rId72" cstate="print"/>
        <a:stretch>
          <a:fillRect/>
        </a:stretch>
      </xdr:blipFill>
      <xdr:spPr>
        <a:xfrm>
          <a:off x="191770" y="22028150"/>
          <a:ext cx="236855" cy="225425"/>
        </a:xfrm>
        <a:prstGeom prst="rect">
          <a:avLst/>
        </a:prstGeom>
      </xdr:spPr>
    </xdr:pic>
    <xdr:clientData/>
  </xdr:twoCellAnchor>
  <xdr:twoCellAnchor>
    <xdr:from>
      <xdr:col>0</xdr:col>
      <xdr:colOff>192000</xdr:colOff>
      <xdr:row>73</xdr:row>
      <xdr:rowOff>45000</xdr:rowOff>
    </xdr:from>
    <xdr:to>
      <xdr:col>0</xdr:col>
      <xdr:colOff>428800</xdr:colOff>
      <xdr:row>73</xdr:row>
      <xdr:rowOff>270000</xdr:rowOff>
    </xdr:to>
    <xdr:pic>
      <xdr:nvPicPr>
        <xdr:cNvPr id="76" name="Picture 75"/>
        <xdr:cNvPicPr>
          <a:picLocks noChangeAspect="1"/>
        </xdr:cNvPicPr>
      </xdr:nvPicPr>
      <xdr:blipFill>
        <a:blip r:embed="rId73" cstate="print"/>
        <a:stretch>
          <a:fillRect/>
        </a:stretch>
      </xdr:blipFill>
      <xdr:spPr>
        <a:xfrm>
          <a:off x="191770" y="22332950"/>
          <a:ext cx="236855" cy="225425"/>
        </a:xfrm>
        <a:prstGeom prst="rect">
          <a:avLst/>
        </a:prstGeom>
      </xdr:spPr>
    </xdr:pic>
    <xdr:clientData/>
  </xdr:twoCellAnchor>
  <xdr:twoCellAnchor>
    <xdr:from>
      <xdr:col>0</xdr:col>
      <xdr:colOff>192000</xdr:colOff>
      <xdr:row>74</xdr:row>
      <xdr:rowOff>45000</xdr:rowOff>
    </xdr:from>
    <xdr:to>
      <xdr:col>0</xdr:col>
      <xdr:colOff>428800</xdr:colOff>
      <xdr:row>74</xdr:row>
      <xdr:rowOff>270000</xdr:rowOff>
    </xdr:to>
    <xdr:pic>
      <xdr:nvPicPr>
        <xdr:cNvPr id="77" name="Picture 76"/>
        <xdr:cNvPicPr>
          <a:picLocks noChangeAspect="1"/>
        </xdr:cNvPicPr>
      </xdr:nvPicPr>
      <xdr:blipFill>
        <a:blip r:embed="rId74" cstate="print"/>
        <a:stretch>
          <a:fillRect/>
        </a:stretch>
      </xdr:blipFill>
      <xdr:spPr>
        <a:xfrm>
          <a:off x="191770" y="22637750"/>
          <a:ext cx="236855" cy="225425"/>
        </a:xfrm>
        <a:prstGeom prst="rect">
          <a:avLst/>
        </a:prstGeom>
      </xdr:spPr>
    </xdr:pic>
    <xdr:clientData/>
  </xdr:twoCellAnchor>
  <xdr:twoCellAnchor>
    <xdr:from>
      <xdr:col>0</xdr:col>
      <xdr:colOff>192000</xdr:colOff>
      <xdr:row>75</xdr:row>
      <xdr:rowOff>45000</xdr:rowOff>
    </xdr:from>
    <xdr:to>
      <xdr:col>0</xdr:col>
      <xdr:colOff>428800</xdr:colOff>
      <xdr:row>75</xdr:row>
      <xdr:rowOff>270000</xdr:rowOff>
    </xdr:to>
    <xdr:pic>
      <xdr:nvPicPr>
        <xdr:cNvPr id="78" name="Picture 77"/>
        <xdr:cNvPicPr>
          <a:picLocks noChangeAspect="1"/>
        </xdr:cNvPicPr>
      </xdr:nvPicPr>
      <xdr:blipFill>
        <a:blip r:embed="rId75" cstate="print"/>
        <a:stretch>
          <a:fillRect/>
        </a:stretch>
      </xdr:blipFill>
      <xdr:spPr>
        <a:xfrm>
          <a:off x="191770" y="22942550"/>
          <a:ext cx="236855" cy="225425"/>
        </a:xfrm>
        <a:prstGeom prst="rect">
          <a:avLst/>
        </a:prstGeom>
      </xdr:spPr>
    </xdr:pic>
    <xdr:clientData/>
  </xdr:twoCellAnchor>
  <xdr:twoCellAnchor>
    <xdr:from>
      <xdr:col>0</xdr:col>
      <xdr:colOff>192000</xdr:colOff>
      <xdr:row>76</xdr:row>
      <xdr:rowOff>45000</xdr:rowOff>
    </xdr:from>
    <xdr:to>
      <xdr:col>0</xdr:col>
      <xdr:colOff>428800</xdr:colOff>
      <xdr:row>76</xdr:row>
      <xdr:rowOff>270000</xdr:rowOff>
    </xdr:to>
    <xdr:pic>
      <xdr:nvPicPr>
        <xdr:cNvPr id="79" name="Picture 78"/>
        <xdr:cNvPicPr>
          <a:picLocks noChangeAspect="1"/>
        </xdr:cNvPicPr>
      </xdr:nvPicPr>
      <xdr:blipFill>
        <a:blip r:embed="rId76" cstate="print"/>
        <a:stretch>
          <a:fillRect/>
        </a:stretch>
      </xdr:blipFill>
      <xdr:spPr>
        <a:xfrm>
          <a:off x="191770" y="23247350"/>
          <a:ext cx="236855" cy="225425"/>
        </a:xfrm>
        <a:prstGeom prst="rect">
          <a:avLst/>
        </a:prstGeom>
      </xdr:spPr>
    </xdr:pic>
    <xdr:clientData/>
  </xdr:twoCellAnchor>
  <xdr:twoCellAnchor>
    <xdr:from>
      <xdr:col>0</xdr:col>
      <xdr:colOff>192000</xdr:colOff>
      <xdr:row>77</xdr:row>
      <xdr:rowOff>45000</xdr:rowOff>
    </xdr:from>
    <xdr:to>
      <xdr:col>0</xdr:col>
      <xdr:colOff>428800</xdr:colOff>
      <xdr:row>77</xdr:row>
      <xdr:rowOff>270000</xdr:rowOff>
    </xdr:to>
    <xdr:pic>
      <xdr:nvPicPr>
        <xdr:cNvPr id="80" name="Picture 79"/>
        <xdr:cNvPicPr>
          <a:picLocks noChangeAspect="1"/>
        </xdr:cNvPicPr>
      </xdr:nvPicPr>
      <xdr:blipFill>
        <a:blip r:embed="rId77" cstate="print"/>
        <a:stretch>
          <a:fillRect/>
        </a:stretch>
      </xdr:blipFill>
      <xdr:spPr>
        <a:xfrm>
          <a:off x="191770" y="23552150"/>
          <a:ext cx="236855" cy="225425"/>
        </a:xfrm>
        <a:prstGeom prst="rect">
          <a:avLst/>
        </a:prstGeom>
      </xdr:spPr>
    </xdr:pic>
    <xdr:clientData/>
  </xdr:twoCellAnchor>
  <xdr:twoCellAnchor>
    <xdr:from>
      <xdr:col>0</xdr:col>
      <xdr:colOff>192000</xdr:colOff>
      <xdr:row>78</xdr:row>
      <xdr:rowOff>45000</xdr:rowOff>
    </xdr:from>
    <xdr:to>
      <xdr:col>0</xdr:col>
      <xdr:colOff>428800</xdr:colOff>
      <xdr:row>78</xdr:row>
      <xdr:rowOff>270000</xdr:rowOff>
    </xdr:to>
    <xdr:pic>
      <xdr:nvPicPr>
        <xdr:cNvPr id="81" name="Picture 80"/>
        <xdr:cNvPicPr>
          <a:picLocks noChangeAspect="1"/>
        </xdr:cNvPicPr>
      </xdr:nvPicPr>
      <xdr:blipFill>
        <a:blip r:embed="rId78" cstate="print"/>
        <a:stretch>
          <a:fillRect/>
        </a:stretch>
      </xdr:blipFill>
      <xdr:spPr>
        <a:xfrm>
          <a:off x="191770" y="23856950"/>
          <a:ext cx="236855" cy="225425"/>
        </a:xfrm>
        <a:prstGeom prst="rect">
          <a:avLst/>
        </a:prstGeom>
      </xdr:spPr>
    </xdr:pic>
    <xdr:clientData/>
  </xdr:twoCellAnchor>
  <xdr:twoCellAnchor>
    <xdr:from>
      <xdr:col>0</xdr:col>
      <xdr:colOff>192000</xdr:colOff>
      <xdr:row>79</xdr:row>
      <xdr:rowOff>45000</xdr:rowOff>
    </xdr:from>
    <xdr:to>
      <xdr:col>0</xdr:col>
      <xdr:colOff>428800</xdr:colOff>
      <xdr:row>79</xdr:row>
      <xdr:rowOff>270000</xdr:rowOff>
    </xdr:to>
    <xdr:pic>
      <xdr:nvPicPr>
        <xdr:cNvPr id="82" name="Picture 81"/>
        <xdr:cNvPicPr>
          <a:picLocks noChangeAspect="1"/>
        </xdr:cNvPicPr>
      </xdr:nvPicPr>
      <xdr:blipFill>
        <a:blip r:embed="rId79" cstate="print"/>
        <a:stretch>
          <a:fillRect/>
        </a:stretch>
      </xdr:blipFill>
      <xdr:spPr>
        <a:xfrm>
          <a:off x="191770" y="24161750"/>
          <a:ext cx="236855" cy="225425"/>
        </a:xfrm>
        <a:prstGeom prst="rect">
          <a:avLst/>
        </a:prstGeom>
      </xdr:spPr>
    </xdr:pic>
    <xdr:clientData/>
  </xdr:twoCellAnchor>
  <xdr:twoCellAnchor>
    <xdr:from>
      <xdr:col>0</xdr:col>
      <xdr:colOff>192000</xdr:colOff>
      <xdr:row>80</xdr:row>
      <xdr:rowOff>45000</xdr:rowOff>
    </xdr:from>
    <xdr:to>
      <xdr:col>0</xdr:col>
      <xdr:colOff>428800</xdr:colOff>
      <xdr:row>80</xdr:row>
      <xdr:rowOff>270000</xdr:rowOff>
    </xdr:to>
    <xdr:pic>
      <xdr:nvPicPr>
        <xdr:cNvPr id="83" name="Picture 82"/>
        <xdr:cNvPicPr>
          <a:picLocks noChangeAspect="1"/>
        </xdr:cNvPicPr>
      </xdr:nvPicPr>
      <xdr:blipFill>
        <a:blip r:embed="rId80" cstate="print"/>
        <a:stretch>
          <a:fillRect/>
        </a:stretch>
      </xdr:blipFill>
      <xdr:spPr>
        <a:xfrm>
          <a:off x="191770" y="24466550"/>
          <a:ext cx="236855" cy="225425"/>
        </a:xfrm>
        <a:prstGeom prst="rect">
          <a:avLst/>
        </a:prstGeom>
      </xdr:spPr>
    </xdr:pic>
    <xdr:clientData/>
  </xdr:twoCellAnchor>
  <xdr:twoCellAnchor>
    <xdr:from>
      <xdr:col>0</xdr:col>
      <xdr:colOff>192000</xdr:colOff>
      <xdr:row>81</xdr:row>
      <xdr:rowOff>45000</xdr:rowOff>
    </xdr:from>
    <xdr:to>
      <xdr:col>0</xdr:col>
      <xdr:colOff>428800</xdr:colOff>
      <xdr:row>81</xdr:row>
      <xdr:rowOff>270000</xdr:rowOff>
    </xdr:to>
    <xdr:pic>
      <xdr:nvPicPr>
        <xdr:cNvPr id="84" name="Picture 83"/>
        <xdr:cNvPicPr>
          <a:picLocks noChangeAspect="1"/>
        </xdr:cNvPicPr>
      </xdr:nvPicPr>
      <xdr:blipFill>
        <a:blip r:embed="rId81" cstate="print"/>
        <a:stretch>
          <a:fillRect/>
        </a:stretch>
      </xdr:blipFill>
      <xdr:spPr>
        <a:xfrm>
          <a:off x="191770" y="24771350"/>
          <a:ext cx="236855" cy="225425"/>
        </a:xfrm>
        <a:prstGeom prst="rect">
          <a:avLst/>
        </a:prstGeom>
      </xdr:spPr>
    </xdr:pic>
    <xdr:clientData/>
  </xdr:twoCellAnchor>
  <xdr:twoCellAnchor>
    <xdr:from>
      <xdr:col>0</xdr:col>
      <xdr:colOff>192000</xdr:colOff>
      <xdr:row>82</xdr:row>
      <xdr:rowOff>45000</xdr:rowOff>
    </xdr:from>
    <xdr:to>
      <xdr:col>0</xdr:col>
      <xdr:colOff>428800</xdr:colOff>
      <xdr:row>82</xdr:row>
      <xdr:rowOff>270000</xdr:rowOff>
    </xdr:to>
    <xdr:pic>
      <xdr:nvPicPr>
        <xdr:cNvPr id="85" name="Picture 84"/>
        <xdr:cNvPicPr>
          <a:picLocks noChangeAspect="1"/>
        </xdr:cNvPicPr>
      </xdr:nvPicPr>
      <xdr:blipFill>
        <a:blip r:embed="rId82" cstate="print"/>
        <a:stretch>
          <a:fillRect/>
        </a:stretch>
      </xdr:blipFill>
      <xdr:spPr>
        <a:xfrm>
          <a:off x="191770" y="25076150"/>
          <a:ext cx="236855" cy="225425"/>
        </a:xfrm>
        <a:prstGeom prst="rect">
          <a:avLst/>
        </a:prstGeom>
      </xdr:spPr>
    </xdr:pic>
    <xdr:clientData/>
  </xdr:twoCellAnchor>
  <xdr:twoCellAnchor>
    <xdr:from>
      <xdr:col>0</xdr:col>
      <xdr:colOff>192000</xdr:colOff>
      <xdr:row>83</xdr:row>
      <xdr:rowOff>45000</xdr:rowOff>
    </xdr:from>
    <xdr:to>
      <xdr:col>0</xdr:col>
      <xdr:colOff>428800</xdr:colOff>
      <xdr:row>83</xdr:row>
      <xdr:rowOff>270000</xdr:rowOff>
    </xdr:to>
    <xdr:pic>
      <xdr:nvPicPr>
        <xdr:cNvPr id="86" name="Picture 85"/>
        <xdr:cNvPicPr>
          <a:picLocks noChangeAspect="1"/>
        </xdr:cNvPicPr>
      </xdr:nvPicPr>
      <xdr:blipFill>
        <a:blip r:embed="rId83" cstate="print"/>
        <a:stretch>
          <a:fillRect/>
        </a:stretch>
      </xdr:blipFill>
      <xdr:spPr>
        <a:xfrm>
          <a:off x="191770" y="25380950"/>
          <a:ext cx="236855" cy="225425"/>
        </a:xfrm>
        <a:prstGeom prst="rect">
          <a:avLst/>
        </a:prstGeom>
      </xdr:spPr>
    </xdr:pic>
    <xdr:clientData/>
  </xdr:twoCellAnchor>
  <xdr:twoCellAnchor>
    <xdr:from>
      <xdr:col>0</xdr:col>
      <xdr:colOff>192000</xdr:colOff>
      <xdr:row>84</xdr:row>
      <xdr:rowOff>45000</xdr:rowOff>
    </xdr:from>
    <xdr:to>
      <xdr:col>0</xdr:col>
      <xdr:colOff>428800</xdr:colOff>
      <xdr:row>84</xdr:row>
      <xdr:rowOff>270000</xdr:rowOff>
    </xdr:to>
    <xdr:pic>
      <xdr:nvPicPr>
        <xdr:cNvPr id="87" name="Picture 86"/>
        <xdr:cNvPicPr>
          <a:picLocks noChangeAspect="1"/>
        </xdr:cNvPicPr>
      </xdr:nvPicPr>
      <xdr:blipFill>
        <a:blip r:embed="rId84" cstate="print"/>
        <a:stretch>
          <a:fillRect/>
        </a:stretch>
      </xdr:blipFill>
      <xdr:spPr>
        <a:xfrm>
          <a:off x="191770" y="25685750"/>
          <a:ext cx="236855" cy="225425"/>
        </a:xfrm>
        <a:prstGeom prst="rect">
          <a:avLst/>
        </a:prstGeom>
      </xdr:spPr>
    </xdr:pic>
    <xdr:clientData/>
  </xdr:twoCellAnchor>
  <xdr:twoCellAnchor>
    <xdr:from>
      <xdr:col>0</xdr:col>
      <xdr:colOff>192000</xdr:colOff>
      <xdr:row>85</xdr:row>
      <xdr:rowOff>45000</xdr:rowOff>
    </xdr:from>
    <xdr:to>
      <xdr:col>0</xdr:col>
      <xdr:colOff>428800</xdr:colOff>
      <xdr:row>85</xdr:row>
      <xdr:rowOff>270000</xdr:rowOff>
    </xdr:to>
    <xdr:pic>
      <xdr:nvPicPr>
        <xdr:cNvPr id="88" name="Picture 87"/>
        <xdr:cNvPicPr>
          <a:picLocks noChangeAspect="1"/>
        </xdr:cNvPicPr>
      </xdr:nvPicPr>
      <xdr:blipFill>
        <a:blip r:embed="rId85" cstate="print"/>
        <a:stretch>
          <a:fillRect/>
        </a:stretch>
      </xdr:blipFill>
      <xdr:spPr>
        <a:xfrm>
          <a:off x="191770" y="25990550"/>
          <a:ext cx="236855" cy="225425"/>
        </a:xfrm>
        <a:prstGeom prst="rect">
          <a:avLst/>
        </a:prstGeom>
      </xdr:spPr>
    </xdr:pic>
    <xdr:clientData/>
  </xdr:twoCellAnchor>
  <xdr:twoCellAnchor>
    <xdr:from>
      <xdr:col>0</xdr:col>
      <xdr:colOff>192000</xdr:colOff>
      <xdr:row>86</xdr:row>
      <xdr:rowOff>45000</xdr:rowOff>
    </xdr:from>
    <xdr:to>
      <xdr:col>0</xdr:col>
      <xdr:colOff>428800</xdr:colOff>
      <xdr:row>86</xdr:row>
      <xdr:rowOff>270000</xdr:rowOff>
    </xdr:to>
    <xdr:pic>
      <xdr:nvPicPr>
        <xdr:cNvPr id="89" name="Picture 88"/>
        <xdr:cNvPicPr>
          <a:picLocks noChangeAspect="1"/>
        </xdr:cNvPicPr>
      </xdr:nvPicPr>
      <xdr:blipFill>
        <a:blip r:embed="rId86" cstate="print"/>
        <a:stretch>
          <a:fillRect/>
        </a:stretch>
      </xdr:blipFill>
      <xdr:spPr>
        <a:xfrm>
          <a:off x="191770" y="26295350"/>
          <a:ext cx="236855" cy="225425"/>
        </a:xfrm>
        <a:prstGeom prst="rect">
          <a:avLst/>
        </a:prstGeom>
      </xdr:spPr>
    </xdr:pic>
    <xdr:clientData/>
  </xdr:twoCellAnchor>
  <xdr:twoCellAnchor>
    <xdr:from>
      <xdr:col>0</xdr:col>
      <xdr:colOff>192000</xdr:colOff>
      <xdr:row>87</xdr:row>
      <xdr:rowOff>45000</xdr:rowOff>
    </xdr:from>
    <xdr:to>
      <xdr:col>0</xdr:col>
      <xdr:colOff>428800</xdr:colOff>
      <xdr:row>87</xdr:row>
      <xdr:rowOff>270000</xdr:rowOff>
    </xdr:to>
    <xdr:pic>
      <xdr:nvPicPr>
        <xdr:cNvPr id="90" name="Picture 89"/>
        <xdr:cNvPicPr>
          <a:picLocks noChangeAspect="1"/>
        </xdr:cNvPicPr>
      </xdr:nvPicPr>
      <xdr:blipFill>
        <a:blip r:embed="rId87" cstate="print"/>
        <a:stretch>
          <a:fillRect/>
        </a:stretch>
      </xdr:blipFill>
      <xdr:spPr>
        <a:xfrm>
          <a:off x="191770" y="26600150"/>
          <a:ext cx="236855" cy="225425"/>
        </a:xfrm>
        <a:prstGeom prst="rect">
          <a:avLst/>
        </a:prstGeom>
      </xdr:spPr>
    </xdr:pic>
    <xdr:clientData/>
  </xdr:twoCellAnchor>
  <xdr:twoCellAnchor>
    <xdr:from>
      <xdr:col>0</xdr:col>
      <xdr:colOff>192000</xdr:colOff>
      <xdr:row>88</xdr:row>
      <xdr:rowOff>45000</xdr:rowOff>
    </xdr:from>
    <xdr:to>
      <xdr:col>0</xdr:col>
      <xdr:colOff>428800</xdr:colOff>
      <xdr:row>88</xdr:row>
      <xdr:rowOff>270000</xdr:rowOff>
    </xdr:to>
    <xdr:pic>
      <xdr:nvPicPr>
        <xdr:cNvPr id="91" name="Picture 90"/>
        <xdr:cNvPicPr>
          <a:picLocks noChangeAspect="1"/>
        </xdr:cNvPicPr>
      </xdr:nvPicPr>
      <xdr:blipFill>
        <a:blip r:embed="rId88" cstate="print"/>
        <a:stretch>
          <a:fillRect/>
        </a:stretch>
      </xdr:blipFill>
      <xdr:spPr>
        <a:xfrm>
          <a:off x="191770" y="26904950"/>
          <a:ext cx="236855" cy="225425"/>
        </a:xfrm>
        <a:prstGeom prst="rect">
          <a:avLst/>
        </a:prstGeom>
      </xdr:spPr>
    </xdr:pic>
    <xdr:clientData/>
  </xdr:twoCellAnchor>
  <xdr:twoCellAnchor>
    <xdr:from>
      <xdr:col>0</xdr:col>
      <xdr:colOff>192000</xdr:colOff>
      <xdr:row>89</xdr:row>
      <xdr:rowOff>45000</xdr:rowOff>
    </xdr:from>
    <xdr:to>
      <xdr:col>0</xdr:col>
      <xdr:colOff>428800</xdr:colOff>
      <xdr:row>89</xdr:row>
      <xdr:rowOff>270000</xdr:rowOff>
    </xdr:to>
    <xdr:pic>
      <xdr:nvPicPr>
        <xdr:cNvPr id="92" name="Picture 91"/>
        <xdr:cNvPicPr>
          <a:picLocks noChangeAspect="1"/>
        </xdr:cNvPicPr>
      </xdr:nvPicPr>
      <xdr:blipFill>
        <a:blip r:embed="rId89" cstate="print"/>
        <a:stretch>
          <a:fillRect/>
        </a:stretch>
      </xdr:blipFill>
      <xdr:spPr>
        <a:xfrm>
          <a:off x="191770" y="27209750"/>
          <a:ext cx="236855" cy="225425"/>
        </a:xfrm>
        <a:prstGeom prst="rect">
          <a:avLst/>
        </a:prstGeom>
      </xdr:spPr>
    </xdr:pic>
    <xdr:clientData/>
  </xdr:twoCellAnchor>
  <xdr:twoCellAnchor>
    <xdr:from>
      <xdr:col>0</xdr:col>
      <xdr:colOff>192000</xdr:colOff>
      <xdr:row>90</xdr:row>
      <xdr:rowOff>45000</xdr:rowOff>
    </xdr:from>
    <xdr:to>
      <xdr:col>0</xdr:col>
      <xdr:colOff>428800</xdr:colOff>
      <xdr:row>90</xdr:row>
      <xdr:rowOff>270000</xdr:rowOff>
    </xdr:to>
    <xdr:pic>
      <xdr:nvPicPr>
        <xdr:cNvPr id="93" name="Picture 92"/>
        <xdr:cNvPicPr>
          <a:picLocks noChangeAspect="1"/>
        </xdr:cNvPicPr>
      </xdr:nvPicPr>
      <xdr:blipFill>
        <a:blip r:embed="rId90" cstate="print"/>
        <a:stretch>
          <a:fillRect/>
        </a:stretch>
      </xdr:blipFill>
      <xdr:spPr>
        <a:xfrm>
          <a:off x="191770" y="27514550"/>
          <a:ext cx="236855" cy="225425"/>
        </a:xfrm>
        <a:prstGeom prst="rect">
          <a:avLst/>
        </a:prstGeom>
      </xdr:spPr>
    </xdr:pic>
    <xdr:clientData/>
  </xdr:twoCellAnchor>
  <xdr:twoCellAnchor>
    <xdr:from>
      <xdr:col>0</xdr:col>
      <xdr:colOff>192000</xdr:colOff>
      <xdr:row>91</xdr:row>
      <xdr:rowOff>45000</xdr:rowOff>
    </xdr:from>
    <xdr:to>
      <xdr:col>0</xdr:col>
      <xdr:colOff>428800</xdr:colOff>
      <xdr:row>91</xdr:row>
      <xdr:rowOff>270000</xdr:rowOff>
    </xdr:to>
    <xdr:pic>
      <xdr:nvPicPr>
        <xdr:cNvPr id="94" name="Picture 93"/>
        <xdr:cNvPicPr>
          <a:picLocks noChangeAspect="1"/>
        </xdr:cNvPicPr>
      </xdr:nvPicPr>
      <xdr:blipFill>
        <a:blip r:embed="rId91" cstate="print"/>
        <a:stretch>
          <a:fillRect/>
        </a:stretch>
      </xdr:blipFill>
      <xdr:spPr>
        <a:xfrm>
          <a:off x="191770" y="27819350"/>
          <a:ext cx="236855" cy="225425"/>
        </a:xfrm>
        <a:prstGeom prst="rect">
          <a:avLst/>
        </a:prstGeom>
      </xdr:spPr>
    </xdr:pic>
    <xdr:clientData/>
  </xdr:twoCellAnchor>
  <xdr:twoCellAnchor>
    <xdr:from>
      <xdr:col>0</xdr:col>
      <xdr:colOff>192000</xdr:colOff>
      <xdr:row>92</xdr:row>
      <xdr:rowOff>45000</xdr:rowOff>
    </xdr:from>
    <xdr:to>
      <xdr:col>0</xdr:col>
      <xdr:colOff>428800</xdr:colOff>
      <xdr:row>92</xdr:row>
      <xdr:rowOff>270000</xdr:rowOff>
    </xdr:to>
    <xdr:pic>
      <xdr:nvPicPr>
        <xdr:cNvPr id="95" name="Picture 94"/>
        <xdr:cNvPicPr>
          <a:picLocks noChangeAspect="1"/>
        </xdr:cNvPicPr>
      </xdr:nvPicPr>
      <xdr:blipFill>
        <a:blip r:embed="rId92" cstate="print"/>
        <a:stretch>
          <a:fillRect/>
        </a:stretch>
      </xdr:blipFill>
      <xdr:spPr>
        <a:xfrm>
          <a:off x="191770" y="28124150"/>
          <a:ext cx="236855" cy="225425"/>
        </a:xfrm>
        <a:prstGeom prst="rect">
          <a:avLst/>
        </a:prstGeom>
      </xdr:spPr>
    </xdr:pic>
    <xdr:clientData/>
  </xdr:twoCellAnchor>
  <xdr:twoCellAnchor>
    <xdr:from>
      <xdr:col>0</xdr:col>
      <xdr:colOff>192000</xdr:colOff>
      <xdr:row>93</xdr:row>
      <xdr:rowOff>45000</xdr:rowOff>
    </xdr:from>
    <xdr:to>
      <xdr:col>0</xdr:col>
      <xdr:colOff>428800</xdr:colOff>
      <xdr:row>93</xdr:row>
      <xdr:rowOff>270000</xdr:rowOff>
    </xdr:to>
    <xdr:pic>
      <xdr:nvPicPr>
        <xdr:cNvPr id="96" name="Picture 95"/>
        <xdr:cNvPicPr>
          <a:picLocks noChangeAspect="1"/>
        </xdr:cNvPicPr>
      </xdr:nvPicPr>
      <xdr:blipFill>
        <a:blip r:embed="rId93" cstate="print"/>
        <a:stretch>
          <a:fillRect/>
        </a:stretch>
      </xdr:blipFill>
      <xdr:spPr>
        <a:xfrm>
          <a:off x="191770" y="28428950"/>
          <a:ext cx="236855" cy="225425"/>
        </a:xfrm>
        <a:prstGeom prst="rect">
          <a:avLst/>
        </a:prstGeom>
      </xdr:spPr>
    </xdr:pic>
    <xdr:clientData/>
  </xdr:twoCellAnchor>
  <xdr:twoCellAnchor>
    <xdr:from>
      <xdr:col>0</xdr:col>
      <xdr:colOff>192000</xdr:colOff>
      <xdr:row>94</xdr:row>
      <xdr:rowOff>45000</xdr:rowOff>
    </xdr:from>
    <xdr:to>
      <xdr:col>0</xdr:col>
      <xdr:colOff>428800</xdr:colOff>
      <xdr:row>94</xdr:row>
      <xdr:rowOff>270000</xdr:rowOff>
    </xdr:to>
    <xdr:pic>
      <xdr:nvPicPr>
        <xdr:cNvPr id="97" name="Picture 96"/>
        <xdr:cNvPicPr>
          <a:picLocks noChangeAspect="1"/>
        </xdr:cNvPicPr>
      </xdr:nvPicPr>
      <xdr:blipFill>
        <a:blip r:embed="rId94" cstate="print"/>
        <a:stretch>
          <a:fillRect/>
        </a:stretch>
      </xdr:blipFill>
      <xdr:spPr>
        <a:xfrm>
          <a:off x="191770" y="28733750"/>
          <a:ext cx="236855" cy="225425"/>
        </a:xfrm>
        <a:prstGeom prst="rect">
          <a:avLst/>
        </a:prstGeom>
      </xdr:spPr>
    </xdr:pic>
    <xdr:clientData/>
  </xdr:twoCellAnchor>
  <xdr:twoCellAnchor>
    <xdr:from>
      <xdr:col>0</xdr:col>
      <xdr:colOff>192000</xdr:colOff>
      <xdr:row>95</xdr:row>
      <xdr:rowOff>45000</xdr:rowOff>
    </xdr:from>
    <xdr:to>
      <xdr:col>0</xdr:col>
      <xdr:colOff>428800</xdr:colOff>
      <xdr:row>95</xdr:row>
      <xdr:rowOff>270000</xdr:rowOff>
    </xdr:to>
    <xdr:pic>
      <xdr:nvPicPr>
        <xdr:cNvPr id="98" name="Picture 97"/>
        <xdr:cNvPicPr>
          <a:picLocks noChangeAspect="1"/>
        </xdr:cNvPicPr>
      </xdr:nvPicPr>
      <xdr:blipFill>
        <a:blip r:embed="rId95" cstate="print"/>
        <a:stretch>
          <a:fillRect/>
        </a:stretch>
      </xdr:blipFill>
      <xdr:spPr>
        <a:xfrm>
          <a:off x="191770" y="29038550"/>
          <a:ext cx="236855" cy="225425"/>
        </a:xfrm>
        <a:prstGeom prst="rect">
          <a:avLst/>
        </a:prstGeom>
      </xdr:spPr>
    </xdr:pic>
    <xdr:clientData/>
  </xdr:twoCellAnchor>
  <xdr:twoCellAnchor>
    <xdr:from>
      <xdr:col>0</xdr:col>
      <xdr:colOff>192000</xdr:colOff>
      <xdr:row>96</xdr:row>
      <xdr:rowOff>45000</xdr:rowOff>
    </xdr:from>
    <xdr:to>
      <xdr:col>0</xdr:col>
      <xdr:colOff>428800</xdr:colOff>
      <xdr:row>96</xdr:row>
      <xdr:rowOff>270000</xdr:rowOff>
    </xdr:to>
    <xdr:pic>
      <xdr:nvPicPr>
        <xdr:cNvPr id="99" name="Picture 98"/>
        <xdr:cNvPicPr>
          <a:picLocks noChangeAspect="1"/>
        </xdr:cNvPicPr>
      </xdr:nvPicPr>
      <xdr:blipFill>
        <a:blip r:embed="rId96" cstate="print"/>
        <a:stretch>
          <a:fillRect/>
        </a:stretch>
      </xdr:blipFill>
      <xdr:spPr>
        <a:xfrm>
          <a:off x="191770" y="29343350"/>
          <a:ext cx="236855" cy="225425"/>
        </a:xfrm>
        <a:prstGeom prst="rect">
          <a:avLst/>
        </a:prstGeom>
      </xdr:spPr>
    </xdr:pic>
    <xdr:clientData/>
  </xdr:twoCellAnchor>
  <xdr:twoCellAnchor>
    <xdr:from>
      <xdr:col>0</xdr:col>
      <xdr:colOff>192000</xdr:colOff>
      <xdr:row>97</xdr:row>
      <xdr:rowOff>45000</xdr:rowOff>
    </xdr:from>
    <xdr:to>
      <xdr:col>0</xdr:col>
      <xdr:colOff>428800</xdr:colOff>
      <xdr:row>97</xdr:row>
      <xdr:rowOff>270000</xdr:rowOff>
    </xdr:to>
    <xdr:pic>
      <xdr:nvPicPr>
        <xdr:cNvPr id="100" name="Picture 99"/>
        <xdr:cNvPicPr>
          <a:picLocks noChangeAspect="1"/>
        </xdr:cNvPicPr>
      </xdr:nvPicPr>
      <xdr:blipFill>
        <a:blip r:embed="rId97" cstate="print"/>
        <a:stretch>
          <a:fillRect/>
        </a:stretch>
      </xdr:blipFill>
      <xdr:spPr>
        <a:xfrm>
          <a:off x="191770" y="29648150"/>
          <a:ext cx="236855" cy="225425"/>
        </a:xfrm>
        <a:prstGeom prst="rect">
          <a:avLst/>
        </a:prstGeom>
      </xdr:spPr>
    </xdr:pic>
    <xdr:clientData/>
  </xdr:twoCellAnchor>
  <xdr:twoCellAnchor>
    <xdr:from>
      <xdr:col>0</xdr:col>
      <xdr:colOff>192000</xdr:colOff>
      <xdr:row>98</xdr:row>
      <xdr:rowOff>45000</xdr:rowOff>
    </xdr:from>
    <xdr:to>
      <xdr:col>0</xdr:col>
      <xdr:colOff>428800</xdr:colOff>
      <xdr:row>98</xdr:row>
      <xdr:rowOff>270000</xdr:rowOff>
    </xdr:to>
    <xdr:pic>
      <xdr:nvPicPr>
        <xdr:cNvPr id="101" name="Picture 100"/>
        <xdr:cNvPicPr>
          <a:picLocks noChangeAspect="1"/>
        </xdr:cNvPicPr>
      </xdr:nvPicPr>
      <xdr:blipFill>
        <a:blip r:embed="rId98" cstate="print"/>
        <a:stretch>
          <a:fillRect/>
        </a:stretch>
      </xdr:blipFill>
      <xdr:spPr>
        <a:xfrm>
          <a:off x="191770" y="29952950"/>
          <a:ext cx="236855" cy="225425"/>
        </a:xfrm>
        <a:prstGeom prst="rect">
          <a:avLst/>
        </a:prstGeom>
      </xdr:spPr>
    </xdr:pic>
    <xdr:clientData/>
  </xdr:twoCellAnchor>
  <xdr:twoCellAnchor>
    <xdr:from>
      <xdr:col>0</xdr:col>
      <xdr:colOff>192000</xdr:colOff>
      <xdr:row>99</xdr:row>
      <xdr:rowOff>45000</xdr:rowOff>
    </xdr:from>
    <xdr:to>
      <xdr:col>0</xdr:col>
      <xdr:colOff>428800</xdr:colOff>
      <xdr:row>99</xdr:row>
      <xdr:rowOff>270000</xdr:rowOff>
    </xdr:to>
    <xdr:pic>
      <xdr:nvPicPr>
        <xdr:cNvPr id="102" name="Picture 101"/>
        <xdr:cNvPicPr>
          <a:picLocks noChangeAspect="1"/>
        </xdr:cNvPicPr>
      </xdr:nvPicPr>
      <xdr:blipFill>
        <a:blip r:embed="rId99" cstate="print"/>
        <a:stretch>
          <a:fillRect/>
        </a:stretch>
      </xdr:blipFill>
      <xdr:spPr>
        <a:xfrm>
          <a:off x="191770" y="30257750"/>
          <a:ext cx="236855" cy="225425"/>
        </a:xfrm>
        <a:prstGeom prst="rect">
          <a:avLst/>
        </a:prstGeom>
      </xdr:spPr>
    </xdr:pic>
    <xdr:clientData/>
  </xdr:twoCellAnchor>
  <xdr:twoCellAnchor>
    <xdr:from>
      <xdr:col>0</xdr:col>
      <xdr:colOff>192000</xdr:colOff>
      <xdr:row>100</xdr:row>
      <xdr:rowOff>45000</xdr:rowOff>
    </xdr:from>
    <xdr:to>
      <xdr:col>0</xdr:col>
      <xdr:colOff>428800</xdr:colOff>
      <xdr:row>100</xdr:row>
      <xdr:rowOff>270000</xdr:rowOff>
    </xdr:to>
    <xdr:pic>
      <xdr:nvPicPr>
        <xdr:cNvPr id="103" name="Picture 102"/>
        <xdr:cNvPicPr>
          <a:picLocks noChangeAspect="1"/>
        </xdr:cNvPicPr>
      </xdr:nvPicPr>
      <xdr:blipFill>
        <a:blip r:embed="rId100" cstate="print"/>
        <a:stretch>
          <a:fillRect/>
        </a:stretch>
      </xdr:blipFill>
      <xdr:spPr>
        <a:xfrm>
          <a:off x="191770" y="30562550"/>
          <a:ext cx="236855" cy="225425"/>
        </a:xfrm>
        <a:prstGeom prst="rect">
          <a:avLst/>
        </a:prstGeom>
      </xdr:spPr>
    </xdr:pic>
    <xdr:clientData/>
  </xdr:twoCellAnchor>
  <xdr:twoCellAnchor>
    <xdr:from>
      <xdr:col>0</xdr:col>
      <xdr:colOff>192000</xdr:colOff>
      <xdr:row>101</xdr:row>
      <xdr:rowOff>45000</xdr:rowOff>
    </xdr:from>
    <xdr:to>
      <xdr:col>0</xdr:col>
      <xdr:colOff>428800</xdr:colOff>
      <xdr:row>101</xdr:row>
      <xdr:rowOff>270000</xdr:rowOff>
    </xdr:to>
    <xdr:pic>
      <xdr:nvPicPr>
        <xdr:cNvPr id="104" name="Picture 103"/>
        <xdr:cNvPicPr>
          <a:picLocks noChangeAspect="1"/>
        </xdr:cNvPicPr>
      </xdr:nvPicPr>
      <xdr:blipFill>
        <a:blip r:embed="rId101" cstate="print"/>
        <a:stretch>
          <a:fillRect/>
        </a:stretch>
      </xdr:blipFill>
      <xdr:spPr>
        <a:xfrm>
          <a:off x="191770" y="30867350"/>
          <a:ext cx="236855" cy="225425"/>
        </a:xfrm>
        <a:prstGeom prst="rect">
          <a:avLst/>
        </a:prstGeom>
      </xdr:spPr>
    </xdr:pic>
    <xdr:clientData/>
  </xdr:twoCellAnchor>
  <xdr:twoCellAnchor>
    <xdr:from>
      <xdr:col>0</xdr:col>
      <xdr:colOff>192000</xdr:colOff>
      <xdr:row>102</xdr:row>
      <xdr:rowOff>45000</xdr:rowOff>
    </xdr:from>
    <xdr:to>
      <xdr:col>0</xdr:col>
      <xdr:colOff>428800</xdr:colOff>
      <xdr:row>102</xdr:row>
      <xdr:rowOff>270000</xdr:rowOff>
    </xdr:to>
    <xdr:pic>
      <xdr:nvPicPr>
        <xdr:cNvPr id="105" name="Picture 104"/>
        <xdr:cNvPicPr>
          <a:picLocks noChangeAspect="1"/>
        </xdr:cNvPicPr>
      </xdr:nvPicPr>
      <xdr:blipFill>
        <a:blip r:embed="rId102" cstate="print"/>
        <a:stretch>
          <a:fillRect/>
        </a:stretch>
      </xdr:blipFill>
      <xdr:spPr>
        <a:xfrm>
          <a:off x="191770" y="31172150"/>
          <a:ext cx="236855" cy="225425"/>
        </a:xfrm>
        <a:prstGeom prst="rect">
          <a:avLst/>
        </a:prstGeom>
      </xdr:spPr>
    </xdr:pic>
    <xdr:clientData/>
  </xdr:twoCellAnchor>
  <xdr:twoCellAnchor>
    <xdr:from>
      <xdr:col>0</xdr:col>
      <xdr:colOff>192000</xdr:colOff>
      <xdr:row>103</xdr:row>
      <xdr:rowOff>45000</xdr:rowOff>
    </xdr:from>
    <xdr:to>
      <xdr:col>0</xdr:col>
      <xdr:colOff>428800</xdr:colOff>
      <xdr:row>103</xdr:row>
      <xdr:rowOff>270000</xdr:rowOff>
    </xdr:to>
    <xdr:pic>
      <xdr:nvPicPr>
        <xdr:cNvPr id="106" name="Picture 105"/>
        <xdr:cNvPicPr>
          <a:picLocks noChangeAspect="1"/>
        </xdr:cNvPicPr>
      </xdr:nvPicPr>
      <xdr:blipFill>
        <a:blip r:embed="rId103" cstate="print"/>
        <a:stretch>
          <a:fillRect/>
        </a:stretch>
      </xdr:blipFill>
      <xdr:spPr>
        <a:xfrm>
          <a:off x="191770" y="31476950"/>
          <a:ext cx="236855" cy="225425"/>
        </a:xfrm>
        <a:prstGeom prst="rect">
          <a:avLst/>
        </a:prstGeom>
      </xdr:spPr>
    </xdr:pic>
    <xdr:clientData/>
  </xdr:twoCellAnchor>
  <xdr:twoCellAnchor>
    <xdr:from>
      <xdr:col>0</xdr:col>
      <xdr:colOff>192000</xdr:colOff>
      <xdr:row>104</xdr:row>
      <xdr:rowOff>45000</xdr:rowOff>
    </xdr:from>
    <xdr:to>
      <xdr:col>0</xdr:col>
      <xdr:colOff>428800</xdr:colOff>
      <xdr:row>104</xdr:row>
      <xdr:rowOff>270000</xdr:rowOff>
    </xdr:to>
    <xdr:pic>
      <xdr:nvPicPr>
        <xdr:cNvPr id="107" name="Picture 106"/>
        <xdr:cNvPicPr>
          <a:picLocks noChangeAspect="1"/>
        </xdr:cNvPicPr>
      </xdr:nvPicPr>
      <xdr:blipFill>
        <a:blip r:embed="rId104" cstate="print"/>
        <a:stretch>
          <a:fillRect/>
        </a:stretch>
      </xdr:blipFill>
      <xdr:spPr>
        <a:xfrm>
          <a:off x="191770" y="31781750"/>
          <a:ext cx="236855" cy="225425"/>
        </a:xfrm>
        <a:prstGeom prst="rect">
          <a:avLst/>
        </a:prstGeom>
      </xdr:spPr>
    </xdr:pic>
    <xdr:clientData/>
  </xdr:twoCellAnchor>
  <xdr:twoCellAnchor>
    <xdr:from>
      <xdr:col>0</xdr:col>
      <xdr:colOff>192000</xdr:colOff>
      <xdr:row>109</xdr:row>
      <xdr:rowOff>45000</xdr:rowOff>
    </xdr:from>
    <xdr:to>
      <xdr:col>0</xdr:col>
      <xdr:colOff>428800</xdr:colOff>
      <xdr:row>109</xdr:row>
      <xdr:rowOff>270000</xdr:rowOff>
    </xdr:to>
    <xdr:pic>
      <xdr:nvPicPr>
        <xdr:cNvPr id="108" name="Picture 107"/>
        <xdr:cNvPicPr>
          <a:picLocks noChangeAspect="1"/>
        </xdr:cNvPicPr>
      </xdr:nvPicPr>
      <xdr:blipFill>
        <a:blip r:embed="rId42" cstate="print"/>
        <a:stretch>
          <a:fillRect/>
        </a:stretch>
      </xdr:blipFill>
      <xdr:spPr>
        <a:xfrm>
          <a:off x="191770" y="33305750"/>
          <a:ext cx="236855" cy="225425"/>
        </a:xfrm>
        <a:prstGeom prst="rect">
          <a:avLst/>
        </a:prstGeom>
      </xdr:spPr>
    </xdr:pic>
    <xdr:clientData/>
  </xdr:twoCellAnchor>
  <xdr:twoCellAnchor>
    <xdr:from>
      <xdr:col>0</xdr:col>
      <xdr:colOff>192000</xdr:colOff>
      <xdr:row>105</xdr:row>
      <xdr:rowOff>45000</xdr:rowOff>
    </xdr:from>
    <xdr:to>
      <xdr:col>0</xdr:col>
      <xdr:colOff>428800</xdr:colOff>
      <xdr:row>105</xdr:row>
      <xdr:rowOff>270000</xdr:rowOff>
    </xdr:to>
    <xdr:pic>
      <xdr:nvPicPr>
        <xdr:cNvPr id="109" name="Picture 108"/>
        <xdr:cNvPicPr>
          <a:picLocks noChangeAspect="1"/>
        </xdr:cNvPicPr>
      </xdr:nvPicPr>
      <xdr:blipFill>
        <a:blip r:embed="rId105" cstate="print"/>
        <a:stretch>
          <a:fillRect/>
        </a:stretch>
      </xdr:blipFill>
      <xdr:spPr>
        <a:xfrm>
          <a:off x="191770" y="32086550"/>
          <a:ext cx="236855" cy="225425"/>
        </a:xfrm>
        <a:prstGeom prst="rect">
          <a:avLst/>
        </a:prstGeom>
      </xdr:spPr>
    </xdr:pic>
    <xdr:clientData/>
  </xdr:twoCellAnchor>
  <xdr:twoCellAnchor>
    <xdr:from>
      <xdr:col>0</xdr:col>
      <xdr:colOff>192000</xdr:colOff>
      <xdr:row>106</xdr:row>
      <xdr:rowOff>45000</xdr:rowOff>
    </xdr:from>
    <xdr:to>
      <xdr:col>0</xdr:col>
      <xdr:colOff>428800</xdr:colOff>
      <xdr:row>106</xdr:row>
      <xdr:rowOff>270000</xdr:rowOff>
    </xdr:to>
    <xdr:pic>
      <xdr:nvPicPr>
        <xdr:cNvPr id="110" name="Picture 109"/>
        <xdr:cNvPicPr>
          <a:picLocks noChangeAspect="1"/>
        </xdr:cNvPicPr>
      </xdr:nvPicPr>
      <xdr:blipFill>
        <a:blip r:embed="rId106" cstate="print"/>
        <a:stretch>
          <a:fillRect/>
        </a:stretch>
      </xdr:blipFill>
      <xdr:spPr>
        <a:xfrm>
          <a:off x="191770" y="32391350"/>
          <a:ext cx="236855" cy="225425"/>
        </a:xfrm>
        <a:prstGeom prst="rect">
          <a:avLst/>
        </a:prstGeom>
      </xdr:spPr>
    </xdr:pic>
    <xdr:clientData/>
  </xdr:twoCellAnchor>
  <xdr:twoCellAnchor>
    <xdr:from>
      <xdr:col>0</xdr:col>
      <xdr:colOff>192000</xdr:colOff>
      <xdr:row>107</xdr:row>
      <xdr:rowOff>45000</xdr:rowOff>
    </xdr:from>
    <xdr:to>
      <xdr:col>0</xdr:col>
      <xdr:colOff>428800</xdr:colOff>
      <xdr:row>107</xdr:row>
      <xdr:rowOff>270000</xdr:rowOff>
    </xdr:to>
    <xdr:pic>
      <xdr:nvPicPr>
        <xdr:cNvPr id="111" name="Picture 110"/>
        <xdr:cNvPicPr>
          <a:picLocks noChangeAspect="1"/>
        </xdr:cNvPicPr>
      </xdr:nvPicPr>
      <xdr:blipFill>
        <a:blip r:embed="rId107" cstate="print"/>
        <a:stretch>
          <a:fillRect/>
        </a:stretch>
      </xdr:blipFill>
      <xdr:spPr>
        <a:xfrm>
          <a:off x="191770" y="32696150"/>
          <a:ext cx="236855" cy="225425"/>
        </a:xfrm>
        <a:prstGeom prst="rect">
          <a:avLst/>
        </a:prstGeom>
      </xdr:spPr>
    </xdr:pic>
    <xdr:clientData/>
  </xdr:twoCellAnchor>
  <xdr:twoCellAnchor>
    <xdr:from>
      <xdr:col>0</xdr:col>
      <xdr:colOff>192000</xdr:colOff>
      <xdr:row>108</xdr:row>
      <xdr:rowOff>45000</xdr:rowOff>
    </xdr:from>
    <xdr:to>
      <xdr:col>0</xdr:col>
      <xdr:colOff>428800</xdr:colOff>
      <xdr:row>108</xdr:row>
      <xdr:rowOff>270000</xdr:rowOff>
    </xdr:to>
    <xdr:pic>
      <xdr:nvPicPr>
        <xdr:cNvPr id="112" name="Picture 111"/>
        <xdr:cNvPicPr>
          <a:picLocks noChangeAspect="1"/>
        </xdr:cNvPicPr>
      </xdr:nvPicPr>
      <xdr:blipFill>
        <a:blip r:embed="rId108" cstate="print"/>
        <a:stretch>
          <a:fillRect/>
        </a:stretch>
      </xdr:blipFill>
      <xdr:spPr>
        <a:xfrm>
          <a:off x="191770" y="33000950"/>
          <a:ext cx="236855" cy="225425"/>
        </a:xfrm>
        <a:prstGeom prst="rect">
          <a:avLst/>
        </a:prstGeom>
      </xdr:spPr>
    </xdr:pic>
    <xdr:clientData/>
  </xdr:twoCellAnchor>
  <xdr:twoCellAnchor>
    <xdr:from>
      <xdr:col>0</xdr:col>
      <xdr:colOff>192000</xdr:colOff>
      <xdr:row>110</xdr:row>
      <xdr:rowOff>45000</xdr:rowOff>
    </xdr:from>
    <xdr:to>
      <xdr:col>0</xdr:col>
      <xdr:colOff>428800</xdr:colOff>
      <xdr:row>110</xdr:row>
      <xdr:rowOff>270000</xdr:rowOff>
    </xdr:to>
    <xdr:pic>
      <xdr:nvPicPr>
        <xdr:cNvPr id="113" name="Picture 112"/>
        <xdr:cNvPicPr>
          <a:picLocks noChangeAspect="1"/>
        </xdr:cNvPicPr>
      </xdr:nvPicPr>
      <xdr:blipFill>
        <a:blip r:embed="rId109" cstate="print"/>
        <a:stretch>
          <a:fillRect/>
        </a:stretch>
      </xdr:blipFill>
      <xdr:spPr>
        <a:xfrm>
          <a:off x="191770" y="33610550"/>
          <a:ext cx="236855" cy="225425"/>
        </a:xfrm>
        <a:prstGeom prst="rect">
          <a:avLst/>
        </a:prstGeom>
      </xdr:spPr>
    </xdr:pic>
    <xdr:clientData/>
  </xdr:twoCellAnchor>
  <xdr:twoCellAnchor>
    <xdr:from>
      <xdr:col>0</xdr:col>
      <xdr:colOff>192000</xdr:colOff>
      <xdr:row>111</xdr:row>
      <xdr:rowOff>45000</xdr:rowOff>
    </xdr:from>
    <xdr:to>
      <xdr:col>0</xdr:col>
      <xdr:colOff>428800</xdr:colOff>
      <xdr:row>111</xdr:row>
      <xdr:rowOff>270000</xdr:rowOff>
    </xdr:to>
    <xdr:pic>
      <xdr:nvPicPr>
        <xdr:cNvPr id="114" name="Picture 113"/>
        <xdr:cNvPicPr>
          <a:picLocks noChangeAspect="1"/>
        </xdr:cNvPicPr>
      </xdr:nvPicPr>
      <xdr:blipFill>
        <a:blip r:embed="rId110" cstate="print"/>
        <a:stretch>
          <a:fillRect/>
        </a:stretch>
      </xdr:blipFill>
      <xdr:spPr>
        <a:xfrm>
          <a:off x="191770" y="33915350"/>
          <a:ext cx="236855" cy="225425"/>
        </a:xfrm>
        <a:prstGeom prst="rect">
          <a:avLst/>
        </a:prstGeom>
      </xdr:spPr>
    </xdr:pic>
    <xdr:clientData/>
  </xdr:twoCellAnchor>
  <xdr:twoCellAnchor>
    <xdr:from>
      <xdr:col>0</xdr:col>
      <xdr:colOff>192000</xdr:colOff>
      <xdr:row>112</xdr:row>
      <xdr:rowOff>45000</xdr:rowOff>
    </xdr:from>
    <xdr:to>
      <xdr:col>0</xdr:col>
      <xdr:colOff>428800</xdr:colOff>
      <xdr:row>112</xdr:row>
      <xdr:rowOff>270000</xdr:rowOff>
    </xdr:to>
    <xdr:pic>
      <xdr:nvPicPr>
        <xdr:cNvPr id="115" name="Picture 114"/>
        <xdr:cNvPicPr>
          <a:picLocks noChangeAspect="1"/>
        </xdr:cNvPicPr>
      </xdr:nvPicPr>
      <xdr:blipFill>
        <a:blip r:embed="rId111" cstate="print"/>
        <a:stretch>
          <a:fillRect/>
        </a:stretch>
      </xdr:blipFill>
      <xdr:spPr>
        <a:xfrm>
          <a:off x="191770" y="34220150"/>
          <a:ext cx="236855" cy="225425"/>
        </a:xfrm>
        <a:prstGeom prst="rect">
          <a:avLst/>
        </a:prstGeom>
      </xdr:spPr>
    </xdr:pic>
    <xdr:clientData/>
  </xdr:twoCellAnchor>
  <xdr:twoCellAnchor>
    <xdr:from>
      <xdr:col>0</xdr:col>
      <xdr:colOff>192000</xdr:colOff>
      <xdr:row>113</xdr:row>
      <xdr:rowOff>45000</xdr:rowOff>
    </xdr:from>
    <xdr:to>
      <xdr:col>0</xdr:col>
      <xdr:colOff>428800</xdr:colOff>
      <xdr:row>113</xdr:row>
      <xdr:rowOff>270000</xdr:rowOff>
    </xdr:to>
    <xdr:pic>
      <xdr:nvPicPr>
        <xdr:cNvPr id="116" name="Picture 115"/>
        <xdr:cNvPicPr>
          <a:picLocks noChangeAspect="1"/>
        </xdr:cNvPicPr>
      </xdr:nvPicPr>
      <xdr:blipFill>
        <a:blip r:embed="rId112" cstate="print"/>
        <a:stretch>
          <a:fillRect/>
        </a:stretch>
      </xdr:blipFill>
      <xdr:spPr>
        <a:xfrm>
          <a:off x="191770" y="34524950"/>
          <a:ext cx="236855" cy="225425"/>
        </a:xfrm>
        <a:prstGeom prst="rect">
          <a:avLst/>
        </a:prstGeom>
      </xdr:spPr>
    </xdr:pic>
    <xdr:clientData/>
  </xdr:twoCellAnchor>
  <xdr:twoCellAnchor>
    <xdr:from>
      <xdr:col>0</xdr:col>
      <xdr:colOff>192000</xdr:colOff>
      <xdr:row>114</xdr:row>
      <xdr:rowOff>45000</xdr:rowOff>
    </xdr:from>
    <xdr:to>
      <xdr:col>0</xdr:col>
      <xdr:colOff>428800</xdr:colOff>
      <xdr:row>114</xdr:row>
      <xdr:rowOff>270000</xdr:rowOff>
    </xdr:to>
    <xdr:pic>
      <xdr:nvPicPr>
        <xdr:cNvPr id="117" name="Picture 116"/>
        <xdr:cNvPicPr>
          <a:picLocks noChangeAspect="1"/>
        </xdr:cNvPicPr>
      </xdr:nvPicPr>
      <xdr:blipFill>
        <a:blip r:embed="rId113" cstate="print"/>
        <a:stretch>
          <a:fillRect/>
        </a:stretch>
      </xdr:blipFill>
      <xdr:spPr>
        <a:xfrm>
          <a:off x="191770" y="34829750"/>
          <a:ext cx="236855" cy="225425"/>
        </a:xfrm>
        <a:prstGeom prst="rect">
          <a:avLst/>
        </a:prstGeom>
      </xdr:spPr>
    </xdr:pic>
    <xdr:clientData/>
  </xdr:twoCellAnchor>
  <xdr:twoCellAnchor>
    <xdr:from>
      <xdr:col>0</xdr:col>
      <xdr:colOff>192000</xdr:colOff>
      <xdr:row>115</xdr:row>
      <xdr:rowOff>45000</xdr:rowOff>
    </xdr:from>
    <xdr:to>
      <xdr:col>0</xdr:col>
      <xdr:colOff>428800</xdr:colOff>
      <xdr:row>115</xdr:row>
      <xdr:rowOff>270000</xdr:rowOff>
    </xdr:to>
    <xdr:pic>
      <xdr:nvPicPr>
        <xdr:cNvPr id="118" name="Picture 117"/>
        <xdr:cNvPicPr>
          <a:picLocks noChangeAspect="1"/>
        </xdr:cNvPicPr>
      </xdr:nvPicPr>
      <xdr:blipFill>
        <a:blip r:embed="rId114" cstate="print"/>
        <a:stretch>
          <a:fillRect/>
        </a:stretch>
      </xdr:blipFill>
      <xdr:spPr>
        <a:xfrm>
          <a:off x="191770" y="35134550"/>
          <a:ext cx="236855" cy="225425"/>
        </a:xfrm>
        <a:prstGeom prst="rect">
          <a:avLst/>
        </a:prstGeom>
      </xdr:spPr>
    </xdr:pic>
    <xdr:clientData/>
  </xdr:twoCellAnchor>
  <xdr:twoCellAnchor>
    <xdr:from>
      <xdr:col>0</xdr:col>
      <xdr:colOff>192000</xdr:colOff>
      <xdr:row>120</xdr:row>
      <xdr:rowOff>45000</xdr:rowOff>
    </xdr:from>
    <xdr:to>
      <xdr:col>0</xdr:col>
      <xdr:colOff>428800</xdr:colOff>
      <xdr:row>120</xdr:row>
      <xdr:rowOff>270000</xdr:rowOff>
    </xdr:to>
    <xdr:pic>
      <xdr:nvPicPr>
        <xdr:cNvPr id="119" name="Picture 118"/>
        <xdr:cNvPicPr>
          <a:picLocks noChangeAspect="1"/>
        </xdr:cNvPicPr>
      </xdr:nvPicPr>
      <xdr:blipFill>
        <a:blip r:embed="rId102" cstate="print"/>
        <a:stretch>
          <a:fillRect/>
        </a:stretch>
      </xdr:blipFill>
      <xdr:spPr>
        <a:xfrm>
          <a:off x="191770" y="36658550"/>
          <a:ext cx="236855" cy="225425"/>
        </a:xfrm>
        <a:prstGeom prst="rect">
          <a:avLst/>
        </a:prstGeom>
      </xdr:spPr>
    </xdr:pic>
    <xdr:clientData/>
  </xdr:twoCellAnchor>
  <xdr:twoCellAnchor>
    <xdr:from>
      <xdr:col>0</xdr:col>
      <xdr:colOff>192000</xdr:colOff>
      <xdr:row>116</xdr:row>
      <xdr:rowOff>45000</xdr:rowOff>
    </xdr:from>
    <xdr:to>
      <xdr:col>0</xdr:col>
      <xdr:colOff>428800</xdr:colOff>
      <xdr:row>116</xdr:row>
      <xdr:rowOff>270000</xdr:rowOff>
    </xdr:to>
    <xdr:pic>
      <xdr:nvPicPr>
        <xdr:cNvPr id="120" name="Picture 119"/>
        <xdr:cNvPicPr>
          <a:picLocks noChangeAspect="1"/>
        </xdr:cNvPicPr>
      </xdr:nvPicPr>
      <xdr:blipFill>
        <a:blip r:embed="rId115" cstate="print"/>
        <a:stretch>
          <a:fillRect/>
        </a:stretch>
      </xdr:blipFill>
      <xdr:spPr>
        <a:xfrm>
          <a:off x="191770" y="35439350"/>
          <a:ext cx="236855" cy="225425"/>
        </a:xfrm>
        <a:prstGeom prst="rect">
          <a:avLst/>
        </a:prstGeom>
      </xdr:spPr>
    </xdr:pic>
    <xdr:clientData/>
  </xdr:twoCellAnchor>
  <xdr:twoCellAnchor>
    <xdr:from>
      <xdr:col>0</xdr:col>
      <xdr:colOff>192000</xdr:colOff>
      <xdr:row>118</xdr:row>
      <xdr:rowOff>45000</xdr:rowOff>
    </xdr:from>
    <xdr:to>
      <xdr:col>0</xdr:col>
      <xdr:colOff>428800</xdr:colOff>
      <xdr:row>118</xdr:row>
      <xdr:rowOff>270000</xdr:rowOff>
    </xdr:to>
    <xdr:pic>
      <xdr:nvPicPr>
        <xdr:cNvPr id="121" name="Picture 120"/>
        <xdr:cNvPicPr>
          <a:picLocks noChangeAspect="1"/>
        </xdr:cNvPicPr>
      </xdr:nvPicPr>
      <xdr:blipFill>
        <a:blip r:embed="rId116" cstate="print"/>
        <a:stretch>
          <a:fillRect/>
        </a:stretch>
      </xdr:blipFill>
      <xdr:spPr>
        <a:xfrm>
          <a:off x="191770" y="36048950"/>
          <a:ext cx="236855" cy="225425"/>
        </a:xfrm>
        <a:prstGeom prst="rect">
          <a:avLst/>
        </a:prstGeom>
      </xdr:spPr>
    </xdr:pic>
    <xdr:clientData/>
  </xdr:twoCellAnchor>
  <xdr:twoCellAnchor>
    <xdr:from>
      <xdr:col>0</xdr:col>
      <xdr:colOff>192000</xdr:colOff>
      <xdr:row>117</xdr:row>
      <xdr:rowOff>45000</xdr:rowOff>
    </xdr:from>
    <xdr:to>
      <xdr:col>0</xdr:col>
      <xdr:colOff>428800</xdr:colOff>
      <xdr:row>117</xdr:row>
      <xdr:rowOff>270000</xdr:rowOff>
    </xdr:to>
    <xdr:pic>
      <xdr:nvPicPr>
        <xdr:cNvPr id="122" name="Picture 121"/>
        <xdr:cNvPicPr>
          <a:picLocks noChangeAspect="1"/>
        </xdr:cNvPicPr>
      </xdr:nvPicPr>
      <xdr:blipFill>
        <a:blip r:embed="rId117" cstate="print"/>
        <a:stretch>
          <a:fillRect/>
        </a:stretch>
      </xdr:blipFill>
      <xdr:spPr>
        <a:xfrm>
          <a:off x="191770" y="35744150"/>
          <a:ext cx="236855" cy="225425"/>
        </a:xfrm>
        <a:prstGeom prst="rect">
          <a:avLst/>
        </a:prstGeom>
      </xdr:spPr>
    </xdr:pic>
    <xdr:clientData/>
  </xdr:twoCellAnchor>
  <xdr:twoCellAnchor>
    <xdr:from>
      <xdr:col>0</xdr:col>
      <xdr:colOff>192000</xdr:colOff>
      <xdr:row>122</xdr:row>
      <xdr:rowOff>45000</xdr:rowOff>
    </xdr:from>
    <xdr:to>
      <xdr:col>0</xdr:col>
      <xdr:colOff>428800</xdr:colOff>
      <xdr:row>122</xdr:row>
      <xdr:rowOff>270000</xdr:rowOff>
    </xdr:to>
    <xdr:pic>
      <xdr:nvPicPr>
        <xdr:cNvPr id="123" name="Picture 122"/>
        <xdr:cNvPicPr>
          <a:picLocks noChangeAspect="1"/>
        </xdr:cNvPicPr>
      </xdr:nvPicPr>
      <xdr:blipFill>
        <a:blip r:embed="rId118" cstate="print"/>
        <a:stretch>
          <a:fillRect/>
        </a:stretch>
      </xdr:blipFill>
      <xdr:spPr>
        <a:xfrm>
          <a:off x="191770" y="37268150"/>
          <a:ext cx="236855" cy="225425"/>
        </a:xfrm>
        <a:prstGeom prst="rect">
          <a:avLst/>
        </a:prstGeom>
      </xdr:spPr>
    </xdr:pic>
    <xdr:clientData/>
  </xdr:twoCellAnchor>
  <xdr:twoCellAnchor>
    <xdr:from>
      <xdr:col>0</xdr:col>
      <xdr:colOff>192000</xdr:colOff>
      <xdr:row>121</xdr:row>
      <xdr:rowOff>45000</xdr:rowOff>
    </xdr:from>
    <xdr:to>
      <xdr:col>0</xdr:col>
      <xdr:colOff>428800</xdr:colOff>
      <xdr:row>121</xdr:row>
      <xdr:rowOff>270000</xdr:rowOff>
    </xdr:to>
    <xdr:pic>
      <xdr:nvPicPr>
        <xdr:cNvPr id="124" name="Picture 123"/>
        <xdr:cNvPicPr>
          <a:picLocks noChangeAspect="1"/>
        </xdr:cNvPicPr>
      </xdr:nvPicPr>
      <xdr:blipFill>
        <a:blip r:embed="rId119" cstate="print"/>
        <a:stretch>
          <a:fillRect/>
        </a:stretch>
      </xdr:blipFill>
      <xdr:spPr>
        <a:xfrm>
          <a:off x="191770" y="36963350"/>
          <a:ext cx="236855" cy="225425"/>
        </a:xfrm>
        <a:prstGeom prst="rect">
          <a:avLst/>
        </a:prstGeom>
      </xdr:spPr>
    </xdr:pic>
    <xdr:clientData/>
  </xdr:twoCellAnchor>
  <xdr:twoCellAnchor>
    <xdr:from>
      <xdr:col>0</xdr:col>
      <xdr:colOff>192000</xdr:colOff>
      <xdr:row>119</xdr:row>
      <xdr:rowOff>45000</xdr:rowOff>
    </xdr:from>
    <xdr:to>
      <xdr:col>0</xdr:col>
      <xdr:colOff>428800</xdr:colOff>
      <xdr:row>119</xdr:row>
      <xdr:rowOff>270000</xdr:rowOff>
    </xdr:to>
    <xdr:pic>
      <xdr:nvPicPr>
        <xdr:cNvPr id="125" name="Picture 124"/>
        <xdr:cNvPicPr>
          <a:picLocks noChangeAspect="1"/>
        </xdr:cNvPicPr>
      </xdr:nvPicPr>
      <xdr:blipFill>
        <a:blip r:embed="rId120" cstate="print"/>
        <a:stretch>
          <a:fillRect/>
        </a:stretch>
      </xdr:blipFill>
      <xdr:spPr>
        <a:xfrm>
          <a:off x="191770" y="36353750"/>
          <a:ext cx="236855" cy="225425"/>
        </a:xfrm>
        <a:prstGeom prst="rect">
          <a:avLst/>
        </a:prstGeom>
      </xdr:spPr>
    </xdr:pic>
    <xdr:clientData/>
  </xdr:twoCellAnchor>
  <xdr:twoCellAnchor>
    <xdr:from>
      <xdr:col>0</xdr:col>
      <xdr:colOff>192000</xdr:colOff>
      <xdr:row>123</xdr:row>
      <xdr:rowOff>45000</xdr:rowOff>
    </xdr:from>
    <xdr:to>
      <xdr:col>0</xdr:col>
      <xdr:colOff>428800</xdr:colOff>
      <xdr:row>123</xdr:row>
      <xdr:rowOff>270000</xdr:rowOff>
    </xdr:to>
    <xdr:pic>
      <xdr:nvPicPr>
        <xdr:cNvPr id="126" name="Picture 125"/>
        <xdr:cNvPicPr>
          <a:picLocks noChangeAspect="1"/>
        </xdr:cNvPicPr>
      </xdr:nvPicPr>
      <xdr:blipFill>
        <a:blip r:embed="rId121" cstate="print"/>
        <a:stretch>
          <a:fillRect/>
        </a:stretch>
      </xdr:blipFill>
      <xdr:spPr>
        <a:xfrm>
          <a:off x="191770" y="37572950"/>
          <a:ext cx="236855" cy="225425"/>
        </a:xfrm>
        <a:prstGeom prst="rect">
          <a:avLst/>
        </a:prstGeom>
      </xdr:spPr>
    </xdr:pic>
    <xdr:clientData/>
  </xdr:twoCellAnchor>
  <xdr:twoCellAnchor>
    <xdr:from>
      <xdr:col>0</xdr:col>
      <xdr:colOff>192000</xdr:colOff>
      <xdr:row>124</xdr:row>
      <xdr:rowOff>45000</xdr:rowOff>
    </xdr:from>
    <xdr:to>
      <xdr:col>0</xdr:col>
      <xdr:colOff>428800</xdr:colOff>
      <xdr:row>124</xdr:row>
      <xdr:rowOff>270000</xdr:rowOff>
    </xdr:to>
    <xdr:pic>
      <xdr:nvPicPr>
        <xdr:cNvPr id="127" name="Picture 126"/>
        <xdr:cNvPicPr>
          <a:picLocks noChangeAspect="1"/>
        </xdr:cNvPicPr>
      </xdr:nvPicPr>
      <xdr:blipFill>
        <a:blip r:embed="rId122" cstate="print"/>
        <a:stretch>
          <a:fillRect/>
        </a:stretch>
      </xdr:blipFill>
      <xdr:spPr>
        <a:xfrm>
          <a:off x="191770" y="37877750"/>
          <a:ext cx="236855" cy="225425"/>
        </a:xfrm>
        <a:prstGeom prst="rect">
          <a:avLst/>
        </a:prstGeom>
      </xdr:spPr>
    </xdr:pic>
    <xdr:clientData/>
  </xdr:twoCellAnchor>
  <xdr:twoCellAnchor>
    <xdr:from>
      <xdr:col>0</xdr:col>
      <xdr:colOff>192000</xdr:colOff>
      <xdr:row>125</xdr:row>
      <xdr:rowOff>45000</xdr:rowOff>
    </xdr:from>
    <xdr:to>
      <xdr:col>0</xdr:col>
      <xdr:colOff>428800</xdr:colOff>
      <xdr:row>125</xdr:row>
      <xdr:rowOff>270000</xdr:rowOff>
    </xdr:to>
    <xdr:pic>
      <xdr:nvPicPr>
        <xdr:cNvPr id="128" name="Picture 127"/>
        <xdr:cNvPicPr>
          <a:picLocks noChangeAspect="1"/>
        </xdr:cNvPicPr>
      </xdr:nvPicPr>
      <xdr:blipFill>
        <a:blip r:embed="rId123" cstate="print"/>
        <a:stretch>
          <a:fillRect/>
        </a:stretch>
      </xdr:blipFill>
      <xdr:spPr>
        <a:xfrm>
          <a:off x="191770" y="38182550"/>
          <a:ext cx="236855" cy="225425"/>
        </a:xfrm>
        <a:prstGeom prst="rect">
          <a:avLst/>
        </a:prstGeom>
      </xdr:spPr>
    </xdr:pic>
    <xdr:clientData/>
  </xdr:twoCellAnchor>
  <xdr:twoCellAnchor>
    <xdr:from>
      <xdr:col>0</xdr:col>
      <xdr:colOff>192000</xdr:colOff>
      <xdr:row>126</xdr:row>
      <xdr:rowOff>45000</xdr:rowOff>
    </xdr:from>
    <xdr:to>
      <xdr:col>0</xdr:col>
      <xdr:colOff>428800</xdr:colOff>
      <xdr:row>126</xdr:row>
      <xdr:rowOff>270000</xdr:rowOff>
    </xdr:to>
    <xdr:pic>
      <xdr:nvPicPr>
        <xdr:cNvPr id="129" name="Picture 128"/>
        <xdr:cNvPicPr>
          <a:picLocks noChangeAspect="1"/>
        </xdr:cNvPicPr>
      </xdr:nvPicPr>
      <xdr:blipFill>
        <a:blip r:embed="rId124" cstate="print"/>
        <a:stretch>
          <a:fillRect/>
        </a:stretch>
      </xdr:blipFill>
      <xdr:spPr>
        <a:xfrm>
          <a:off x="191770" y="38487350"/>
          <a:ext cx="236855" cy="225425"/>
        </a:xfrm>
        <a:prstGeom prst="rect">
          <a:avLst/>
        </a:prstGeom>
      </xdr:spPr>
    </xdr:pic>
    <xdr:clientData/>
  </xdr:twoCellAnchor>
  <xdr:twoCellAnchor>
    <xdr:from>
      <xdr:col>0</xdr:col>
      <xdr:colOff>192000</xdr:colOff>
      <xdr:row>127</xdr:row>
      <xdr:rowOff>45000</xdr:rowOff>
    </xdr:from>
    <xdr:to>
      <xdr:col>0</xdr:col>
      <xdr:colOff>428800</xdr:colOff>
      <xdr:row>127</xdr:row>
      <xdr:rowOff>270000</xdr:rowOff>
    </xdr:to>
    <xdr:pic>
      <xdr:nvPicPr>
        <xdr:cNvPr id="130" name="Picture 129"/>
        <xdr:cNvPicPr>
          <a:picLocks noChangeAspect="1"/>
        </xdr:cNvPicPr>
      </xdr:nvPicPr>
      <xdr:blipFill>
        <a:blip r:embed="rId125" cstate="print"/>
        <a:stretch>
          <a:fillRect/>
        </a:stretch>
      </xdr:blipFill>
      <xdr:spPr>
        <a:xfrm>
          <a:off x="191770" y="38792150"/>
          <a:ext cx="236855" cy="225425"/>
        </a:xfrm>
        <a:prstGeom prst="rect">
          <a:avLst/>
        </a:prstGeom>
      </xdr:spPr>
    </xdr:pic>
    <xdr:clientData/>
  </xdr:twoCellAnchor>
  <xdr:twoCellAnchor>
    <xdr:from>
      <xdr:col>0</xdr:col>
      <xdr:colOff>192000</xdr:colOff>
      <xdr:row>128</xdr:row>
      <xdr:rowOff>45000</xdr:rowOff>
    </xdr:from>
    <xdr:to>
      <xdr:col>0</xdr:col>
      <xdr:colOff>428800</xdr:colOff>
      <xdr:row>128</xdr:row>
      <xdr:rowOff>270000</xdr:rowOff>
    </xdr:to>
    <xdr:pic>
      <xdr:nvPicPr>
        <xdr:cNvPr id="131" name="Picture 130"/>
        <xdr:cNvPicPr>
          <a:picLocks noChangeAspect="1"/>
        </xdr:cNvPicPr>
      </xdr:nvPicPr>
      <xdr:blipFill>
        <a:blip r:embed="rId126" cstate="print"/>
        <a:stretch>
          <a:fillRect/>
        </a:stretch>
      </xdr:blipFill>
      <xdr:spPr>
        <a:xfrm>
          <a:off x="191770" y="39096950"/>
          <a:ext cx="236855" cy="225425"/>
        </a:xfrm>
        <a:prstGeom prst="rect">
          <a:avLst/>
        </a:prstGeom>
      </xdr:spPr>
    </xdr:pic>
    <xdr:clientData/>
  </xdr:twoCellAnchor>
  <xdr:twoCellAnchor>
    <xdr:from>
      <xdr:col>0</xdr:col>
      <xdr:colOff>192000</xdr:colOff>
      <xdr:row>129</xdr:row>
      <xdr:rowOff>45000</xdr:rowOff>
    </xdr:from>
    <xdr:to>
      <xdr:col>0</xdr:col>
      <xdr:colOff>428800</xdr:colOff>
      <xdr:row>129</xdr:row>
      <xdr:rowOff>270000</xdr:rowOff>
    </xdr:to>
    <xdr:pic>
      <xdr:nvPicPr>
        <xdr:cNvPr id="132" name="Picture 131"/>
        <xdr:cNvPicPr>
          <a:picLocks noChangeAspect="1"/>
        </xdr:cNvPicPr>
      </xdr:nvPicPr>
      <xdr:blipFill>
        <a:blip r:embed="rId127" cstate="print"/>
        <a:stretch>
          <a:fillRect/>
        </a:stretch>
      </xdr:blipFill>
      <xdr:spPr>
        <a:xfrm>
          <a:off x="191770" y="39401750"/>
          <a:ext cx="236855" cy="225425"/>
        </a:xfrm>
        <a:prstGeom prst="rect">
          <a:avLst/>
        </a:prstGeom>
      </xdr:spPr>
    </xdr:pic>
    <xdr:clientData/>
  </xdr:twoCellAnchor>
  <xdr:twoCellAnchor>
    <xdr:from>
      <xdr:col>0</xdr:col>
      <xdr:colOff>192000</xdr:colOff>
      <xdr:row>130</xdr:row>
      <xdr:rowOff>45000</xdr:rowOff>
    </xdr:from>
    <xdr:to>
      <xdr:col>0</xdr:col>
      <xdr:colOff>428800</xdr:colOff>
      <xdr:row>130</xdr:row>
      <xdr:rowOff>270000</xdr:rowOff>
    </xdr:to>
    <xdr:pic>
      <xdr:nvPicPr>
        <xdr:cNvPr id="133" name="Picture 132"/>
        <xdr:cNvPicPr>
          <a:picLocks noChangeAspect="1"/>
        </xdr:cNvPicPr>
      </xdr:nvPicPr>
      <xdr:blipFill>
        <a:blip r:embed="rId128" cstate="print"/>
        <a:stretch>
          <a:fillRect/>
        </a:stretch>
      </xdr:blipFill>
      <xdr:spPr>
        <a:xfrm>
          <a:off x="191770" y="39706550"/>
          <a:ext cx="236855" cy="225425"/>
        </a:xfrm>
        <a:prstGeom prst="rect">
          <a:avLst/>
        </a:prstGeom>
      </xdr:spPr>
    </xdr:pic>
    <xdr:clientData/>
  </xdr:twoCellAnchor>
  <xdr:twoCellAnchor>
    <xdr:from>
      <xdr:col>0</xdr:col>
      <xdr:colOff>192000</xdr:colOff>
      <xdr:row>131</xdr:row>
      <xdr:rowOff>45000</xdr:rowOff>
    </xdr:from>
    <xdr:to>
      <xdr:col>0</xdr:col>
      <xdr:colOff>428800</xdr:colOff>
      <xdr:row>131</xdr:row>
      <xdr:rowOff>270000</xdr:rowOff>
    </xdr:to>
    <xdr:pic>
      <xdr:nvPicPr>
        <xdr:cNvPr id="134" name="Picture 133"/>
        <xdr:cNvPicPr>
          <a:picLocks noChangeAspect="1"/>
        </xdr:cNvPicPr>
      </xdr:nvPicPr>
      <xdr:blipFill>
        <a:blip r:embed="rId129" cstate="print"/>
        <a:stretch>
          <a:fillRect/>
        </a:stretch>
      </xdr:blipFill>
      <xdr:spPr>
        <a:xfrm>
          <a:off x="191770" y="40011350"/>
          <a:ext cx="236855" cy="225425"/>
        </a:xfrm>
        <a:prstGeom prst="rect">
          <a:avLst/>
        </a:prstGeom>
      </xdr:spPr>
    </xdr:pic>
    <xdr:clientData/>
  </xdr:twoCellAnchor>
  <xdr:twoCellAnchor>
    <xdr:from>
      <xdr:col>0</xdr:col>
      <xdr:colOff>192000</xdr:colOff>
      <xdr:row>132</xdr:row>
      <xdr:rowOff>45000</xdr:rowOff>
    </xdr:from>
    <xdr:to>
      <xdr:col>0</xdr:col>
      <xdr:colOff>428800</xdr:colOff>
      <xdr:row>132</xdr:row>
      <xdr:rowOff>270000</xdr:rowOff>
    </xdr:to>
    <xdr:pic>
      <xdr:nvPicPr>
        <xdr:cNvPr id="135" name="Picture 134"/>
        <xdr:cNvPicPr>
          <a:picLocks noChangeAspect="1"/>
        </xdr:cNvPicPr>
      </xdr:nvPicPr>
      <xdr:blipFill>
        <a:blip r:embed="rId130" cstate="print"/>
        <a:stretch>
          <a:fillRect/>
        </a:stretch>
      </xdr:blipFill>
      <xdr:spPr>
        <a:xfrm>
          <a:off x="191770" y="40316150"/>
          <a:ext cx="236855" cy="225425"/>
        </a:xfrm>
        <a:prstGeom prst="rect">
          <a:avLst/>
        </a:prstGeom>
      </xdr:spPr>
    </xdr:pic>
    <xdr:clientData/>
  </xdr:twoCellAnchor>
  <xdr:twoCellAnchor>
    <xdr:from>
      <xdr:col>0</xdr:col>
      <xdr:colOff>192000</xdr:colOff>
      <xdr:row>133</xdr:row>
      <xdr:rowOff>45000</xdr:rowOff>
    </xdr:from>
    <xdr:to>
      <xdr:col>0</xdr:col>
      <xdr:colOff>428800</xdr:colOff>
      <xdr:row>133</xdr:row>
      <xdr:rowOff>270000</xdr:rowOff>
    </xdr:to>
    <xdr:pic>
      <xdr:nvPicPr>
        <xdr:cNvPr id="136" name="Picture 135"/>
        <xdr:cNvPicPr>
          <a:picLocks noChangeAspect="1"/>
        </xdr:cNvPicPr>
      </xdr:nvPicPr>
      <xdr:blipFill>
        <a:blip r:embed="rId131" cstate="print"/>
        <a:stretch>
          <a:fillRect/>
        </a:stretch>
      </xdr:blipFill>
      <xdr:spPr>
        <a:xfrm>
          <a:off x="191770" y="40620950"/>
          <a:ext cx="236855" cy="225425"/>
        </a:xfrm>
        <a:prstGeom prst="rect">
          <a:avLst/>
        </a:prstGeom>
      </xdr:spPr>
    </xdr:pic>
    <xdr:clientData/>
  </xdr:twoCellAnchor>
  <xdr:twoCellAnchor>
    <xdr:from>
      <xdr:col>0</xdr:col>
      <xdr:colOff>192000</xdr:colOff>
      <xdr:row>134</xdr:row>
      <xdr:rowOff>45000</xdr:rowOff>
    </xdr:from>
    <xdr:to>
      <xdr:col>0</xdr:col>
      <xdr:colOff>428800</xdr:colOff>
      <xdr:row>134</xdr:row>
      <xdr:rowOff>270000</xdr:rowOff>
    </xdr:to>
    <xdr:pic>
      <xdr:nvPicPr>
        <xdr:cNvPr id="137" name="Picture 136"/>
        <xdr:cNvPicPr>
          <a:picLocks noChangeAspect="1"/>
        </xdr:cNvPicPr>
      </xdr:nvPicPr>
      <xdr:blipFill>
        <a:blip r:embed="rId132" cstate="print"/>
        <a:stretch>
          <a:fillRect/>
        </a:stretch>
      </xdr:blipFill>
      <xdr:spPr>
        <a:xfrm>
          <a:off x="191770" y="40925750"/>
          <a:ext cx="236855" cy="225425"/>
        </a:xfrm>
        <a:prstGeom prst="rect">
          <a:avLst/>
        </a:prstGeom>
      </xdr:spPr>
    </xdr:pic>
    <xdr:clientData/>
  </xdr:twoCellAnchor>
  <xdr:twoCellAnchor>
    <xdr:from>
      <xdr:col>0</xdr:col>
      <xdr:colOff>192000</xdr:colOff>
      <xdr:row>135</xdr:row>
      <xdr:rowOff>45000</xdr:rowOff>
    </xdr:from>
    <xdr:to>
      <xdr:col>0</xdr:col>
      <xdr:colOff>428800</xdr:colOff>
      <xdr:row>135</xdr:row>
      <xdr:rowOff>270000</xdr:rowOff>
    </xdr:to>
    <xdr:pic>
      <xdr:nvPicPr>
        <xdr:cNvPr id="138" name="Picture 137"/>
        <xdr:cNvPicPr>
          <a:picLocks noChangeAspect="1"/>
        </xdr:cNvPicPr>
      </xdr:nvPicPr>
      <xdr:blipFill>
        <a:blip r:embed="rId133" cstate="print"/>
        <a:stretch>
          <a:fillRect/>
        </a:stretch>
      </xdr:blipFill>
      <xdr:spPr>
        <a:xfrm>
          <a:off x="191770" y="41230550"/>
          <a:ext cx="236855" cy="225425"/>
        </a:xfrm>
        <a:prstGeom prst="rect">
          <a:avLst/>
        </a:prstGeom>
      </xdr:spPr>
    </xdr:pic>
    <xdr:clientData/>
  </xdr:twoCellAnchor>
  <xdr:twoCellAnchor>
    <xdr:from>
      <xdr:col>0</xdr:col>
      <xdr:colOff>192000</xdr:colOff>
      <xdr:row>136</xdr:row>
      <xdr:rowOff>45000</xdr:rowOff>
    </xdr:from>
    <xdr:to>
      <xdr:col>0</xdr:col>
      <xdr:colOff>428800</xdr:colOff>
      <xdr:row>136</xdr:row>
      <xdr:rowOff>270000</xdr:rowOff>
    </xdr:to>
    <xdr:pic>
      <xdr:nvPicPr>
        <xdr:cNvPr id="139" name="Picture 138"/>
        <xdr:cNvPicPr>
          <a:picLocks noChangeAspect="1"/>
        </xdr:cNvPicPr>
      </xdr:nvPicPr>
      <xdr:blipFill>
        <a:blip r:embed="rId134" cstate="print"/>
        <a:stretch>
          <a:fillRect/>
        </a:stretch>
      </xdr:blipFill>
      <xdr:spPr>
        <a:xfrm>
          <a:off x="191770" y="41535350"/>
          <a:ext cx="236855" cy="225425"/>
        </a:xfrm>
        <a:prstGeom prst="rect">
          <a:avLst/>
        </a:prstGeom>
      </xdr:spPr>
    </xdr:pic>
    <xdr:clientData/>
  </xdr:twoCellAnchor>
  <xdr:twoCellAnchor>
    <xdr:from>
      <xdr:col>0</xdr:col>
      <xdr:colOff>192000</xdr:colOff>
      <xdr:row>137</xdr:row>
      <xdr:rowOff>45000</xdr:rowOff>
    </xdr:from>
    <xdr:to>
      <xdr:col>0</xdr:col>
      <xdr:colOff>428800</xdr:colOff>
      <xdr:row>137</xdr:row>
      <xdr:rowOff>270000</xdr:rowOff>
    </xdr:to>
    <xdr:pic>
      <xdr:nvPicPr>
        <xdr:cNvPr id="140" name="Picture 139"/>
        <xdr:cNvPicPr>
          <a:picLocks noChangeAspect="1"/>
        </xdr:cNvPicPr>
      </xdr:nvPicPr>
      <xdr:blipFill>
        <a:blip r:embed="rId135" cstate="print"/>
        <a:stretch>
          <a:fillRect/>
        </a:stretch>
      </xdr:blipFill>
      <xdr:spPr>
        <a:xfrm>
          <a:off x="191770" y="41840150"/>
          <a:ext cx="236855" cy="225425"/>
        </a:xfrm>
        <a:prstGeom prst="rect">
          <a:avLst/>
        </a:prstGeom>
      </xdr:spPr>
    </xdr:pic>
    <xdr:clientData/>
  </xdr:twoCellAnchor>
  <xdr:twoCellAnchor>
    <xdr:from>
      <xdr:col>0</xdr:col>
      <xdr:colOff>192000</xdr:colOff>
      <xdr:row>138</xdr:row>
      <xdr:rowOff>45000</xdr:rowOff>
    </xdr:from>
    <xdr:to>
      <xdr:col>0</xdr:col>
      <xdr:colOff>428800</xdr:colOff>
      <xdr:row>138</xdr:row>
      <xdr:rowOff>270000</xdr:rowOff>
    </xdr:to>
    <xdr:pic>
      <xdr:nvPicPr>
        <xdr:cNvPr id="141" name="Picture 140"/>
        <xdr:cNvPicPr>
          <a:picLocks noChangeAspect="1"/>
        </xdr:cNvPicPr>
      </xdr:nvPicPr>
      <xdr:blipFill>
        <a:blip r:embed="rId136" cstate="print"/>
        <a:stretch>
          <a:fillRect/>
        </a:stretch>
      </xdr:blipFill>
      <xdr:spPr>
        <a:xfrm>
          <a:off x="191770" y="42144950"/>
          <a:ext cx="236855" cy="225425"/>
        </a:xfrm>
        <a:prstGeom prst="rect">
          <a:avLst/>
        </a:prstGeom>
      </xdr:spPr>
    </xdr:pic>
    <xdr:clientData/>
  </xdr:twoCellAnchor>
  <xdr:twoCellAnchor>
    <xdr:from>
      <xdr:col>0</xdr:col>
      <xdr:colOff>192000</xdr:colOff>
      <xdr:row>139</xdr:row>
      <xdr:rowOff>45000</xdr:rowOff>
    </xdr:from>
    <xdr:to>
      <xdr:col>0</xdr:col>
      <xdr:colOff>428800</xdr:colOff>
      <xdr:row>139</xdr:row>
      <xdr:rowOff>270000</xdr:rowOff>
    </xdr:to>
    <xdr:pic>
      <xdr:nvPicPr>
        <xdr:cNvPr id="142" name="Picture 141"/>
        <xdr:cNvPicPr>
          <a:picLocks noChangeAspect="1"/>
        </xdr:cNvPicPr>
      </xdr:nvPicPr>
      <xdr:blipFill>
        <a:blip r:embed="rId137" cstate="print"/>
        <a:stretch>
          <a:fillRect/>
        </a:stretch>
      </xdr:blipFill>
      <xdr:spPr>
        <a:xfrm>
          <a:off x="191770" y="42449750"/>
          <a:ext cx="236855" cy="225425"/>
        </a:xfrm>
        <a:prstGeom prst="rect">
          <a:avLst/>
        </a:prstGeom>
      </xdr:spPr>
    </xdr:pic>
    <xdr:clientData/>
  </xdr:twoCellAnchor>
  <xdr:twoCellAnchor>
    <xdr:from>
      <xdr:col>0</xdr:col>
      <xdr:colOff>192000</xdr:colOff>
      <xdr:row>140</xdr:row>
      <xdr:rowOff>45000</xdr:rowOff>
    </xdr:from>
    <xdr:to>
      <xdr:col>0</xdr:col>
      <xdr:colOff>428800</xdr:colOff>
      <xdr:row>140</xdr:row>
      <xdr:rowOff>270000</xdr:rowOff>
    </xdr:to>
    <xdr:pic>
      <xdr:nvPicPr>
        <xdr:cNvPr id="143" name="Picture 142"/>
        <xdr:cNvPicPr>
          <a:picLocks noChangeAspect="1"/>
        </xdr:cNvPicPr>
      </xdr:nvPicPr>
      <xdr:blipFill>
        <a:blip r:embed="rId138" cstate="print"/>
        <a:stretch>
          <a:fillRect/>
        </a:stretch>
      </xdr:blipFill>
      <xdr:spPr>
        <a:xfrm>
          <a:off x="191770" y="42754550"/>
          <a:ext cx="236855" cy="225425"/>
        </a:xfrm>
        <a:prstGeom prst="rect">
          <a:avLst/>
        </a:prstGeom>
      </xdr:spPr>
    </xdr:pic>
    <xdr:clientData/>
  </xdr:twoCellAnchor>
  <xdr:twoCellAnchor>
    <xdr:from>
      <xdr:col>0</xdr:col>
      <xdr:colOff>192000</xdr:colOff>
      <xdr:row>141</xdr:row>
      <xdr:rowOff>45000</xdr:rowOff>
    </xdr:from>
    <xdr:to>
      <xdr:col>0</xdr:col>
      <xdr:colOff>428800</xdr:colOff>
      <xdr:row>141</xdr:row>
      <xdr:rowOff>270000</xdr:rowOff>
    </xdr:to>
    <xdr:pic>
      <xdr:nvPicPr>
        <xdr:cNvPr id="144" name="Picture 143"/>
        <xdr:cNvPicPr>
          <a:picLocks noChangeAspect="1"/>
        </xdr:cNvPicPr>
      </xdr:nvPicPr>
      <xdr:blipFill>
        <a:blip r:embed="rId139" cstate="print"/>
        <a:stretch>
          <a:fillRect/>
        </a:stretch>
      </xdr:blipFill>
      <xdr:spPr>
        <a:xfrm>
          <a:off x="191770" y="43059350"/>
          <a:ext cx="236855" cy="225425"/>
        </a:xfrm>
        <a:prstGeom prst="rect">
          <a:avLst/>
        </a:prstGeom>
      </xdr:spPr>
    </xdr:pic>
    <xdr:clientData/>
  </xdr:twoCellAnchor>
  <xdr:twoCellAnchor>
    <xdr:from>
      <xdr:col>0</xdr:col>
      <xdr:colOff>192000</xdr:colOff>
      <xdr:row>142</xdr:row>
      <xdr:rowOff>45000</xdr:rowOff>
    </xdr:from>
    <xdr:to>
      <xdr:col>0</xdr:col>
      <xdr:colOff>428800</xdr:colOff>
      <xdr:row>142</xdr:row>
      <xdr:rowOff>270000</xdr:rowOff>
    </xdr:to>
    <xdr:pic>
      <xdr:nvPicPr>
        <xdr:cNvPr id="145" name="Picture 144"/>
        <xdr:cNvPicPr>
          <a:picLocks noChangeAspect="1"/>
        </xdr:cNvPicPr>
      </xdr:nvPicPr>
      <xdr:blipFill>
        <a:blip r:embed="rId140" cstate="print"/>
        <a:stretch>
          <a:fillRect/>
        </a:stretch>
      </xdr:blipFill>
      <xdr:spPr>
        <a:xfrm>
          <a:off x="191770" y="43364150"/>
          <a:ext cx="236855" cy="225425"/>
        </a:xfrm>
        <a:prstGeom prst="rect">
          <a:avLst/>
        </a:prstGeom>
      </xdr:spPr>
    </xdr:pic>
    <xdr:clientData/>
  </xdr:twoCellAnchor>
  <xdr:twoCellAnchor>
    <xdr:from>
      <xdr:col>0</xdr:col>
      <xdr:colOff>192000</xdr:colOff>
      <xdr:row>143</xdr:row>
      <xdr:rowOff>45000</xdr:rowOff>
    </xdr:from>
    <xdr:to>
      <xdr:col>0</xdr:col>
      <xdr:colOff>428800</xdr:colOff>
      <xdr:row>143</xdr:row>
      <xdr:rowOff>270000</xdr:rowOff>
    </xdr:to>
    <xdr:pic>
      <xdr:nvPicPr>
        <xdr:cNvPr id="146" name="Picture 145"/>
        <xdr:cNvPicPr>
          <a:picLocks noChangeAspect="1"/>
        </xdr:cNvPicPr>
      </xdr:nvPicPr>
      <xdr:blipFill>
        <a:blip r:embed="rId141" cstate="print"/>
        <a:stretch>
          <a:fillRect/>
        </a:stretch>
      </xdr:blipFill>
      <xdr:spPr>
        <a:xfrm>
          <a:off x="191770" y="43668950"/>
          <a:ext cx="236855" cy="225425"/>
        </a:xfrm>
        <a:prstGeom prst="rect">
          <a:avLst/>
        </a:prstGeom>
      </xdr:spPr>
    </xdr:pic>
    <xdr:clientData/>
  </xdr:twoCellAnchor>
  <xdr:twoCellAnchor>
    <xdr:from>
      <xdr:col>0</xdr:col>
      <xdr:colOff>192000</xdr:colOff>
      <xdr:row>144</xdr:row>
      <xdr:rowOff>45000</xdr:rowOff>
    </xdr:from>
    <xdr:to>
      <xdr:col>0</xdr:col>
      <xdr:colOff>428800</xdr:colOff>
      <xdr:row>144</xdr:row>
      <xdr:rowOff>270000</xdr:rowOff>
    </xdr:to>
    <xdr:pic>
      <xdr:nvPicPr>
        <xdr:cNvPr id="147" name="Picture 146"/>
        <xdr:cNvPicPr>
          <a:picLocks noChangeAspect="1"/>
        </xdr:cNvPicPr>
      </xdr:nvPicPr>
      <xdr:blipFill>
        <a:blip r:embed="rId142" cstate="print"/>
        <a:stretch>
          <a:fillRect/>
        </a:stretch>
      </xdr:blipFill>
      <xdr:spPr>
        <a:xfrm>
          <a:off x="191770" y="43973750"/>
          <a:ext cx="236855" cy="225425"/>
        </a:xfrm>
        <a:prstGeom prst="rect">
          <a:avLst/>
        </a:prstGeom>
      </xdr:spPr>
    </xdr:pic>
    <xdr:clientData/>
  </xdr:twoCellAnchor>
  <xdr:twoCellAnchor>
    <xdr:from>
      <xdr:col>0</xdr:col>
      <xdr:colOff>192000</xdr:colOff>
      <xdr:row>145</xdr:row>
      <xdr:rowOff>45000</xdr:rowOff>
    </xdr:from>
    <xdr:to>
      <xdr:col>0</xdr:col>
      <xdr:colOff>428800</xdr:colOff>
      <xdr:row>145</xdr:row>
      <xdr:rowOff>270000</xdr:rowOff>
    </xdr:to>
    <xdr:pic>
      <xdr:nvPicPr>
        <xdr:cNvPr id="148" name="Picture 147"/>
        <xdr:cNvPicPr>
          <a:picLocks noChangeAspect="1"/>
        </xdr:cNvPicPr>
      </xdr:nvPicPr>
      <xdr:blipFill>
        <a:blip r:embed="rId143" cstate="print"/>
        <a:stretch>
          <a:fillRect/>
        </a:stretch>
      </xdr:blipFill>
      <xdr:spPr>
        <a:xfrm>
          <a:off x="191770" y="44278550"/>
          <a:ext cx="236855" cy="225425"/>
        </a:xfrm>
        <a:prstGeom prst="rect">
          <a:avLst/>
        </a:prstGeom>
      </xdr:spPr>
    </xdr:pic>
    <xdr:clientData/>
  </xdr:twoCellAnchor>
  <xdr:twoCellAnchor>
    <xdr:from>
      <xdr:col>0</xdr:col>
      <xdr:colOff>192000</xdr:colOff>
      <xdr:row>146</xdr:row>
      <xdr:rowOff>45000</xdr:rowOff>
    </xdr:from>
    <xdr:to>
      <xdr:col>0</xdr:col>
      <xdr:colOff>428800</xdr:colOff>
      <xdr:row>146</xdr:row>
      <xdr:rowOff>270000</xdr:rowOff>
    </xdr:to>
    <xdr:pic>
      <xdr:nvPicPr>
        <xdr:cNvPr id="149" name="Picture 148"/>
        <xdr:cNvPicPr>
          <a:picLocks noChangeAspect="1"/>
        </xdr:cNvPicPr>
      </xdr:nvPicPr>
      <xdr:blipFill>
        <a:blip r:embed="rId144" cstate="print"/>
        <a:stretch>
          <a:fillRect/>
        </a:stretch>
      </xdr:blipFill>
      <xdr:spPr>
        <a:xfrm>
          <a:off x="191770" y="44583350"/>
          <a:ext cx="236855" cy="225425"/>
        </a:xfrm>
        <a:prstGeom prst="rect">
          <a:avLst/>
        </a:prstGeom>
      </xdr:spPr>
    </xdr:pic>
    <xdr:clientData/>
  </xdr:twoCellAnchor>
  <xdr:twoCellAnchor>
    <xdr:from>
      <xdr:col>0</xdr:col>
      <xdr:colOff>192000</xdr:colOff>
      <xdr:row>147</xdr:row>
      <xdr:rowOff>45000</xdr:rowOff>
    </xdr:from>
    <xdr:to>
      <xdr:col>0</xdr:col>
      <xdr:colOff>428800</xdr:colOff>
      <xdr:row>147</xdr:row>
      <xdr:rowOff>270000</xdr:rowOff>
    </xdr:to>
    <xdr:pic>
      <xdr:nvPicPr>
        <xdr:cNvPr id="150" name="Picture 149"/>
        <xdr:cNvPicPr>
          <a:picLocks noChangeAspect="1"/>
        </xdr:cNvPicPr>
      </xdr:nvPicPr>
      <xdr:blipFill>
        <a:blip r:embed="rId145" cstate="print"/>
        <a:stretch>
          <a:fillRect/>
        </a:stretch>
      </xdr:blipFill>
      <xdr:spPr>
        <a:xfrm>
          <a:off x="191770" y="44888150"/>
          <a:ext cx="236855" cy="225425"/>
        </a:xfrm>
        <a:prstGeom prst="rect">
          <a:avLst/>
        </a:prstGeom>
      </xdr:spPr>
    </xdr:pic>
    <xdr:clientData/>
  </xdr:twoCellAnchor>
  <xdr:twoCellAnchor>
    <xdr:from>
      <xdr:col>0</xdr:col>
      <xdr:colOff>192000</xdr:colOff>
      <xdr:row>148</xdr:row>
      <xdr:rowOff>45000</xdr:rowOff>
    </xdr:from>
    <xdr:to>
      <xdr:col>0</xdr:col>
      <xdr:colOff>428800</xdr:colOff>
      <xdr:row>148</xdr:row>
      <xdr:rowOff>270000</xdr:rowOff>
    </xdr:to>
    <xdr:pic>
      <xdr:nvPicPr>
        <xdr:cNvPr id="151" name="Picture 150"/>
        <xdr:cNvPicPr>
          <a:picLocks noChangeAspect="1"/>
        </xdr:cNvPicPr>
      </xdr:nvPicPr>
      <xdr:blipFill>
        <a:blip r:embed="rId146" cstate="print"/>
        <a:stretch>
          <a:fillRect/>
        </a:stretch>
      </xdr:blipFill>
      <xdr:spPr>
        <a:xfrm>
          <a:off x="191770" y="45192950"/>
          <a:ext cx="236855" cy="225425"/>
        </a:xfrm>
        <a:prstGeom prst="rect">
          <a:avLst/>
        </a:prstGeom>
      </xdr:spPr>
    </xdr:pic>
    <xdr:clientData/>
  </xdr:twoCellAnchor>
  <xdr:twoCellAnchor>
    <xdr:from>
      <xdr:col>0</xdr:col>
      <xdr:colOff>192000</xdr:colOff>
      <xdr:row>149</xdr:row>
      <xdr:rowOff>45000</xdr:rowOff>
    </xdr:from>
    <xdr:to>
      <xdr:col>0</xdr:col>
      <xdr:colOff>428800</xdr:colOff>
      <xdr:row>149</xdr:row>
      <xdr:rowOff>270000</xdr:rowOff>
    </xdr:to>
    <xdr:pic>
      <xdr:nvPicPr>
        <xdr:cNvPr id="152" name="Picture 151"/>
        <xdr:cNvPicPr>
          <a:picLocks noChangeAspect="1"/>
        </xdr:cNvPicPr>
      </xdr:nvPicPr>
      <xdr:blipFill>
        <a:blip r:embed="rId147" cstate="print"/>
        <a:stretch>
          <a:fillRect/>
        </a:stretch>
      </xdr:blipFill>
      <xdr:spPr>
        <a:xfrm>
          <a:off x="191770" y="45497750"/>
          <a:ext cx="236855" cy="225425"/>
        </a:xfrm>
        <a:prstGeom prst="rect">
          <a:avLst/>
        </a:prstGeom>
      </xdr:spPr>
    </xdr:pic>
    <xdr:clientData/>
  </xdr:twoCellAnchor>
  <xdr:twoCellAnchor>
    <xdr:from>
      <xdr:col>0</xdr:col>
      <xdr:colOff>192000</xdr:colOff>
      <xdr:row>150</xdr:row>
      <xdr:rowOff>45000</xdr:rowOff>
    </xdr:from>
    <xdr:to>
      <xdr:col>0</xdr:col>
      <xdr:colOff>428800</xdr:colOff>
      <xdr:row>150</xdr:row>
      <xdr:rowOff>270000</xdr:rowOff>
    </xdr:to>
    <xdr:pic>
      <xdr:nvPicPr>
        <xdr:cNvPr id="153" name="Picture 152"/>
        <xdr:cNvPicPr>
          <a:picLocks noChangeAspect="1"/>
        </xdr:cNvPicPr>
      </xdr:nvPicPr>
      <xdr:blipFill>
        <a:blip r:embed="rId148" cstate="print"/>
        <a:stretch>
          <a:fillRect/>
        </a:stretch>
      </xdr:blipFill>
      <xdr:spPr>
        <a:xfrm>
          <a:off x="191770" y="45802550"/>
          <a:ext cx="236855" cy="225425"/>
        </a:xfrm>
        <a:prstGeom prst="rect">
          <a:avLst/>
        </a:prstGeom>
      </xdr:spPr>
    </xdr:pic>
    <xdr:clientData/>
  </xdr:twoCellAnchor>
  <xdr:twoCellAnchor>
    <xdr:from>
      <xdr:col>0</xdr:col>
      <xdr:colOff>192000</xdr:colOff>
      <xdr:row>151</xdr:row>
      <xdr:rowOff>45000</xdr:rowOff>
    </xdr:from>
    <xdr:to>
      <xdr:col>0</xdr:col>
      <xdr:colOff>428800</xdr:colOff>
      <xdr:row>151</xdr:row>
      <xdr:rowOff>270000</xdr:rowOff>
    </xdr:to>
    <xdr:pic>
      <xdr:nvPicPr>
        <xdr:cNvPr id="154" name="Picture 153"/>
        <xdr:cNvPicPr>
          <a:picLocks noChangeAspect="1"/>
        </xdr:cNvPicPr>
      </xdr:nvPicPr>
      <xdr:blipFill>
        <a:blip r:embed="rId149" cstate="print"/>
        <a:stretch>
          <a:fillRect/>
        </a:stretch>
      </xdr:blipFill>
      <xdr:spPr>
        <a:xfrm>
          <a:off x="191770" y="46107350"/>
          <a:ext cx="236855" cy="225425"/>
        </a:xfrm>
        <a:prstGeom prst="rect">
          <a:avLst/>
        </a:prstGeom>
      </xdr:spPr>
    </xdr:pic>
    <xdr:clientData/>
  </xdr:twoCellAnchor>
  <xdr:twoCellAnchor>
    <xdr:from>
      <xdr:col>0</xdr:col>
      <xdr:colOff>192000</xdr:colOff>
      <xdr:row>152</xdr:row>
      <xdr:rowOff>45000</xdr:rowOff>
    </xdr:from>
    <xdr:to>
      <xdr:col>0</xdr:col>
      <xdr:colOff>428800</xdr:colOff>
      <xdr:row>152</xdr:row>
      <xdr:rowOff>270000</xdr:rowOff>
    </xdr:to>
    <xdr:pic>
      <xdr:nvPicPr>
        <xdr:cNvPr id="155" name="Picture 154"/>
        <xdr:cNvPicPr>
          <a:picLocks noChangeAspect="1"/>
        </xdr:cNvPicPr>
      </xdr:nvPicPr>
      <xdr:blipFill>
        <a:blip r:embed="rId150" cstate="print"/>
        <a:stretch>
          <a:fillRect/>
        </a:stretch>
      </xdr:blipFill>
      <xdr:spPr>
        <a:xfrm>
          <a:off x="191770" y="46412150"/>
          <a:ext cx="236855" cy="225425"/>
        </a:xfrm>
        <a:prstGeom prst="rect">
          <a:avLst/>
        </a:prstGeom>
      </xdr:spPr>
    </xdr:pic>
    <xdr:clientData/>
  </xdr:twoCellAnchor>
  <xdr:twoCellAnchor>
    <xdr:from>
      <xdr:col>0</xdr:col>
      <xdr:colOff>192000</xdr:colOff>
      <xdr:row>153</xdr:row>
      <xdr:rowOff>45000</xdr:rowOff>
    </xdr:from>
    <xdr:to>
      <xdr:col>0</xdr:col>
      <xdr:colOff>428800</xdr:colOff>
      <xdr:row>153</xdr:row>
      <xdr:rowOff>270000</xdr:rowOff>
    </xdr:to>
    <xdr:pic>
      <xdr:nvPicPr>
        <xdr:cNvPr id="156" name="Picture 155"/>
        <xdr:cNvPicPr>
          <a:picLocks noChangeAspect="1"/>
        </xdr:cNvPicPr>
      </xdr:nvPicPr>
      <xdr:blipFill>
        <a:blip r:embed="rId151" cstate="print"/>
        <a:stretch>
          <a:fillRect/>
        </a:stretch>
      </xdr:blipFill>
      <xdr:spPr>
        <a:xfrm>
          <a:off x="191770" y="46716950"/>
          <a:ext cx="236855" cy="225425"/>
        </a:xfrm>
        <a:prstGeom prst="rect">
          <a:avLst/>
        </a:prstGeom>
      </xdr:spPr>
    </xdr:pic>
    <xdr:clientData/>
  </xdr:twoCellAnchor>
  <xdr:twoCellAnchor>
    <xdr:from>
      <xdr:col>0</xdr:col>
      <xdr:colOff>192000</xdr:colOff>
      <xdr:row>154</xdr:row>
      <xdr:rowOff>45000</xdr:rowOff>
    </xdr:from>
    <xdr:to>
      <xdr:col>0</xdr:col>
      <xdr:colOff>428800</xdr:colOff>
      <xdr:row>154</xdr:row>
      <xdr:rowOff>270000</xdr:rowOff>
    </xdr:to>
    <xdr:pic>
      <xdr:nvPicPr>
        <xdr:cNvPr id="157" name="Picture 156"/>
        <xdr:cNvPicPr>
          <a:picLocks noChangeAspect="1"/>
        </xdr:cNvPicPr>
      </xdr:nvPicPr>
      <xdr:blipFill>
        <a:blip r:embed="rId152" cstate="print"/>
        <a:stretch>
          <a:fillRect/>
        </a:stretch>
      </xdr:blipFill>
      <xdr:spPr>
        <a:xfrm>
          <a:off x="191770" y="47021750"/>
          <a:ext cx="236855" cy="225425"/>
        </a:xfrm>
        <a:prstGeom prst="rect">
          <a:avLst/>
        </a:prstGeom>
      </xdr:spPr>
    </xdr:pic>
    <xdr:clientData/>
  </xdr:twoCellAnchor>
  <xdr:twoCellAnchor>
    <xdr:from>
      <xdr:col>0</xdr:col>
      <xdr:colOff>192000</xdr:colOff>
      <xdr:row>156</xdr:row>
      <xdr:rowOff>45000</xdr:rowOff>
    </xdr:from>
    <xdr:to>
      <xdr:col>0</xdr:col>
      <xdr:colOff>428800</xdr:colOff>
      <xdr:row>156</xdr:row>
      <xdr:rowOff>270000</xdr:rowOff>
    </xdr:to>
    <xdr:pic>
      <xdr:nvPicPr>
        <xdr:cNvPr id="158" name="Picture 157"/>
        <xdr:cNvPicPr>
          <a:picLocks noChangeAspect="1"/>
        </xdr:cNvPicPr>
      </xdr:nvPicPr>
      <xdr:blipFill>
        <a:blip r:embed="rId153" cstate="print"/>
        <a:stretch>
          <a:fillRect/>
        </a:stretch>
      </xdr:blipFill>
      <xdr:spPr>
        <a:xfrm>
          <a:off x="191770" y="47631350"/>
          <a:ext cx="236855" cy="225425"/>
        </a:xfrm>
        <a:prstGeom prst="rect">
          <a:avLst/>
        </a:prstGeom>
      </xdr:spPr>
    </xdr:pic>
    <xdr:clientData/>
  </xdr:twoCellAnchor>
  <xdr:twoCellAnchor>
    <xdr:from>
      <xdr:col>0</xdr:col>
      <xdr:colOff>192000</xdr:colOff>
      <xdr:row>155</xdr:row>
      <xdr:rowOff>45000</xdr:rowOff>
    </xdr:from>
    <xdr:to>
      <xdr:col>0</xdr:col>
      <xdr:colOff>428800</xdr:colOff>
      <xdr:row>155</xdr:row>
      <xdr:rowOff>270000</xdr:rowOff>
    </xdr:to>
    <xdr:pic>
      <xdr:nvPicPr>
        <xdr:cNvPr id="159" name="Picture 158"/>
        <xdr:cNvPicPr>
          <a:picLocks noChangeAspect="1"/>
        </xdr:cNvPicPr>
      </xdr:nvPicPr>
      <xdr:blipFill>
        <a:blip r:embed="rId154" cstate="print"/>
        <a:stretch>
          <a:fillRect/>
        </a:stretch>
      </xdr:blipFill>
      <xdr:spPr>
        <a:xfrm>
          <a:off x="191770" y="47326550"/>
          <a:ext cx="236855" cy="225425"/>
        </a:xfrm>
        <a:prstGeom prst="rect">
          <a:avLst/>
        </a:prstGeom>
      </xdr:spPr>
    </xdr:pic>
    <xdr:clientData/>
  </xdr:twoCellAnchor>
  <xdr:twoCellAnchor>
    <xdr:from>
      <xdr:col>0</xdr:col>
      <xdr:colOff>192000</xdr:colOff>
      <xdr:row>157</xdr:row>
      <xdr:rowOff>45000</xdr:rowOff>
    </xdr:from>
    <xdr:to>
      <xdr:col>0</xdr:col>
      <xdr:colOff>428800</xdr:colOff>
      <xdr:row>157</xdr:row>
      <xdr:rowOff>270000</xdr:rowOff>
    </xdr:to>
    <xdr:pic>
      <xdr:nvPicPr>
        <xdr:cNvPr id="160" name="Picture 159"/>
        <xdr:cNvPicPr>
          <a:picLocks noChangeAspect="1"/>
        </xdr:cNvPicPr>
      </xdr:nvPicPr>
      <xdr:blipFill>
        <a:blip r:embed="rId155" cstate="print"/>
        <a:stretch>
          <a:fillRect/>
        </a:stretch>
      </xdr:blipFill>
      <xdr:spPr>
        <a:xfrm>
          <a:off x="191770" y="47936150"/>
          <a:ext cx="236855" cy="225425"/>
        </a:xfrm>
        <a:prstGeom prst="rect">
          <a:avLst/>
        </a:prstGeom>
      </xdr:spPr>
    </xdr:pic>
    <xdr:clientData/>
  </xdr:twoCellAnchor>
  <xdr:twoCellAnchor>
    <xdr:from>
      <xdr:col>0</xdr:col>
      <xdr:colOff>192000</xdr:colOff>
      <xdr:row>158</xdr:row>
      <xdr:rowOff>45000</xdr:rowOff>
    </xdr:from>
    <xdr:to>
      <xdr:col>0</xdr:col>
      <xdr:colOff>428800</xdr:colOff>
      <xdr:row>158</xdr:row>
      <xdr:rowOff>270000</xdr:rowOff>
    </xdr:to>
    <xdr:pic>
      <xdr:nvPicPr>
        <xdr:cNvPr id="161" name="Picture 160"/>
        <xdr:cNvPicPr>
          <a:picLocks noChangeAspect="1"/>
        </xdr:cNvPicPr>
      </xdr:nvPicPr>
      <xdr:blipFill>
        <a:blip r:embed="rId156" cstate="print"/>
        <a:stretch>
          <a:fillRect/>
        </a:stretch>
      </xdr:blipFill>
      <xdr:spPr>
        <a:xfrm>
          <a:off x="191770" y="48240950"/>
          <a:ext cx="236855" cy="225425"/>
        </a:xfrm>
        <a:prstGeom prst="rect">
          <a:avLst/>
        </a:prstGeom>
      </xdr:spPr>
    </xdr:pic>
    <xdr:clientData/>
  </xdr:twoCellAnchor>
  <xdr:twoCellAnchor>
    <xdr:from>
      <xdr:col>0</xdr:col>
      <xdr:colOff>192000</xdr:colOff>
      <xdr:row>159</xdr:row>
      <xdr:rowOff>45000</xdr:rowOff>
    </xdr:from>
    <xdr:to>
      <xdr:col>0</xdr:col>
      <xdr:colOff>428800</xdr:colOff>
      <xdr:row>159</xdr:row>
      <xdr:rowOff>270000</xdr:rowOff>
    </xdr:to>
    <xdr:pic>
      <xdr:nvPicPr>
        <xdr:cNvPr id="162" name="Picture 161"/>
        <xdr:cNvPicPr>
          <a:picLocks noChangeAspect="1"/>
        </xdr:cNvPicPr>
      </xdr:nvPicPr>
      <xdr:blipFill>
        <a:blip r:embed="rId157" cstate="print"/>
        <a:stretch>
          <a:fillRect/>
        </a:stretch>
      </xdr:blipFill>
      <xdr:spPr>
        <a:xfrm>
          <a:off x="191770" y="48545750"/>
          <a:ext cx="236855" cy="225425"/>
        </a:xfrm>
        <a:prstGeom prst="rect">
          <a:avLst/>
        </a:prstGeom>
      </xdr:spPr>
    </xdr:pic>
    <xdr:clientData/>
  </xdr:twoCellAnchor>
  <xdr:twoCellAnchor>
    <xdr:from>
      <xdr:col>0</xdr:col>
      <xdr:colOff>192000</xdr:colOff>
      <xdr:row>160</xdr:row>
      <xdr:rowOff>45000</xdr:rowOff>
    </xdr:from>
    <xdr:to>
      <xdr:col>0</xdr:col>
      <xdr:colOff>428800</xdr:colOff>
      <xdr:row>160</xdr:row>
      <xdr:rowOff>270000</xdr:rowOff>
    </xdr:to>
    <xdr:pic>
      <xdr:nvPicPr>
        <xdr:cNvPr id="163" name="Picture 162"/>
        <xdr:cNvPicPr>
          <a:picLocks noChangeAspect="1"/>
        </xdr:cNvPicPr>
      </xdr:nvPicPr>
      <xdr:blipFill>
        <a:blip r:embed="rId158" cstate="print"/>
        <a:stretch>
          <a:fillRect/>
        </a:stretch>
      </xdr:blipFill>
      <xdr:spPr>
        <a:xfrm>
          <a:off x="191770" y="48850550"/>
          <a:ext cx="236855" cy="225425"/>
        </a:xfrm>
        <a:prstGeom prst="rect">
          <a:avLst/>
        </a:prstGeom>
      </xdr:spPr>
    </xdr:pic>
    <xdr:clientData/>
  </xdr:twoCellAnchor>
  <xdr:twoCellAnchor>
    <xdr:from>
      <xdr:col>0</xdr:col>
      <xdr:colOff>192000</xdr:colOff>
      <xdr:row>161</xdr:row>
      <xdr:rowOff>45000</xdr:rowOff>
    </xdr:from>
    <xdr:to>
      <xdr:col>0</xdr:col>
      <xdr:colOff>428800</xdr:colOff>
      <xdr:row>161</xdr:row>
      <xdr:rowOff>270000</xdr:rowOff>
    </xdr:to>
    <xdr:pic>
      <xdr:nvPicPr>
        <xdr:cNvPr id="164" name="Picture 163"/>
        <xdr:cNvPicPr>
          <a:picLocks noChangeAspect="1"/>
        </xdr:cNvPicPr>
      </xdr:nvPicPr>
      <xdr:blipFill>
        <a:blip r:embed="rId159" cstate="print"/>
        <a:stretch>
          <a:fillRect/>
        </a:stretch>
      </xdr:blipFill>
      <xdr:spPr>
        <a:xfrm>
          <a:off x="191770" y="49155350"/>
          <a:ext cx="236855" cy="225425"/>
        </a:xfrm>
        <a:prstGeom prst="rect">
          <a:avLst/>
        </a:prstGeom>
      </xdr:spPr>
    </xdr:pic>
    <xdr:clientData/>
  </xdr:twoCellAnchor>
  <xdr:twoCellAnchor>
    <xdr:from>
      <xdr:col>0</xdr:col>
      <xdr:colOff>192000</xdr:colOff>
      <xdr:row>162</xdr:row>
      <xdr:rowOff>45000</xdr:rowOff>
    </xdr:from>
    <xdr:to>
      <xdr:col>0</xdr:col>
      <xdr:colOff>428800</xdr:colOff>
      <xdr:row>162</xdr:row>
      <xdr:rowOff>270000</xdr:rowOff>
    </xdr:to>
    <xdr:pic>
      <xdr:nvPicPr>
        <xdr:cNvPr id="165" name="Picture 164"/>
        <xdr:cNvPicPr>
          <a:picLocks noChangeAspect="1"/>
        </xdr:cNvPicPr>
      </xdr:nvPicPr>
      <xdr:blipFill>
        <a:blip r:embed="rId160" cstate="print"/>
        <a:stretch>
          <a:fillRect/>
        </a:stretch>
      </xdr:blipFill>
      <xdr:spPr>
        <a:xfrm>
          <a:off x="191770" y="49460150"/>
          <a:ext cx="236855" cy="225425"/>
        </a:xfrm>
        <a:prstGeom prst="rect">
          <a:avLst/>
        </a:prstGeom>
      </xdr:spPr>
    </xdr:pic>
    <xdr:clientData/>
  </xdr:twoCellAnchor>
  <xdr:twoCellAnchor>
    <xdr:from>
      <xdr:col>0</xdr:col>
      <xdr:colOff>192000</xdr:colOff>
      <xdr:row>163</xdr:row>
      <xdr:rowOff>45000</xdr:rowOff>
    </xdr:from>
    <xdr:to>
      <xdr:col>0</xdr:col>
      <xdr:colOff>428800</xdr:colOff>
      <xdr:row>163</xdr:row>
      <xdr:rowOff>270000</xdr:rowOff>
    </xdr:to>
    <xdr:pic>
      <xdr:nvPicPr>
        <xdr:cNvPr id="166" name="Picture 165"/>
        <xdr:cNvPicPr>
          <a:picLocks noChangeAspect="1"/>
        </xdr:cNvPicPr>
      </xdr:nvPicPr>
      <xdr:blipFill>
        <a:blip r:embed="rId161" cstate="print"/>
        <a:stretch>
          <a:fillRect/>
        </a:stretch>
      </xdr:blipFill>
      <xdr:spPr>
        <a:xfrm>
          <a:off x="191770" y="49764950"/>
          <a:ext cx="236855" cy="225425"/>
        </a:xfrm>
        <a:prstGeom prst="rect">
          <a:avLst/>
        </a:prstGeom>
      </xdr:spPr>
    </xdr:pic>
    <xdr:clientData/>
  </xdr:twoCellAnchor>
  <xdr:twoCellAnchor>
    <xdr:from>
      <xdr:col>0</xdr:col>
      <xdr:colOff>192000</xdr:colOff>
      <xdr:row>164</xdr:row>
      <xdr:rowOff>45000</xdr:rowOff>
    </xdr:from>
    <xdr:to>
      <xdr:col>0</xdr:col>
      <xdr:colOff>428800</xdr:colOff>
      <xdr:row>164</xdr:row>
      <xdr:rowOff>270000</xdr:rowOff>
    </xdr:to>
    <xdr:pic>
      <xdr:nvPicPr>
        <xdr:cNvPr id="167" name="Picture 166"/>
        <xdr:cNvPicPr>
          <a:picLocks noChangeAspect="1"/>
        </xdr:cNvPicPr>
      </xdr:nvPicPr>
      <xdr:blipFill>
        <a:blip r:embed="rId162" cstate="print"/>
        <a:stretch>
          <a:fillRect/>
        </a:stretch>
      </xdr:blipFill>
      <xdr:spPr>
        <a:xfrm>
          <a:off x="191770" y="50069750"/>
          <a:ext cx="236855" cy="225425"/>
        </a:xfrm>
        <a:prstGeom prst="rect">
          <a:avLst/>
        </a:prstGeom>
      </xdr:spPr>
    </xdr:pic>
    <xdr:clientData/>
  </xdr:twoCellAnchor>
  <xdr:twoCellAnchor>
    <xdr:from>
      <xdr:col>0</xdr:col>
      <xdr:colOff>192000</xdr:colOff>
      <xdr:row>165</xdr:row>
      <xdr:rowOff>45000</xdr:rowOff>
    </xdr:from>
    <xdr:to>
      <xdr:col>0</xdr:col>
      <xdr:colOff>428800</xdr:colOff>
      <xdr:row>165</xdr:row>
      <xdr:rowOff>270000</xdr:rowOff>
    </xdr:to>
    <xdr:pic>
      <xdr:nvPicPr>
        <xdr:cNvPr id="168" name="Picture 167"/>
        <xdr:cNvPicPr>
          <a:picLocks noChangeAspect="1"/>
        </xdr:cNvPicPr>
      </xdr:nvPicPr>
      <xdr:blipFill>
        <a:blip r:embed="rId163" cstate="print"/>
        <a:stretch>
          <a:fillRect/>
        </a:stretch>
      </xdr:blipFill>
      <xdr:spPr>
        <a:xfrm>
          <a:off x="191770" y="50374550"/>
          <a:ext cx="236855" cy="225425"/>
        </a:xfrm>
        <a:prstGeom prst="rect">
          <a:avLst/>
        </a:prstGeom>
      </xdr:spPr>
    </xdr:pic>
    <xdr:clientData/>
  </xdr:twoCellAnchor>
  <xdr:twoCellAnchor>
    <xdr:from>
      <xdr:col>0</xdr:col>
      <xdr:colOff>192000</xdr:colOff>
      <xdr:row>166</xdr:row>
      <xdr:rowOff>45000</xdr:rowOff>
    </xdr:from>
    <xdr:to>
      <xdr:col>0</xdr:col>
      <xdr:colOff>428800</xdr:colOff>
      <xdr:row>166</xdr:row>
      <xdr:rowOff>270000</xdr:rowOff>
    </xdr:to>
    <xdr:pic>
      <xdr:nvPicPr>
        <xdr:cNvPr id="169" name="Picture 168"/>
        <xdr:cNvPicPr>
          <a:picLocks noChangeAspect="1"/>
        </xdr:cNvPicPr>
      </xdr:nvPicPr>
      <xdr:blipFill>
        <a:blip r:embed="rId164" cstate="print"/>
        <a:stretch>
          <a:fillRect/>
        </a:stretch>
      </xdr:blipFill>
      <xdr:spPr>
        <a:xfrm>
          <a:off x="191770" y="50679350"/>
          <a:ext cx="236855" cy="225425"/>
        </a:xfrm>
        <a:prstGeom prst="rect">
          <a:avLst/>
        </a:prstGeom>
      </xdr:spPr>
    </xdr:pic>
    <xdr:clientData/>
  </xdr:twoCellAnchor>
  <xdr:twoCellAnchor>
    <xdr:from>
      <xdr:col>0</xdr:col>
      <xdr:colOff>192000</xdr:colOff>
      <xdr:row>167</xdr:row>
      <xdr:rowOff>45000</xdr:rowOff>
    </xdr:from>
    <xdr:to>
      <xdr:col>0</xdr:col>
      <xdr:colOff>428800</xdr:colOff>
      <xdr:row>167</xdr:row>
      <xdr:rowOff>270000</xdr:rowOff>
    </xdr:to>
    <xdr:pic>
      <xdr:nvPicPr>
        <xdr:cNvPr id="170" name="Picture 169"/>
        <xdr:cNvPicPr>
          <a:picLocks noChangeAspect="1"/>
        </xdr:cNvPicPr>
      </xdr:nvPicPr>
      <xdr:blipFill>
        <a:blip r:embed="rId165" cstate="print"/>
        <a:stretch>
          <a:fillRect/>
        </a:stretch>
      </xdr:blipFill>
      <xdr:spPr>
        <a:xfrm>
          <a:off x="191770" y="50984150"/>
          <a:ext cx="236855" cy="225425"/>
        </a:xfrm>
        <a:prstGeom prst="rect">
          <a:avLst/>
        </a:prstGeom>
      </xdr:spPr>
    </xdr:pic>
    <xdr:clientData/>
  </xdr:twoCellAnchor>
  <xdr:twoCellAnchor>
    <xdr:from>
      <xdr:col>0</xdr:col>
      <xdr:colOff>192000</xdr:colOff>
      <xdr:row>168</xdr:row>
      <xdr:rowOff>45000</xdr:rowOff>
    </xdr:from>
    <xdr:to>
      <xdr:col>0</xdr:col>
      <xdr:colOff>428800</xdr:colOff>
      <xdr:row>168</xdr:row>
      <xdr:rowOff>270000</xdr:rowOff>
    </xdr:to>
    <xdr:pic>
      <xdr:nvPicPr>
        <xdr:cNvPr id="171" name="Picture 170"/>
        <xdr:cNvPicPr>
          <a:picLocks noChangeAspect="1"/>
        </xdr:cNvPicPr>
      </xdr:nvPicPr>
      <xdr:blipFill>
        <a:blip r:embed="rId166" cstate="print"/>
        <a:stretch>
          <a:fillRect/>
        </a:stretch>
      </xdr:blipFill>
      <xdr:spPr>
        <a:xfrm>
          <a:off x="191770" y="51288950"/>
          <a:ext cx="236855" cy="225425"/>
        </a:xfrm>
        <a:prstGeom prst="rect">
          <a:avLst/>
        </a:prstGeom>
      </xdr:spPr>
    </xdr:pic>
    <xdr:clientData/>
  </xdr:twoCellAnchor>
  <xdr:twoCellAnchor>
    <xdr:from>
      <xdr:col>0</xdr:col>
      <xdr:colOff>192000</xdr:colOff>
      <xdr:row>169</xdr:row>
      <xdr:rowOff>45000</xdr:rowOff>
    </xdr:from>
    <xdr:to>
      <xdr:col>0</xdr:col>
      <xdr:colOff>428800</xdr:colOff>
      <xdr:row>169</xdr:row>
      <xdr:rowOff>270000</xdr:rowOff>
    </xdr:to>
    <xdr:pic>
      <xdr:nvPicPr>
        <xdr:cNvPr id="172" name="Picture 171"/>
        <xdr:cNvPicPr>
          <a:picLocks noChangeAspect="1"/>
        </xdr:cNvPicPr>
      </xdr:nvPicPr>
      <xdr:blipFill>
        <a:blip r:embed="rId167" cstate="print"/>
        <a:stretch>
          <a:fillRect/>
        </a:stretch>
      </xdr:blipFill>
      <xdr:spPr>
        <a:xfrm>
          <a:off x="191770" y="51593750"/>
          <a:ext cx="236855" cy="225425"/>
        </a:xfrm>
        <a:prstGeom prst="rect">
          <a:avLst/>
        </a:prstGeom>
      </xdr:spPr>
    </xdr:pic>
    <xdr:clientData/>
  </xdr:twoCellAnchor>
  <xdr:twoCellAnchor>
    <xdr:from>
      <xdr:col>0</xdr:col>
      <xdr:colOff>192000</xdr:colOff>
      <xdr:row>170</xdr:row>
      <xdr:rowOff>45000</xdr:rowOff>
    </xdr:from>
    <xdr:to>
      <xdr:col>0</xdr:col>
      <xdr:colOff>428800</xdr:colOff>
      <xdr:row>170</xdr:row>
      <xdr:rowOff>270000</xdr:rowOff>
    </xdr:to>
    <xdr:pic>
      <xdr:nvPicPr>
        <xdr:cNvPr id="173" name="Picture 172"/>
        <xdr:cNvPicPr>
          <a:picLocks noChangeAspect="1"/>
        </xdr:cNvPicPr>
      </xdr:nvPicPr>
      <xdr:blipFill>
        <a:blip r:embed="rId168" cstate="print"/>
        <a:stretch>
          <a:fillRect/>
        </a:stretch>
      </xdr:blipFill>
      <xdr:spPr>
        <a:xfrm>
          <a:off x="191770" y="51898550"/>
          <a:ext cx="236855" cy="225425"/>
        </a:xfrm>
        <a:prstGeom prst="rect">
          <a:avLst/>
        </a:prstGeom>
      </xdr:spPr>
    </xdr:pic>
    <xdr:clientData/>
  </xdr:twoCellAnchor>
  <xdr:twoCellAnchor>
    <xdr:from>
      <xdr:col>0</xdr:col>
      <xdr:colOff>192000</xdr:colOff>
      <xdr:row>171</xdr:row>
      <xdr:rowOff>45000</xdr:rowOff>
    </xdr:from>
    <xdr:to>
      <xdr:col>0</xdr:col>
      <xdr:colOff>428800</xdr:colOff>
      <xdr:row>171</xdr:row>
      <xdr:rowOff>270000</xdr:rowOff>
    </xdr:to>
    <xdr:pic>
      <xdr:nvPicPr>
        <xdr:cNvPr id="174" name="Picture 173"/>
        <xdr:cNvPicPr>
          <a:picLocks noChangeAspect="1"/>
        </xdr:cNvPicPr>
      </xdr:nvPicPr>
      <xdr:blipFill>
        <a:blip r:embed="rId169" cstate="print"/>
        <a:stretch>
          <a:fillRect/>
        </a:stretch>
      </xdr:blipFill>
      <xdr:spPr>
        <a:xfrm>
          <a:off x="191770" y="52203350"/>
          <a:ext cx="236855" cy="225425"/>
        </a:xfrm>
        <a:prstGeom prst="rect">
          <a:avLst/>
        </a:prstGeom>
      </xdr:spPr>
    </xdr:pic>
    <xdr:clientData/>
  </xdr:twoCellAnchor>
  <xdr:twoCellAnchor>
    <xdr:from>
      <xdr:col>0</xdr:col>
      <xdr:colOff>192000</xdr:colOff>
      <xdr:row>172</xdr:row>
      <xdr:rowOff>45000</xdr:rowOff>
    </xdr:from>
    <xdr:to>
      <xdr:col>0</xdr:col>
      <xdr:colOff>428800</xdr:colOff>
      <xdr:row>172</xdr:row>
      <xdr:rowOff>270000</xdr:rowOff>
    </xdr:to>
    <xdr:pic>
      <xdr:nvPicPr>
        <xdr:cNvPr id="175" name="Picture 174"/>
        <xdr:cNvPicPr>
          <a:picLocks noChangeAspect="1"/>
        </xdr:cNvPicPr>
      </xdr:nvPicPr>
      <xdr:blipFill>
        <a:blip r:embed="rId170" cstate="print"/>
        <a:stretch>
          <a:fillRect/>
        </a:stretch>
      </xdr:blipFill>
      <xdr:spPr>
        <a:xfrm>
          <a:off x="191770" y="52508150"/>
          <a:ext cx="236855" cy="225425"/>
        </a:xfrm>
        <a:prstGeom prst="rect">
          <a:avLst/>
        </a:prstGeom>
      </xdr:spPr>
    </xdr:pic>
    <xdr:clientData/>
  </xdr:twoCellAnchor>
  <xdr:twoCellAnchor>
    <xdr:from>
      <xdr:col>0</xdr:col>
      <xdr:colOff>192000</xdr:colOff>
      <xdr:row>173</xdr:row>
      <xdr:rowOff>45000</xdr:rowOff>
    </xdr:from>
    <xdr:to>
      <xdr:col>0</xdr:col>
      <xdr:colOff>428800</xdr:colOff>
      <xdr:row>173</xdr:row>
      <xdr:rowOff>270000</xdr:rowOff>
    </xdr:to>
    <xdr:pic>
      <xdr:nvPicPr>
        <xdr:cNvPr id="176" name="Picture 175"/>
        <xdr:cNvPicPr>
          <a:picLocks noChangeAspect="1"/>
        </xdr:cNvPicPr>
      </xdr:nvPicPr>
      <xdr:blipFill>
        <a:blip r:embed="rId171" cstate="print"/>
        <a:stretch>
          <a:fillRect/>
        </a:stretch>
      </xdr:blipFill>
      <xdr:spPr>
        <a:xfrm>
          <a:off x="191770" y="52812950"/>
          <a:ext cx="236855" cy="225425"/>
        </a:xfrm>
        <a:prstGeom prst="rect">
          <a:avLst/>
        </a:prstGeom>
      </xdr:spPr>
    </xdr:pic>
    <xdr:clientData/>
  </xdr:twoCellAnchor>
  <xdr:twoCellAnchor>
    <xdr:from>
      <xdr:col>0</xdr:col>
      <xdr:colOff>192000</xdr:colOff>
      <xdr:row>174</xdr:row>
      <xdr:rowOff>45000</xdr:rowOff>
    </xdr:from>
    <xdr:to>
      <xdr:col>0</xdr:col>
      <xdr:colOff>428800</xdr:colOff>
      <xdr:row>174</xdr:row>
      <xdr:rowOff>270000</xdr:rowOff>
    </xdr:to>
    <xdr:pic>
      <xdr:nvPicPr>
        <xdr:cNvPr id="177" name="Picture 176"/>
        <xdr:cNvPicPr>
          <a:picLocks noChangeAspect="1"/>
        </xdr:cNvPicPr>
      </xdr:nvPicPr>
      <xdr:blipFill>
        <a:blip r:embed="rId172" cstate="print"/>
        <a:stretch>
          <a:fillRect/>
        </a:stretch>
      </xdr:blipFill>
      <xdr:spPr>
        <a:xfrm>
          <a:off x="191770" y="53117750"/>
          <a:ext cx="236855" cy="225425"/>
        </a:xfrm>
        <a:prstGeom prst="rect">
          <a:avLst/>
        </a:prstGeom>
      </xdr:spPr>
    </xdr:pic>
    <xdr:clientData/>
  </xdr:twoCellAnchor>
  <xdr:twoCellAnchor>
    <xdr:from>
      <xdr:col>0</xdr:col>
      <xdr:colOff>192000</xdr:colOff>
      <xdr:row>179</xdr:row>
      <xdr:rowOff>45000</xdr:rowOff>
    </xdr:from>
    <xdr:to>
      <xdr:col>0</xdr:col>
      <xdr:colOff>428800</xdr:colOff>
      <xdr:row>179</xdr:row>
      <xdr:rowOff>270000</xdr:rowOff>
    </xdr:to>
    <xdr:pic>
      <xdr:nvPicPr>
        <xdr:cNvPr id="178" name="Picture 177"/>
        <xdr:cNvPicPr>
          <a:picLocks noChangeAspect="1"/>
        </xdr:cNvPicPr>
      </xdr:nvPicPr>
      <xdr:blipFill>
        <a:blip r:embed="rId35" cstate="print"/>
        <a:stretch>
          <a:fillRect/>
        </a:stretch>
      </xdr:blipFill>
      <xdr:spPr>
        <a:xfrm>
          <a:off x="191770" y="54641750"/>
          <a:ext cx="236855" cy="225425"/>
        </a:xfrm>
        <a:prstGeom prst="rect">
          <a:avLst/>
        </a:prstGeom>
      </xdr:spPr>
    </xdr:pic>
    <xdr:clientData/>
  </xdr:twoCellAnchor>
  <xdr:twoCellAnchor>
    <xdr:from>
      <xdr:col>0</xdr:col>
      <xdr:colOff>192000</xdr:colOff>
      <xdr:row>175</xdr:row>
      <xdr:rowOff>45000</xdr:rowOff>
    </xdr:from>
    <xdr:to>
      <xdr:col>0</xdr:col>
      <xdr:colOff>428800</xdr:colOff>
      <xdr:row>175</xdr:row>
      <xdr:rowOff>270000</xdr:rowOff>
    </xdr:to>
    <xdr:pic>
      <xdr:nvPicPr>
        <xdr:cNvPr id="179" name="Picture 178"/>
        <xdr:cNvPicPr>
          <a:picLocks noChangeAspect="1"/>
        </xdr:cNvPicPr>
      </xdr:nvPicPr>
      <xdr:blipFill>
        <a:blip r:embed="rId173" cstate="print"/>
        <a:stretch>
          <a:fillRect/>
        </a:stretch>
      </xdr:blipFill>
      <xdr:spPr>
        <a:xfrm>
          <a:off x="191770" y="53422550"/>
          <a:ext cx="236855" cy="225425"/>
        </a:xfrm>
        <a:prstGeom prst="rect">
          <a:avLst/>
        </a:prstGeom>
      </xdr:spPr>
    </xdr:pic>
    <xdr:clientData/>
  </xdr:twoCellAnchor>
  <xdr:twoCellAnchor>
    <xdr:from>
      <xdr:col>0</xdr:col>
      <xdr:colOff>192000</xdr:colOff>
      <xdr:row>176</xdr:row>
      <xdr:rowOff>45000</xdr:rowOff>
    </xdr:from>
    <xdr:to>
      <xdr:col>0</xdr:col>
      <xdr:colOff>428800</xdr:colOff>
      <xdr:row>176</xdr:row>
      <xdr:rowOff>270000</xdr:rowOff>
    </xdr:to>
    <xdr:pic>
      <xdr:nvPicPr>
        <xdr:cNvPr id="180" name="Picture 179"/>
        <xdr:cNvPicPr>
          <a:picLocks noChangeAspect="1"/>
        </xdr:cNvPicPr>
      </xdr:nvPicPr>
      <xdr:blipFill>
        <a:blip r:embed="rId174" cstate="print"/>
        <a:stretch>
          <a:fillRect/>
        </a:stretch>
      </xdr:blipFill>
      <xdr:spPr>
        <a:xfrm>
          <a:off x="191770" y="53727350"/>
          <a:ext cx="236855" cy="225425"/>
        </a:xfrm>
        <a:prstGeom prst="rect">
          <a:avLst/>
        </a:prstGeom>
      </xdr:spPr>
    </xdr:pic>
    <xdr:clientData/>
  </xdr:twoCellAnchor>
  <xdr:twoCellAnchor>
    <xdr:from>
      <xdr:col>0</xdr:col>
      <xdr:colOff>192000</xdr:colOff>
      <xdr:row>177</xdr:row>
      <xdr:rowOff>45000</xdr:rowOff>
    </xdr:from>
    <xdr:to>
      <xdr:col>0</xdr:col>
      <xdr:colOff>428800</xdr:colOff>
      <xdr:row>177</xdr:row>
      <xdr:rowOff>270000</xdr:rowOff>
    </xdr:to>
    <xdr:pic>
      <xdr:nvPicPr>
        <xdr:cNvPr id="181" name="Picture 180"/>
        <xdr:cNvPicPr>
          <a:picLocks noChangeAspect="1"/>
        </xdr:cNvPicPr>
      </xdr:nvPicPr>
      <xdr:blipFill>
        <a:blip r:embed="rId175" cstate="print"/>
        <a:stretch>
          <a:fillRect/>
        </a:stretch>
      </xdr:blipFill>
      <xdr:spPr>
        <a:xfrm>
          <a:off x="191770" y="54032150"/>
          <a:ext cx="236855" cy="225425"/>
        </a:xfrm>
        <a:prstGeom prst="rect">
          <a:avLst/>
        </a:prstGeom>
      </xdr:spPr>
    </xdr:pic>
    <xdr:clientData/>
  </xdr:twoCellAnchor>
  <xdr:twoCellAnchor>
    <xdr:from>
      <xdr:col>0</xdr:col>
      <xdr:colOff>192000</xdr:colOff>
      <xdr:row>178</xdr:row>
      <xdr:rowOff>45000</xdr:rowOff>
    </xdr:from>
    <xdr:to>
      <xdr:col>0</xdr:col>
      <xdr:colOff>428800</xdr:colOff>
      <xdr:row>178</xdr:row>
      <xdr:rowOff>270000</xdr:rowOff>
    </xdr:to>
    <xdr:pic>
      <xdr:nvPicPr>
        <xdr:cNvPr id="182" name="Picture 181"/>
        <xdr:cNvPicPr>
          <a:picLocks noChangeAspect="1"/>
        </xdr:cNvPicPr>
      </xdr:nvPicPr>
      <xdr:blipFill>
        <a:blip r:embed="rId176" cstate="print"/>
        <a:stretch>
          <a:fillRect/>
        </a:stretch>
      </xdr:blipFill>
      <xdr:spPr>
        <a:xfrm>
          <a:off x="191770" y="54336950"/>
          <a:ext cx="236855" cy="225425"/>
        </a:xfrm>
        <a:prstGeom prst="rect">
          <a:avLst/>
        </a:prstGeom>
      </xdr:spPr>
    </xdr:pic>
    <xdr:clientData/>
  </xdr:twoCellAnchor>
  <xdr:twoCellAnchor>
    <xdr:from>
      <xdr:col>0</xdr:col>
      <xdr:colOff>192000</xdr:colOff>
      <xdr:row>180</xdr:row>
      <xdr:rowOff>45000</xdr:rowOff>
    </xdr:from>
    <xdr:to>
      <xdr:col>0</xdr:col>
      <xdr:colOff>428800</xdr:colOff>
      <xdr:row>180</xdr:row>
      <xdr:rowOff>270000</xdr:rowOff>
    </xdr:to>
    <xdr:pic>
      <xdr:nvPicPr>
        <xdr:cNvPr id="183" name="Picture 182"/>
        <xdr:cNvPicPr>
          <a:picLocks noChangeAspect="1"/>
        </xdr:cNvPicPr>
      </xdr:nvPicPr>
      <xdr:blipFill>
        <a:blip r:embed="rId177" cstate="print"/>
        <a:stretch>
          <a:fillRect/>
        </a:stretch>
      </xdr:blipFill>
      <xdr:spPr>
        <a:xfrm>
          <a:off x="191770" y="54946550"/>
          <a:ext cx="236855" cy="225425"/>
        </a:xfrm>
        <a:prstGeom prst="rect">
          <a:avLst/>
        </a:prstGeom>
      </xdr:spPr>
    </xdr:pic>
    <xdr:clientData/>
  </xdr:twoCellAnchor>
  <xdr:twoCellAnchor>
    <xdr:from>
      <xdr:col>0</xdr:col>
      <xdr:colOff>192000</xdr:colOff>
      <xdr:row>181</xdr:row>
      <xdr:rowOff>45000</xdr:rowOff>
    </xdr:from>
    <xdr:to>
      <xdr:col>0</xdr:col>
      <xdr:colOff>428800</xdr:colOff>
      <xdr:row>181</xdr:row>
      <xdr:rowOff>270000</xdr:rowOff>
    </xdr:to>
    <xdr:pic>
      <xdr:nvPicPr>
        <xdr:cNvPr id="184" name="Picture 183"/>
        <xdr:cNvPicPr>
          <a:picLocks noChangeAspect="1"/>
        </xdr:cNvPicPr>
      </xdr:nvPicPr>
      <xdr:blipFill>
        <a:blip r:embed="rId178" cstate="print"/>
        <a:stretch>
          <a:fillRect/>
        </a:stretch>
      </xdr:blipFill>
      <xdr:spPr>
        <a:xfrm>
          <a:off x="191770" y="55251350"/>
          <a:ext cx="236855" cy="225425"/>
        </a:xfrm>
        <a:prstGeom prst="rect">
          <a:avLst/>
        </a:prstGeom>
      </xdr:spPr>
    </xdr:pic>
    <xdr:clientData/>
  </xdr:twoCellAnchor>
  <xdr:twoCellAnchor>
    <xdr:from>
      <xdr:col>0</xdr:col>
      <xdr:colOff>192000</xdr:colOff>
      <xdr:row>182</xdr:row>
      <xdr:rowOff>45000</xdr:rowOff>
    </xdr:from>
    <xdr:to>
      <xdr:col>0</xdr:col>
      <xdr:colOff>428800</xdr:colOff>
      <xdr:row>182</xdr:row>
      <xdr:rowOff>270000</xdr:rowOff>
    </xdr:to>
    <xdr:pic>
      <xdr:nvPicPr>
        <xdr:cNvPr id="185" name="Picture 184"/>
        <xdr:cNvPicPr>
          <a:picLocks noChangeAspect="1"/>
        </xdr:cNvPicPr>
      </xdr:nvPicPr>
      <xdr:blipFill>
        <a:blip r:embed="rId179" cstate="print"/>
        <a:stretch>
          <a:fillRect/>
        </a:stretch>
      </xdr:blipFill>
      <xdr:spPr>
        <a:xfrm>
          <a:off x="191770" y="55556150"/>
          <a:ext cx="236855" cy="225425"/>
        </a:xfrm>
        <a:prstGeom prst="rect">
          <a:avLst/>
        </a:prstGeom>
      </xdr:spPr>
    </xdr:pic>
    <xdr:clientData/>
  </xdr:twoCellAnchor>
  <xdr:twoCellAnchor>
    <xdr:from>
      <xdr:col>0</xdr:col>
      <xdr:colOff>192000</xdr:colOff>
      <xdr:row>183</xdr:row>
      <xdr:rowOff>45000</xdr:rowOff>
    </xdr:from>
    <xdr:to>
      <xdr:col>0</xdr:col>
      <xdr:colOff>428800</xdr:colOff>
      <xdr:row>183</xdr:row>
      <xdr:rowOff>270000</xdr:rowOff>
    </xdr:to>
    <xdr:pic>
      <xdr:nvPicPr>
        <xdr:cNvPr id="186" name="Picture 185"/>
        <xdr:cNvPicPr>
          <a:picLocks noChangeAspect="1"/>
        </xdr:cNvPicPr>
      </xdr:nvPicPr>
      <xdr:blipFill>
        <a:blip r:embed="rId180" cstate="print"/>
        <a:stretch>
          <a:fillRect/>
        </a:stretch>
      </xdr:blipFill>
      <xdr:spPr>
        <a:xfrm>
          <a:off x="191770" y="55860950"/>
          <a:ext cx="236855" cy="225425"/>
        </a:xfrm>
        <a:prstGeom prst="rect">
          <a:avLst/>
        </a:prstGeom>
      </xdr:spPr>
    </xdr:pic>
    <xdr:clientData/>
  </xdr:twoCellAnchor>
  <xdr:twoCellAnchor>
    <xdr:from>
      <xdr:col>0</xdr:col>
      <xdr:colOff>192000</xdr:colOff>
      <xdr:row>184</xdr:row>
      <xdr:rowOff>45000</xdr:rowOff>
    </xdr:from>
    <xdr:to>
      <xdr:col>0</xdr:col>
      <xdr:colOff>428800</xdr:colOff>
      <xdr:row>184</xdr:row>
      <xdr:rowOff>270000</xdr:rowOff>
    </xdr:to>
    <xdr:pic>
      <xdr:nvPicPr>
        <xdr:cNvPr id="187" name="Picture 186"/>
        <xdr:cNvPicPr>
          <a:picLocks noChangeAspect="1"/>
        </xdr:cNvPicPr>
      </xdr:nvPicPr>
      <xdr:blipFill>
        <a:blip r:embed="rId181" cstate="print"/>
        <a:stretch>
          <a:fillRect/>
        </a:stretch>
      </xdr:blipFill>
      <xdr:spPr>
        <a:xfrm>
          <a:off x="191770" y="56165750"/>
          <a:ext cx="236855" cy="225425"/>
        </a:xfrm>
        <a:prstGeom prst="rect">
          <a:avLst/>
        </a:prstGeom>
      </xdr:spPr>
    </xdr:pic>
    <xdr:clientData/>
  </xdr:twoCellAnchor>
  <xdr:twoCellAnchor>
    <xdr:from>
      <xdr:col>0</xdr:col>
      <xdr:colOff>192000</xdr:colOff>
      <xdr:row>185</xdr:row>
      <xdr:rowOff>45000</xdr:rowOff>
    </xdr:from>
    <xdr:to>
      <xdr:col>0</xdr:col>
      <xdr:colOff>428800</xdr:colOff>
      <xdr:row>185</xdr:row>
      <xdr:rowOff>270000</xdr:rowOff>
    </xdr:to>
    <xdr:pic>
      <xdr:nvPicPr>
        <xdr:cNvPr id="188" name="Picture 187"/>
        <xdr:cNvPicPr>
          <a:picLocks noChangeAspect="1"/>
        </xdr:cNvPicPr>
      </xdr:nvPicPr>
      <xdr:blipFill>
        <a:blip r:embed="rId182" cstate="print"/>
        <a:stretch>
          <a:fillRect/>
        </a:stretch>
      </xdr:blipFill>
      <xdr:spPr>
        <a:xfrm>
          <a:off x="191770" y="56470550"/>
          <a:ext cx="236855" cy="225425"/>
        </a:xfrm>
        <a:prstGeom prst="rect">
          <a:avLst/>
        </a:prstGeom>
      </xdr:spPr>
    </xdr:pic>
    <xdr:clientData/>
  </xdr:twoCellAnchor>
  <xdr:twoCellAnchor>
    <xdr:from>
      <xdr:col>0</xdr:col>
      <xdr:colOff>192000</xdr:colOff>
      <xdr:row>186</xdr:row>
      <xdr:rowOff>45000</xdr:rowOff>
    </xdr:from>
    <xdr:to>
      <xdr:col>0</xdr:col>
      <xdr:colOff>428800</xdr:colOff>
      <xdr:row>186</xdr:row>
      <xdr:rowOff>270000</xdr:rowOff>
    </xdr:to>
    <xdr:pic>
      <xdr:nvPicPr>
        <xdr:cNvPr id="189" name="Picture 188"/>
        <xdr:cNvPicPr>
          <a:picLocks noChangeAspect="1"/>
        </xdr:cNvPicPr>
      </xdr:nvPicPr>
      <xdr:blipFill>
        <a:blip r:embed="rId183" cstate="print"/>
        <a:stretch>
          <a:fillRect/>
        </a:stretch>
      </xdr:blipFill>
      <xdr:spPr>
        <a:xfrm>
          <a:off x="191770" y="56775350"/>
          <a:ext cx="236855" cy="225425"/>
        </a:xfrm>
        <a:prstGeom prst="rect">
          <a:avLst/>
        </a:prstGeom>
      </xdr:spPr>
    </xdr:pic>
    <xdr:clientData/>
  </xdr:twoCellAnchor>
  <xdr:twoCellAnchor>
    <xdr:from>
      <xdr:col>0</xdr:col>
      <xdr:colOff>192000</xdr:colOff>
      <xdr:row>187</xdr:row>
      <xdr:rowOff>45000</xdr:rowOff>
    </xdr:from>
    <xdr:to>
      <xdr:col>0</xdr:col>
      <xdr:colOff>428800</xdr:colOff>
      <xdr:row>187</xdr:row>
      <xdr:rowOff>270000</xdr:rowOff>
    </xdr:to>
    <xdr:pic>
      <xdr:nvPicPr>
        <xdr:cNvPr id="190" name="Picture 189"/>
        <xdr:cNvPicPr>
          <a:picLocks noChangeAspect="1"/>
        </xdr:cNvPicPr>
      </xdr:nvPicPr>
      <xdr:blipFill>
        <a:blip r:embed="rId184" cstate="print"/>
        <a:stretch>
          <a:fillRect/>
        </a:stretch>
      </xdr:blipFill>
      <xdr:spPr>
        <a:xfrm>
          <a:off x="191770" y="57080150"/>
          <a:ext cx="236855" cy="225425"/>
        </a:xfrm>
        <a:prstGeom prst="rect">
          <a:avLst/>
        </a:prstGeom>
      </xdr:spPr>
    </xdr:pic>
    <xdr:clientData/>
  </xdr:twoCellAnchor>
  <xdr:twoCellAnchor>
    <xdr:from>
      <xdr:col>0</xdr:col>
      <xdr:colOff>192000</xdr:colOff>
      <xdr:row>188</xdr:row>
      <xdr:rowOff>45000</xdr:rowOff>
    </xdr:from>
    <xdr:to>
      <xdr:col>0</xdr:col>
      <xdr:colOff>428800</xdr:colOff>
      <xdr:row>188</xdr:row>
      <xdr:rowOff>270000</xdr:rowOff>
    </xdr:to>
    <xdr:pic>
      <xdr:nvPicPr>
        <xdr:cNvPr id="191" name="Picture 190"/>
        <xdr:cNvPicPr>
          <a:picLocks noChangeAspect="1"/>
        </xdr:cNvPicPr>
      </xdr:nvPicPr>
      <xdr:blipFill>
        <a:blip r:embed="rId185" cstate="print"/>
        <a:stretch>
          <a:fillRect/>
        </a:stretch>
      </xdr:blipFill>
      <xdr:spPr>
        <a:xfrm>
          <a:off x="191770" y="57384950"/>
          <a:ext cx="236855" cy="225425"/>
        </a:xfrm>
        <a:prstGeom prst="rect">
          <a:avLst/>
        </a:prstGeom>
      </xdr:spPr>
    </xdr:pic>
    <xdr:clientData/>
  </xdr:twoCellAnchor>
  <xdr:twoCellAnchor>
    <xdr:from>
      <xdr:col>0</xdr:col>
      <xdr:colOff>192000</xdr:colOff>
      <xdr:row>189</xdr:row>
      <xdr:rowOff>45000</xdr:rowOff>
    </xdr:from>
    <xdr:to>
      <xdr:col>0</xdr:col>
      <xdr:colOff>428800</xdr:colOff>
      <xdr:row>189</xdr:row>
      <xdr:rowOff>270000</xdr:rowOff>
    </xdr:to>
    <xdr:pic>
      <xdr:nvPicPr>
        <xdr:cNvPr id="192" name="Picture 191"/>
        <xdr:cNvPicPr>
          <a:picLocks noChangeAspect="1"/>
        </xdr:cNvPicPr>
      </xdr:nvPicPr>
      <xdr:blipFill>
        <a:blip r:embed="rId186" cstate="print"/>
        <a:stretch>
          <a:fillRect/>
        </a:stretch>
      </xdr:blipFill>
      <xdr:spPr>
        <a:xfrm>
          <a:off x="191770" y="57689750"/>
          <a:ext cx="236855" cy="225425"/>
        </a:xfrm>
        <a:prstGeom prst="rect">
          <a:avLst/>
        </a:prstGeom>
      </xdr:spPr>
    </xdr:pic>
    <xdr:clientData/>
  </xdr:twoCellAnchor>
  <xdr:twoCellAnchor>
    <xdr:from>
      <xdr:col>0</xdr:col>
      <xdr:colOff>192000</xdr:colOff>
      <xdr:row>191</xdr:row>
      <xdr:rowOff>45000</xdr:rowOff>
    </xdr:from>
    <xdr:to>
      <xdr:col>0</xdr:col>
      <xdr:colOff>428800</xdr:colOff>
      <xdr:row>191</xdr:row>
      <xdr:rowOff>270000</xdr:rowOff>
    </xdr:to>
    <xdr:pic>
      <xdr:nvPicPr>
        <xdr:cNvPr id="193" name="Picture 192"/>
        <xdr:cNvPicPr>
          <a:picLocks noChangeAspect="1"/>
        </xdr:cNvPicPr>
      </xdr:nvPicPr>
      <xdr:blipFill>
        <a:blip r:embed="rId187" cstate="print"/>
        <a:stretch>
          <a:fillRect/>
        </a:stretch>
      </xdr:blipFill>
      <xdr:spPr>
        <a:xfrm>
          <a:off x="191770" y="58299350"/>
          <a:ext cx="236855" cy="225425"/>
        </a:xfrm>
        <a:prstGeom prst="rect">
          <a:avLst/>
        </a:prstGeom>
      </xdr:spPr>
    </xdr:pic>
    <xdr:clientData/>
  </xdr:twoCellAnchor>
  <xdr:twoCellAnchor>
    <xdr:from>
      <xdr:col>0</xdr:col>
      <xdr:colOff>192000</xdr:colOff>
      <xdr:row>190</xdr:row>
      <xdr:rowOff>45000</xdr:rowOff>
    </xdr:from>
    <xdr:to>
      <xdr:col>0</xdr:col>
      <xdr:colOff>428800</xdr:colOff>
      <xdr:row>190</xdr:row>
      <xdr:rowOff>270000</xdr:rowOff>
    </xdr:to>
    <xdr:pic>
      <xdr:nvPicPr>
        <xdr:cNvPr id="194" name="Picture 193"/>
        <xdr:cNvPicPr>
          <a:picLocks noChangeAspect="1"/>
        </xdr:cNvPicPr>
      </xdr:nvPicPr>
      <xdr:blipFill>
        <a:blip r:embed="rId188" cstate="print"/>
        <a:stretch>
          <a:fillRect/>
        </a:stretch>
      </xdr:blipFill>
      <xdr:spPr>
        <a:xfrm>
          <a:off x="191770" y="57994550"/>
          <a:ext cx="236855" cy="225425"/>
        </a:xfrm>
        <a:prstGeom prst="rect">
          <a:avLst/>
        </a:prstGeom>
      </xdr:spPr>
    </xdr:pic>
    <xdr:clientData/>
  </xdr:twoCellAnchor>
  <xdr:twoCellAnchor>
    <xdr:from>
      <xdr:col>0</xdr:col>
      <xdr:colOff>192000</xdr:colOff>
      <xdr:row>192</xdr:row>
      <xdr:rowOff>45000</xdr:rowOff>
    </xdr:from>
    <xdr:to>
      <xdr:col>0</xdr:col>
      <xdr:colOff>428800</xdr:colOff>
      <xdr:row>192</xdr:row>
      <xdr:rowOff>270000</xdr:rowOff>
    </xdr:to>
    <xdr:pic>
      <xdr:nvPicPr>
        <xdr:cNvPr id="195" name="Picture 194"/>
        <xdr:cNvPicPr>
          <a:picLocks noChangeAspect="1"/>
        </xdr:cNvPicPr>
      </xdr:nvPicPr>
      <xdr:blipFill>
        <a:blip r:embed="rId189" cstate="print"/>
        <a:stretch>
          <a:fillRect/>
        </a:stretch>
      </xdr:blipFill>
      <xdr:spPr>
        <a:xfrm>
          <a:off x="191770" y="58604150"/>
          <a:ext cx="236855" cy="225425"/>
        </a:xfrm>
        <a:prstGeom prst="rect">
          <a:avLst/>
        </a:prstGeom>
      </xdr:spPr>
    </xdr:pic>
    <xdr:clientData/>
  </xdr:twoCellAnchor>
  <xdr:twoCellAnchor>
    <xdr:from>
      <xdr:col>0</xdr:col>
      <xdr:colOff>192000</xdr:colOff>
      <xdr:row>193</xdr:row>
      <xdr:rowOff>45000</xdr:rowOff>
    </xdr:from>
    <xdr:to>
      <xdr:col>0</xdr:col>
      <xdr:colOff>428800</xdr:colOff>
      <xdr:row>193</xdr:row>
      <xdr:rowOff>270000</xdr:rowOff>
    </xdr:to>
    <xdr:pic>
      <xdr:nvPicPr>
        <xdr:cNvPr id="196" name="Picture 195"/>
        <xdr:cNvPicPr>
          <a:picLocks noChangeAspect="1"/>
        </xdr:cNvPicPr>
      </xdr:nvPicPr>
      <xdr:blipFill>
        <a:blip r:embed="rId190" cstate="print"/>
        <a:stretch>
          <a:fillRect/>
        </a:stretch>
      </xdr:blipFill>
      <xdr:spPr>
        <a:xfrm>
          <a:off x="191770" y="58908950"/>
          <a:ext cx="236855" cy="225425"/>
        </a:xfrm>
        <a:prstGeom prst="rect">
          <a:avLst/>
        </a:prstGeom>
      </xdr:spPr>
    </xdr:pic>
    <xdr:clientData/>
  </xdr:twoCellAnchor>
  <xdr:twoCellAnchor>
    <xdr:from>
      <xdr:col>0</xdr:col>
      <xdr:colOff>192000</xdr:colOff>
      <xdr:row>194</xdr:row>
      <xdr:rowOff>45000</xdr:rowOff>
    </xdr:from>
    <xdr:to>
      <xdr:col>0</xdr:col>
      <xdr:colOff>428800</xdr:colOff>
      <xdr:row>194</xdr:row>
      <xdr:rowOff>270000</xdr:rowOff>
    </xdr:to>
    <xdr:pic>
      <xdr:nvPicPr>
        <xdr:cNvPr id="197" name="Picture 196"/>
        <xdr:cNvPicPr>
          <a:picLocks noChangeAspect="1"/>
        </xdr:cNvPicPr>
      </xdr:nvPicPr>
      <xdr:blipFill>
        <a:blip r:embed="rId191" cstate="print"/>
        <a:stretch>
          <a:fillRect/>
        </a:stretch>
      </xdr:blipFill>
      <xdr:spPr>
        <a:xfrm>
          <a:off x="191770" y="59213750"/>
          <a:ext cx="236855" cy="225425"/>
        </a:xfrm>
        <a:prstGeom prst="rect">
          <a:avLst/>
        </a:prstGeom>
      </xdr:spPr>
    </xdr:pic>
    <xdr:clientData/>
  </xdr:twoCellAnchor>
  <xdr:twoCellAnchor>
    <xdr:from>
      <xdr:col>0</xdr:col>
      <xdr:colOff>192000</xdr:colOff>
      <xdr:row>195</xdr:row>
      <xdr:rowOff>45000</xdr:rowOff>
    </xdr:from>
    <xdr:to>
      <xdr:col>0</xdr:col>
      <xdr:colOff>428800</xdr:colOff>
      <xdr:row>195</xdr:row>
      <xdr:rowOff>270000</xdr:rowOff>
    </xdr:to>
    <xdr:pic>
      <xdr:nvPicPr>
        <xdr:cNvPr id="198" name="Picture 197"/>
        <xdr:cNvPicPr>
          <a:picLocks noChangeAspect="1"/>
        </xdr:cNvPicPr>
      </xdr:nvPicPr>
      <xdr:blipFill>
        <a:blip r:embed="rId192" cstate="print"/>
        <a:stretch>
          <a:fillRect/>
        </a:stretch>
      </xdr:blipFill>
      <xdr:spPr>
        <a:xfrm>
          <a:off x="191770" y="59518550"/>
          <a:ext cx="236855" cy="225425"/>
        </a:xfrm>
        <a:prstGeom prst="rect">
          <a:avLst/>
        </a:prstGeom>
      </xdr:spPr>
    </xdr:pic>
    <xdr:clientData/>
  </xdr:twoCellAnchor>
  <xdr:twoCellAnchor>
    <xdr:from>
      <xdr:col>0</xdr:col>
      <xdr:colOff>192000</xdr:colOff>
      <xdr:row>197</xdr:row>
      <xdr:rowOff>45000</xdr:rowOff>
    </xdr:from>
    <xdr:to>
      <xdr:col>0</xdr:col>
      <xdr:colOff>428800</xdr:colOff>
      <xdr:row>197</xdr:row>
      <xdr:rowOff>270000</xdr:rowOff>
    </xdr:to>
    <xdr:pic>
      <xdr:nvPicPr>
        <xdr:cNvPr id="199" name="Picture 198"/>
        <xdr:cNvPicPr>
          <a:picLocks noChangeAspect="1"/>
        </xdr:cNvPicPr>
      </xdr:nvPicPr>
      <xdr:blipFill>
        <a:blip r:embed="rId193" cstate="print"/>
        <a:stretch>
          <a:fillRect/>
        </a:stretch>
      </xdr:blipFill>
      <xdr:spPr>
        <a:xfrm>
          <a:off x="191770" y="60128150"/>
          <a:ext cx="236855" cy="225425"/>
        </a:xfrm>
        <a:prstGeom prst="rect">
          <a:avLst/>
        </a:prstGeom>
      </xdr:spPr>
    </xdr:pic>
    <xdr:clientData/>
  </xdr:twoCellAnchor>
  <xdr:twoCellAnchor>
    <xdr:from>
      <xdr:col>0</xdr:col>
      <xdr:colOff>192000</xdr:colOff>
      <xdr:row>196</xdr:row>
      <xdr:rowOff>45000</xdr:rowOff>
    </xdr:from>
    <xdr:to>
      <xdr:col>0</xdr:col>
      <xdr:colOff>428800</xdr:colOff>
      <xdr:row>196</xdr:row>
      <xdr:rowOff>270000</xdr:rowOff>
    </xdr:to>
    <xdr:pic>
      <xdr:nvPicPr>
        <xdr:cNvPr id="200" name="Picture 199"/>
        <xdr:cNvPicPr>
          <a:picLocks noChangeAspect="1"/>
        </xdr:cNvPicPr>
      </xdr:nvPicPr>
      <xdr:blipFill>
        <a:blip r:embed="rId194" cstate="print"/>
        <a:stretch>
          <a:fillRect/>
        </a:stretch>
      </xdr:blipFill>
      <xdr:spPr>
        <a:xfrm>
          <a:off x="191770" y="59823350"/>
          <a:ext cx="236855" cy="225425"/>
        </a:xfrm>
        <a:prstGeom prst="rect">
          <a:avLst/>
        </a:prstGeom>
      </xdr:spPr>
    </xdr:pic>
    <xdr:clientData/>
  </xdr:twoCellAnchor>
  <xdr:twoCellAnchor>
    <xdr:from>
      <xdr:col>0</xdr:col>
      <xdr:colOff>192000</xdr:colOff>
      <xdr:row>198</xdr:row>
      <xdr:rowOff>45000</xdr:rowOff>
    </xdr:from>
    <xdr:to>
      <xdr:col>0</xdr:col>
      <xdr:colOff>428800</xdr:colOff>
      <xdr:row>198</xdr:row>
      <xdr:rowOff>270000</xdr:rowOff>
    </xdr:to>
    <xdr:pic>
      <xdr:nvPicPr>
        <xdr:cNvPr id="201" name="Picture 200"/>
        <xdr:cNvPicPr>
          <a:picLocks noChangeAspect="1"/>
        </xdr:cNvPicPr>
      </xdr:nvPicPr>
      <xdr:blipFill>
        <a:blip r:embed="rId195" cstate="print"/>
        <a:stretch>
          <a:fillRect/>
        </a:stretch>
      </xdr:blipFill>
      <xdr:spPr>
        <a:xfrm>
          <a:off x="191770" y="60432950"/>
          <a:ext cx="236855" cy="225425"/>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3" name="Picture 1"/>
        <xdr:cNvPicPr>
          <a:picLocks noChangeAspect="1"/>
        </xdr:cNvPicPr>
      </xdr:nvPicPr>
      <xdr:blipFill>
        <a:blip r:embed="rId196" cstate="print"/>
        <a:stretch>
          <a:fillRect/>
        </a:stretch>
      </xdr:blipFill>
      <xdr:spPr>
        <a:xfrm>
          <a:off x="191770" y="13017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5" name="Picture 2"/>
        <xdr:cNvPicPr>
          <a:picLocks noChangeAspect="1"/>
        </xdr:cNvPicPr>
      </xdr:nvPicPr>
      <xdr:blipFill>
        <a:blip r:embed="rId197" cstate="print"/>
        <a:stretch>
          <a:fillRect/>
        </a:stretch>
      </xdr:blipFill>
      <xdr:spPr>
        <a:xfrm>
          <a:off x="191770" y="16065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270000</xdr:rowOff>
    </xdr:to>
    <xdr:pic>
      <xdr:nvPicPr>
        <xdr:cNvPr id="202" name="Picture 3"/>
        <xdr:cNvPicPr>
          <a:picLocks noChangeAspect="1"/>
        </xdr:cNvPicPr>
      </xdr:nvPicPr>
      <xdr:blipFill>
        <a:blip r:embed="rId198" cstate="print"/>
        <a:stretch>
          <a:fillRect/>
        </a:stretch>
      </xdr:blipFill>
      <xdr:spPr>
        <a:xfrm>
          <a:off x="191770" y="3873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270000</xdr:rowOff>
    </xdr:to>
    <xdr:pic>
      <xdr:nvPicPr>
        <xdr:cNvPr id="203" name="Picture 4"/>
        <xdr:cNvPicPr>
          <a:picLocks noChangeAspect="1"/>
        </xdr:cNvPicPr>
      </xdr:nvPicPr>
      <xdr:blipFill>
        <a:blip r:embed="rId199" cstate="print"/>
        <a:stretch>
          <a:fillRect/>
        </a:stretch>
      </xdr:blipFill>
      <xdr:spPr>
        <a:xfrm>
          <a:off x="191770" y="9969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270000</xdr:rowOff>
    </xdr:to>
    <xdr:pic>
      <xdr:nvPicPr>
        <xdr:cNvPr id="204" name="Picture 5"/>
        <xdr:cNvPicPr>
          <a:picLocks noChangeAspect="1"/>
        </xdr:cNvPicPr>
      </xdr:nvPicPr>
      <xdr:blipFill>
        <a:blip r:embed="rId200" cstate="print"/>
        <a:stretch>
          <a:fillRect/>
        </a:stretch>
      </xdr:blipFill>
      <xdr:spPr>
        <a:xfrm>
          <a:off x="191770" y="6921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205" name="Picture 6"/>
        <xdr:cNvPicPr>
          <a:picLocks noChangeAspect="1"/>
        </xdr:cNvPicPr>
      </xdr:nvPicPr>
      <xdr:blipFill>
        <a:blip r:embed="rId201" cstate="print"/>
        <a:stretch>
          <a:fillRect/>
        </a:stretch>
      </xdr:blipFill>
      <xdr:spPr>
        <a:xfrm>
          <a:off x="191770" y="19113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206" name="Picture 7"/>
        <xdr:cNvPicPr>
          <a:picLocks noChangeAspect="1"/>
        </xdr:cNvPicPr>
      </xdr:nvPicPr>
      <xdr:blipFill>
        <a:blip r:embed="rId202" cstate="print"/>
        <a:stretch>
          <a:fillRect/>
        </a:stretch>
      </xdr:blipFill>
      <xdr:spPr>
        <a:xfrm>
          <a:off x="191770" y="22161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207" name="Picture 8"/>
        <xdr:cNvPicPr>
          <a:picLocks noChangeAspect="1"/>
        </xdr:cNvPicPr>
      </xdr:nvPicPr>
      <xdr:blipFill>
        <a:blip r:embed="rId203" cstate="print"/>
        <a:stretch>
          <a:fillRect/>
        </a:stretch>
      </xdr:blipFill>
      <xdr:spPr>
        <a:xfrm>
          <a:off x="191770" y="2520950"/>
          <a:ext cx="236855" cy="225425"/>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208" name="Picture 9"/>
        <xdr:cNvPicPr>
          <a:picLocks noChangeAspect="1"/>
        </xdr:cNvPicPr>
      </xdr:nvPicPr>
      <xdr:blipFill>
        <a:blip r:embed="rId204" cstate="print"/>
        <a:stretch>
          <a:fillRect/>
        </a:stretch>
      </xdr:blipFill>
      <xdr:spPr>
        <a:xfrm>
          <a:off x="191770" y="2825750"/>
          <a:ext cx="236855" cy="225425"/>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209" name="Picture 10"/>
        <xdr:cNvPicPr>
          <a:picLocks noChangeAspect="1"/>
        </xdr:cNvPicPr>
      </xdr:nvPicPr>
      <xdr:blipFill>
        <a:blip r:embed="rId205" cstate="print"/>
        <a:stretch>
          <a:fillRect/>
        </a:stretch>
      </xdr:blipFill>
      <xdr:spPr>
        <a:xfrm>
          <a:off x="191770" y="31305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210" name="Picture 11"/>
        <xdr:cNvPicPr>
          <a:picLocks noChangeAspect="1"/>
        </xdr:cNvPicPr>
      </xdr:nvPicPr>
      <xdr:blipFill>
        <a:blip r:embed="rId206" cstate="print"/>
        <a:stretch>
          <a:fillRect/>
        </a:stretch>
      </xdr:blipFill>
      <xdr:spPr>
        <a:xfrm>
          <a:off x="191770" y="34353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211" name="Picture 12"/>
        <xdr:cNvPicPr>
          <a:picLocks noChangeAspect="1"/>
        </xdr:cNvPicPr>
      </xdr:nvPicPr>
      <xdr:blipFill>
        <a:blip r:embed="rId207" cstate="print"/>
        <a:stretch>
          <a:fillRect/>
        </a:stretch>
      </xdr:blipFill>
      <xdr:spPr>
        <a:xfrm>
          <a:off x="191770" y="4044950"/>
          <a:ext cx="236855" cy="225425"/>
        </a:xfrm>
        <a:prstGeom prst="rect">
          <a:avLst/>
        </a:prstGeom>
      </xdr:spPr>
    </xdr:pic>
    <xdr:clientData/>
  </xdr:twoCellAnchor>
  <xdr:twoCellAnchor>
    <xdr:from>
      <xdr:col>0</xdr:col>
      <xdr:colOff>192000</xdr:colOff>
      <xdr:row>14</xdr:row>
      <xdr:rowOff>45000</xdr:rowOff>
    </xdr:from>
    <xdr:to>
      <xdr:col>0</xdr:col>
      <xdr:colOff>428800</xdr:colOff>
      <xdr:row>14</xdr:row>
      <xdr:rowOff>270000</xdr:rowOff>
    </xdr:to>
    <xdr:pic>
      <xdr:nvPicPr>
        <xdr:cNvPr id="212" name="Picture 13"/>
        <xdr:cNvPicPr>
          <a:picLocks noChangeAspect="1"/>
        </xdr:cNvPicPr>
      </xdr:nvPicPr>
      <xdr:blipFill>
        <a:blip r:embed="rId208" cstate="print"/>
        <a:stretch>
          <a:fillRect/>
        </a:stretch>
      </xdr:blipFill>
      <xdr:spPr>
        <a:xfrm>
          <a:off x="191770" y="4349750"/>
          <a:ext cx="236855" cy="225425"/>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213" name="Picture 14"/>
        <xdr:cNvPicPr>
          <a:picLocks noChangeAspect="1"/>
        </xdr:cNvPicPr>
      </xdr:nvPicPr>
      <xdr:blipFill>
        <a:blip r:embed="rId209" cstate="print"/>
        <a:stretch>
          <a:fillRect/>
        </a:stretch>
      </xdr:blipFill>
      <xdr:spPr>
        <a:xfrm>
          <a:off x="191770" y="37401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214" name="Picture 15"/>
        <xdr:cNvPicPr>
          <a:picLocks noChangeAspect="1"/>
        </xdr:cNvPicPr>
      </xdr:nvPicPr>
      <xdr:blipFill>
        <a:blip r:embed="rId210" cstate="print"/>
        <a:stretch>
          <a:fillRect/>
        </a:stretch>
      </xdr:blipFill>
      <xdr:spPr>
        <a:xfrm>
          <a:off x="191770" y="49593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215" name="Picture 16"/>
        <xdr:cNvPicPr>
          <a:picLocks noChangeAspect="1"/>
        </xdr:cNvPicPr>
      </xdr:nvPicPr>
      <xdr:blipFill>
        <a:blip r:embed="rId211" cstate="print"/>
        <a:stretch>
          <a:fillRect/>
        </a:stretch>
      </xdr:blipFill>
      <xdr:spPr>
        <a:xfrm>
          <a:off x="191770" y="5264150"/>
          <a:ext cx="236855" cy="225425"/>
        </a:xfrm>
        <a:prstGeom prst="rect">
          <a:avLst/>
        </a:prstGeom>
      </xdr:spPr>
    </xdr:pic>
    <xdr:clientData/>
  </xdr:twoCellAnchor>
  <xdr:twoCellAnchor>
    <xdr:from>
      <xdr:col>0</xdr:col>
      <xdr:colOff>192000</xdr:colOff>
      <xdr:row>15</xdr:row>
      <xdr:rowOff>45000</xdr:rowOff>
    </xdr:from>
    <xdr:to>
      <xdr:col>0</xdr:col>
      <xdr:colOff>428800</xdr:colOff>
      <xdr:row>15</xdr:row>
      <xdr:rowOff>270000</xdr:rowOff>
    </xdr:to>
    <xdr:pic>
      <xdr:nvPicPr>
        <xdr:cNvPr id="216" name="Picture 17"/>
        <xdr:cNvPicPr>
          <a:picLocks noChangeAspect="1"/>
        </xdr:cNvPicPr>
      </xdr:nvPicPr>
      <xdr:blipFill>
        <a:blip r:embed="rId212" cstate="print"/>
        <a:stretch>
          <a:fillRect/>
        </a:stretch>
      </xdr:blipFill>
      <xdr:spPr>
        <a:xfrm>
          <a:off x="191770" y="46545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217" name="Picture 18"/>
        <xdr:cNvPicPr>
          <a:picLocks noChangeAspect="1"/>
        </xdr:cNvPicPr>
      </xdr:nvPicPr>
      <xdr:blipFill>
        <a:blip r:embed="rId213" cstate="print"/>
        <a:stretch>
          <a:fillRect/>
        </a:stretch>
      </xdr:blipFill>
      <xdr:spPr>
        <a:xfrm>
          <a:off x="191770" y="55689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218" name="Picture 19"/>
        <xdr:cNvPicPr>
          <a:picLocks noChangeAspect="1"/>
        </xdr:cNvPicPr>
      </xdr:nvPicPr>
      <xdr:blipFill>
        <a:blip r:embed="rId214" cstate="print"/>
        <a:stretch>
          <a:fillRect/>
        </a:stretch>
      </xdr:blipFill>
      <xdr:spPr>
        <a:xfrm>
          <a:off x="191770" y="5873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19" name="Picture 20"/>
        <xdr:cNvPicPr>
          <a:picLocks noChangeAspect="1"/>
        </xdr:cNvPicPr>
      </xdr:nvPicPr>
      <xdr:blipFill>
        <a:blip r:embed="rId215" cstate="print"/>
        <a:stretch>
          <a:fillRect/>
        </a:stretch>
      </xdr:blipFill>
      <xdr:spPr>
        <a:xfrm>
          <a:off x="191770" y="61785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220" name="Picture 21"/>
        <xdr:cNvPicPr>
          <a:picLocks noChangeAspect="1"/>
        </xdr:cNvPicPr>
      </xdr:nvPicPr>
      <xdr:blipFill>
        <a:blip r:embed="rId216" cstate="print"/>
        <a:stretch>
          <a:fillRect/>
        </a:stretch>
      </xdr:blipFill>
      <xdr:spPr>
        <a:xfrm>
          <a:off x="191770" y="64833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221" name="Picture 22"/>
        <xdr:cNvPicPr>
          <a:picLocks noChangeAspect="1"/>
        </xdr:cNvPicPr>
      </xdr:nvPicPr>
      <xdr:blipFill>
        <a:blip r:embed="rId217" cstate="print"/>
        <a:stretch>
          <a:fillRect/>
        </a:stretch>
      </xdr:blipFill>
      <xdr:spPr>
        <a:xfrm>
          <a:off x="191770" y="67881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222" name="Picture 23"/>
        <xdr:cNvPicPr>
          <a:picLocks noChangeAspect="1"/>
        </xdr:cNvPicPr>
      </xdr:nvPicPr>
      <xdr:blipFill>
        <a:blip r:embed="rId218" cstate="print"/>
        <a:stretch>
          <a:fillRect/>
        </a:stretch>
      </xdr:blipFill>
      <xdr:spPr>
        <a:xfrm>
          <a:off x="191770" y="70929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23" name="Picture 24"/>
        <xdr:cNvPicPr>
          <a:picLocks noChangeAspect="1"/>
        </xdr:cNvPicPr>
      </xdr:nvPicPr>
      <xdr:blipFill>
        <a:blip r:embed="rId219" cstate="print"/>
        <a:stretch>
          <a:fillRect/>
        </a:stretch>
      </xdr:blipFill>
      <xdr:spPr>
        <a:xfrm>
          <a:off x="191770" y="7397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24" name="Picture 25"/>
        <xdr:cNvPicPr>
          <a:picLocks noChangeAspect="1"/>
        </xdr:cNvPicPr>
      </xdr:nvPicPr>
      <xdr:blipFill>
        <a:blip r:embed="rId220"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25" name="Picture 26"/>
        <xdr:cNvPicPr>
          <a:picLocks noChangeAspect="1"/>
        </xdr:cNvPicPr>
      </xdr:nvPicPr>
      <xdr:blipFill>
        <a:blip r:embed="rId221" cstate="print"/>
        <a:stretch>
          <a:fillRect/>
        </a:stretch>
      </xdr:blipFill>
      <xdr:spPr>
        <a:xfrm>
          <a:off x="191770" y="8007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226" name="Picture 27"/>
        <xdr:cNvPicPr>
          <a:picLocks noChangeAspect="1"/>
        </xdr:cNvPicPr>
      </xdr:nvPicPr>
      <xdr:blipFill>
        <a:blip r:embed="rId222" cstate="print"/>
        <a:stretch>
          <a:fillRect/>
        </a:stretch>
      </xdr:blipFill>
      <xdr:spPr>
        <a:xfrm>
          <a:off x="191770" y="83121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227" name="Picture 28"/>
        <xdr:cNvPicPr>
          <a:picLocks noChangeAspect="1"/>
        </xdr:cNvPicPr>
      </xdr:nvPicPr>
      <xdr:blipFill>
        <a:blip r:embed="rId223" cstate="print"/>
        <a:stretch>
          <a:fillRect/>
        </a:stretch>
      </xdr:blipFill>
      <xdr:spPr>
        <a:xfrm>
          <a:off x="191770" y="98361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228" name="Picture 29"/>
        <xdr:cNvPicPr>
          <a:picLocks noChangeAspect="1"/>
        </xdr:cNvPicPr>
      </xdr:nvPicPr>
      <xdr:blipFill>
        <a:blip r:embed="rId224" cstate="print"/>
        <a:stretch>
          <a:fillRect/>
        </a:stretch>
      </xdr:blipFill>
      <xdr:spPr>
        <a:xfrm>
          <a:off x="191770" y="9226550"/>
          <a:ext cx="236855" cy="225425"/>
        </a:xfrm>
        <a:prstGeom prst="rect">
          <a:avLst/>
        </a:prstGeom>
      </xdr:spPr>
    </xdr:pic>
    <xdr:clientData/>
  </xdr:twoCellAnchor>
  <xdr:twoCellAnchor>
    <xdr:from>
      <xdr:col>0</xdr:col>
      <xdr:colOff>192000</xdr:colOff>
      <xdr:row>28</xdr:row>
      <xdr:rowOff>44999</xdr:rowOff>
    </xdr:from>
    <xdr:to>
      <xdr:col>0</xdr:col>
      <xdr:colOff>428800</xdr:colOff>
      <xdr:row>28</xdr:row>
      <xdr:rowOff>269999</xdr:rowOff>
    </xdr:to>
    <xdr:pic>
      <xdr:nvPicPr>
        <xdr:cNvPr id="229" name="Picture 30"/>
        <xdr:cNvPicPr>
          <a:picLocks noChangeAspect="1"/>
        </xdr:cNvPicPr>
      </xdr:nvPicPr>
      <xdr:blipFill>
        <a:blip r:embed="rId225" cstate="print"/>
        <a:stretch>
          <a:fillRect/>
        </a:stretch>
      </xdr:blipFill>
      <xdr:spPr>
        <a:xfrm>
          <a:off x="191770" y="86169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230" name="Picture 31"/>
        <xdr:cNvPicPr>
          <a:picLocks noChangeAspect="1"/>
        </xdr:cNvPicPr>
      </xdr:nvPicPr>
      <xdr:blipFill>
        <a:blip r:embed="rId226" cstate="print"/>
        <a:stretch>
          <a:fillRect/>
        </a:stretch>
      </xdr:blipFill>
      <xdr:spPr>
        <a:xfrm>
          <a:off x="191770" y="95313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231" name="Picture 32"/>
        <xdr:cNvPicPr>
          <a:picLocks noChangeAspect="1"/>
        </xdr:cNvPicPr>
      </xdr:nvPicPr>
      <xdr:blipFill>
        <a:blip r:embed="rId227" cstate="print"/>
        <a:stretch>
          <a:fillRect/>
        </a:stretch>
      </xdr:blipFill>
      <xdr:spPr>
        <a:xfrm>
          <a:off x="191770" y="8921750"/>
          <a:ext cx="236855" cy="225425"/>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232" name="Picture 33"/>
        <xdr:cNvPicPr>
          <a:picLocks noChangeAspect="1"/>
        </xdr:cNvPicPr>
      </xdr:nvPicPr>
      <xdr:blipFill>
        <a:blip r:embed="rId228" cstate="print"/>
        <a:stretch>
          <a:fillRect/>
        </a:stretch>
      </xdr:blipFill>
      <xdr:spPr>
        <a:xfrm>
          <a:off x="191770" y="10140950"/>
          <a:ext cx="236855" cy="225425"/>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233" name="Picture 34"/>
        <xdr:cNvPicPr>
          <a:picLocks noChangeAspect="1"/>
        </xdr:cNvPicPr>
      </xdr:nvPicPr>
      <xdr:blipFill>
        <a:blip r:embed="rId229" cstate="print"/>
        <a:stretch>
          <a:fillRect/>
        </a:stretch>
      </xdr:blipFill>
      <xdr:spPr>
        <a:xfrm>
          <a:off x="191770" y="10750550"/>
          <a:ext cx="236855" cy="225425"/>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234" name="Picture 35"/>
        <xdr:cNvPicPr>
          <a:picLocks noChangeAspect="1"/>
        </xdr:cNvPicPr>
      </xdr:nvPicPr>
      <xdr:blipFill>
        <a:blip r:embed="rId230" cstate="print"/>
        <a:stretch>
          <a:fillRect/>
        </a:stretch>
      </xdr:blipFill>
      <xdr:spPr>
        <a:xfrm>
          <a:off x="191770" y="104457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235" name="Picture 36"/>
        <xdr:cNvPicPr>
          <a:picLocks noChangeAspect="1"/>
        </xdr:cNvPicPr>
      </xdr:nvPicPr>
      <xdr:blipFill>
        <a:blip r:embed="rId231" cstate="print"/>
        <a:stretch>
          <a:fillRect/>
        </a:stretch>
      </xdr:blipFill>
      <xdr:spPr>
        <a:xfrm>
          <a:off x="191770" y="11055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236" name="Picture 37"/>
        <xdr:cNvPicPr>
          <a:picLocks noChangeAspect="1"/>
        </xdr:cNvPicPr>
      </xdr:nvPicPr>
      <xdr:blipFill>
        <a:blip r:embed="rId232" cstate="print"/>
        <a:stretch>
          <a:fillRect/>
        </a:stretch>
      </xdr:blipFill>
      <xdr:spPr>
        <a:xfrm>
          <a:off x="191770" y="113601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237" name="Picture 38"/>
        <xdr:cNvPicPr>
          <a:picLocks noChangeAspect="1"/>
        </xdr:cNvPicPr>
      </xdr:nvPicPr>
      <xdr:blipFill>
        <a:blip r:embed="rId233"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238" name="Picture 39"/>
        <xdr:cNvPicPr>
          <a:picLocks noChangeAspect="1"/>
        </xdr:cNvPicPr>
      </xdr:nvPicPr>
      <xdr:blipFill>
        <a:blip r:embed="rId234" cstate="print"/>
        <a:stretch>
          <a:fillRect/>
        </a:stretch>
      </xdr:blipFill>
      <xdr:spPr>
        <a:xfrm>
          <a:off x="191770" y="119697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239" name="Picture 40"/>
        <xdr:cNvPicPr>
          <a:picLocks noChangeAspect="1"/>
        </xdr:cNvPicPr>
      </xdr:nvPicPr>
      <xdr:blipFill>
        <a:blip r:embed="rId235" cstate="print"/>
        <a:stretch>
          <a:fillRect/>
        </a:stretch>
      </xdr:blipFill>
      <xdr:spPr>
        <a:xfrm>
          <a:off x="191770" y="122745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240" name="Picture 41"/>
        <xdr:cNvPicPr>
          <a:picLocks noChangeAspect="1"/>
        </xdr:cNvPicPr>
      </xdr:nvPicPr>
      <xdr:blipFill>
        <a:blip r:embed="rId236" cstate="print"/>
        <a:stretch>
          <a:fillRect/>
        </a:stretch>
      </xdr:blipFill>
      <xdr:spPr>
        <a:xfrm>
          <a:off x="191770" y="12579350"/>
          <a:ext cx="236855" cy="225425"/>
        </a:xfrm>
        <a:prstGeom prst="rect">
          <a:avLst/>
        </a:prstGeom>
      </xdr:spPr>
    </xdr:pic>
    <xdr:clientData/>
  </xdr:twoCellAnchor>
  <xdr:twoCellAnchor>
    <xdr:from>
      <xdr:col>0</xdr:col>
      <xdr:colOff>192000</xdr:colOff>
      <xdr:row>42</xdr:row>
      <xdr:rowOff>44999</xdr:rowOff>
    </xdr:from>
    <xdr:to>
      <xdr:col>0</xdr:col>
      <xdr:colOff>428800</xdr:colOff>
      <xdr:row>42</xdr:row>
      <xdr:rowOff>269999</xdr:rowOff>
    </xdr:to>
    <xdr:pic>
      <xdr:nvPicPr>
        <xdr:cNvPr id="241" name="Picture 42"/>
        <xdr:cNvPicPr>
          <a:picLocks noChangeAspect="1"/>
        </xdr:cNvPicPr>
      </xdr:nvPicPr>
      <xdr:blipFill>
        <a:blip r:embed="rId237" cstate="print"/>
        <a:stretch>
          <a:fillRect/>
        </a:stretch>
      </xdr:blipFill>
      <xdr:spPr>
        <a:xfrm>
          <a:off x="191770" y="12884150"/>
          <a:ext cx="236855" cy="225425"/>
        </a:xfrm>
        <a:prstGeom prst="rect">
          <a:avLst/>
        </a:prstGeom>
      </xdr:spPr>
    </xdr:pic>
    <xdr:clientData/>
  </xdr:twoCellAnchor>
  <xdr:twoCellAnchor>
    <xdr:from>
      <xdr:col>0</xdr:col>
      <xdr:colOff>192000</xdr:colOff>
      <xdr:row>44</xdr:row>
      <xdr:rowOff>44999</xdr:rowOff>
    </xdr:from>
    <xdr:to>
      <xdr:col>0</xdr:col>
      <xdr:colOff>428800</xdr:colOff>
      <xdr:row>44</xdr:row>
      <xdr:rowOff>269999</xdr:rowOff>
    </xdr:to>
    <xdr:pic>
      <xdr:nvPicPr>
        <xdr:cNvPr id="242" name="Picture 43"/>
        <xdr:cNvPicPr>
          <a:picLocks noChangeAspect="1"/>
        </xdr:cNvPicPr>
      </xdr:nvPicPr>
      <xdr:blipFill>
        <a:blip r:embed="rId238" cstate="print"/>
        <a:stretch>
          <a:fillRect/>
        </a:stretch>
      </xdr:blipFill>
      <xdr:spPr>
        <a:xfrm>
          <a:off x="191770" y="13493750"/>
          <a:ext cx="236855" cy="225425"/>
        </a:xfrm>
        <a:prstGeom prst="rect">
          <a:avLst/>
        </a:prstGeom>
      </xdr:spPr>
    </xdr:pic>
    <xdr:clientData/>
  </xdr:twoCellAnchor>
  <xdr:twoCellAnchor>
    <xdr:from>
      <xdr:col>0</xdr:col>
      <xdr:colOff>192000</xdr:colOff>
      <xdr:row>45</xdr:row>
      <xdr:rowOff>44999</xdr:rowOff>
    </xdr:from>
    <xdr:to>
      <xdr:col>0</xdr:col>
      <xdr:colOff>428800</xdr:colOff>
      <xdr:row>45</xdr:row>
      <xdr:rowOff>269999</xdr:rowOff>
    </xdr:to>
    <xdr:pic>
      <xdr:nvPicPr>
        <xdr:cNvPr id="243" name="Picture 44"/>
        <xdr:cNvPicPr>
          <a:picLocks noChangeAspect="1"/>
        </xdr:cNvPicPr>
      </xdr:nvPicPr>
      <xdr:blipFill>
        <a:blip r:embed="rId239" cstate="print"/>
        <a:stretch>
          <a:fillRect/>
        </a:stretch>
      </xdr:blipFill>
      <xdr:spPr>
        <a:xfrm>
          <a:off x="191770" y="137985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269999</xdr:rowOff>
    </xdr:to>
    <xdr:pic>
      <xdr:nvPicPr>
        <xdr:cNvPr id="244" name="Picture 45"/>
        <xdr:cNvPicPr>
          <a:picLocks noChangeAspect="1"/>
        </xdr:cNvPicPr>
      </xdr:nvPicPr>
      <xdr:blipFill>
        <a:blip r:embed="rId240" cstate="print"/>
        <a:stretch>
          <a:fillRect/>
        </a:stretch>
      </xdr:blipFill>
      <xdr:spPr>
        <a:xfrm>
          <a:off x="191770" y="13188950"/>
          <a:ext cx="236855" cy="225425"/>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245" name="Picture 46"/>
        <xdr:cNvPicPr>
          <a:picLocks noChangeAspect="1"/>
        </xdr:cNvPicPr>
      </xdr:nvPicPr>
      <xdr:blipFill>
        <a:blip r:embed="rId241" cstate="print"/>
        <a:stretch>
          <a:fillRect/>
        </a:stretch>
      </xdr:blipFill>
      <xdr:spPr>
        <a:xfrm>
          <a:off x="191770" y="14103350"/>
          <a:ext cx="236855" cy="225425"/>
        </a:xfrm>
        <a:prstGeom prst="rect">
          <a:avLst/>
        </a:prstGeom>
      </xdr:spPr>
    </xdr:pic>
    <xdr:clientData/>
  </xdr:twoCellAnchor>
  <xdr:twoCellAnchor>
    <xdr:from>
      <xdr:col>0</xdr:col>
      <xdr:colOff>192000</xdr:colOff>
      <xdr:row>47</xdr:row>
      <xdr:rowOff>44999</xdr:rowOff>
    </xdr:from>
    <xdr:to>
      <xdr:col>0</xdr:col>
      <xdr:colOff>428800</xdr:colOff>
      <xdr:row>47</xdr:row>
      <xdr:rowOff>269999</xdr:rowOff>
    </xdr:to>
    <xdr:pic>
      <xdr:nvPicPr>
        <xdr:cNvPr id="246" name="Picture 47"/>
        <xdr:cNvPicPr>
          <a:picLocks noChangeAspect="1"/>
        </xdr:cNvPicPr>
      </xdr:nvPicPr>
      <xdr:blipFill>
        <a:blip r:embed="rId242" cstate="print"/>
        <a:stretch>
          <a:fillRect/>
        </a:stretch>
      </xdr:blipFill>
      <xdr:spPr>
        <a:xfrm>
          <a:off x="191770" y="14408150"/>
          <a:ext cx="236855" cy="225425"/>
        </a:xfrm>
        <a:prstGeom prst="rect">
          <a:avLst/>
        </a:prstGeom>
      </xdr:spPr>
    </xdr:pic>
    <xdr:clientData/>
  </xdr:twoCellAnchor>
  <xdr:twoCellAnchor>
    <xdr:from>
      <xdr:col>0</xdr:col>
      <xdr:colOff>192000</xdr:colOff>
      <xdr:row>48</xdr:row>
      <xdr:rowOff>44999</xdr:rowOff>
    </xdr:from>
    <xdr:to>
      <xdr:col>0</xdr:col>
      <xdr:colOff>428800</xdr:colOff>
      <xdr:row>48</xdr:row>
      <xdr:rowOff>269999</xdr:rowOff>
    </xdr:to>
    <xdr:pic>
      <xdr:nvPicPr>
        <xdr:cNvPr id="247" name="Picture 48"/>
        <xdr:cNvPicPr>
          <a:picLocks noChangeAspect="1"/>
        </xdr:cNvPicPr>
      </xdr:nvPicPr>
      <xdr:blipFill>
        <a:blip r:embed="rId243" cstate="print"/>
        <a:stretch>
          <a:fillRect/>
        </a:stretch>
      </xdr:blipFill>
      <xdr:spPr>
        <a:xfrm>
          <a:off x="191770" y="14712950"/>
          <a:ext cx="236855" cy="225425"/>
        </a:xfrm>
        <a:prstGeom prst="rect">
          <a:avLst/>
        </a:prstGeom>
      </xdr:spPr>
    </xdr:pic>
    <xdr:clientData/>
  </xdr:twoCellAnchor>
  <xdr:twoCellAnchor>
    <xdr:from>
      <xdr:col>0</xdr:col>
      <xdr:colOff>192000</xdr:colOff>
      <xdr:row>49</xdr:row>
      <xdr:rowOff>44999</xdr:rowOff>
    </xdr:from>
    <xdr:to>
      <xdr:col>0</xdr:col>
      <xdr:colOff>428800</xdr:colOff>
      <xdr:row>49</xdr:row>
      <xdr:rowOff>269999</xdr:rowOff>
    </xdr:to>
    <xdr:pic>
      <xdr:nvPicPr>
        <xdr:cNvPr id="248" name="Picture 49"/>
        <xdr:cNvPicPr>
          <a:picLocks noChangeAspect="1"/>
        </xdr:cNvPicPr>
      </xdr:nvPicPr>
      <xdr:blipFill>
        <a:blip r:embed="rId244" cstate="print"/>
        <a:stretch>
          <a:fillRect/>
        </a:stretch>
      </xdr:blipFill>
      <xdr:spPr>
        <a:xfrm>
          <a:off x="191770" y="15017750"/>
          <a:ext cx="236855" cy="225425"/>
        </a:xfrm>
        <a:prstGeom prst="rect">
          <a:avLst/>
        </a:prstGeom>
      </xdr:spPr>
    </xdr:pic>
    <xdr:clientData/>
  </xdr:twoCellAnchor>
  <xdr:twoCellAnchor>
    <xdr:from>
      <xdr:col>0</xdr:col>
      <xdr:colOff>192000</xdr:colOff>
      <xdr:row>50</xdr:row>
      <xdr:rowOff>44999</xdr:rowOff>
    </xdr:from>
    <xdr:to>
      <xdr:col>0</xdr:col>
      <xdr:colOff>428800</xdr:colOff>
      <xdr:row>50</xdr:row>
      <xdr:rowOff>269999</xdr:rowOff>
    </xdr:to>
    <xdr:pic>
      <xdr:nvPicPr>
        <xdr:cNvPr id="249" name="Picture 50"/>
        <xdr:cNvPicPr>
          <a:picLocks noChangeAspect="1"/>
        </xdr:cNvPicPr>
      </xdr:nvPicPr>
      <xdr:blipFill>
        <a:blip r:embed="rId245" cstate="print"/>
        <a:stretch>
          <a:fillRect/>
        </a:stretch>
      </xdr:blipFill>
      <xdr:spPr>
        <a:xfrm>
          <a:off x="191770" y="15322550"/>
          <a:ext cx="236855" cy="225425"/>
        </a:xfrm>
        <a:prstGeom prst="rect">
          <a:avLst/>
        </a:prstGeom>
      </xdr:spPr>
    </xdr:pic>
    <xdr:clientData/>
  </xdr:twoCellAnchor>
  <xdr:twoCellAnchor>
    <xdr:from>
      <xdr:col>0</xdr:col>
      <xdr:colOff>192000</xdr:colOff>
      <xdr:row>51</xdr:row>
      <xdr:rowOff>44999</xdr:rowOff>
    </xdr:from>
    <xdr:to>
      <xdr:col>0</xdr:col>
      <xdr:colOff>428800</xdr:colOff>
      <xdr:row>51</xdr:row>
      <xdr:rowOff>269999</xdr:rowOff>
    </xdr:to>
    <xdr:pic>
      <xdr:nvPicPr>
        <xdr:cNvPr id="250" name="Picture 51"/>
        <xdr:cNvPicPr>
          <a:picLocks noChangeAspect="1"/>
        </xdr:cNvPicPr>
      </xdr:nvPicPr>
      <xdr:blipFill>
        <a:blip r:embed="rId246" cstate="print"/>
        <a:stretch>
          <a:fillRect/>
        </a:stretch>
      </xdr:blipFill>
      <xdr:spPr>
        <a:xfrm>
          <a:off x="191770" y="15627350"/>
          <a:ext cx="236855" cy="225425"/>
        </a:xfrm>
        <a:prstGeom prst="rect">
          <a:avLst/>
        </a:prstGeom>
      </xdr:spPr>
    </xdr:pic>
    <xdr:clientData/>
  </xdr:twoCellAnchor>
  <xdr:twoCellAnchor>
    <xdr:from>
      <xdr:col>0</xdr:col>
      <xdr:colOff>192000</xdr:colOff>
      <xdr:row>52</xdr:row>
      <xdr:rowOff>44999</xdr:rowOff>
    </xdr:from>
    <xdr:to>
      <xdr:col>0</xdr:col>
      <xdr:colOff>428800</xdr:colOff>
      <xdr:row>52</xdr:row>
      <xdr:rowOff>269999</xdr:rowOff>
    </xdr:to>
    <xdr:pic>
      <xdr:nvPicPr>
        <xdr:cNvPr id="251" name="Picture 52"/>
        <xdr:cNvPicPr>
          <a:picLocks noChangeAspect="1"/>
        </xdr:cNvPicPr>
      </xdr:nvPicPr>
      <xdr:blipFill>
        <a:blip r:embed="rId247" cstate="print"/>
        <a:stretch>
          <a:fillRect/>
        </a:stretch>
      </xdr:blipFill>
      <xdr:spPr>
        <a:xfrm>
          <a:off x="191770" y="15932150"/>
          <a:ext cx="236855" cy="225425"/>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252" name="Picture 53"/>
        <xdr:cNvPicPr>
          <a:picLocks noChangeAspect="1"/>
        </xdr:cNvPicPr>
      </xdr:nvPicPr>
      <xdr:blipFill>
        <a:blip r:embed="rId248" cstate="print"/>
        <a:stretch>
          <a:fillRect/>
        </a:stretch>
      </xdr:blipFill>
      <xdr:spPr>
        <a:xfrm>
          <a:off x="191770" y="16541750"/>
          <a:ext cx="236855" cy="225425"/>
        </a:xfrm>
        <a:prstGeom prst="rect">
          <a:avLst/>
        </a:prstGeom>
      </xdr:spPr>
    </xdr:pic>
    <xdr:clientData/>
  </xdr:twoCellAnchor>
  <xdr:twoCellAnchor>
    <xdr:from>
      <xdr:col>0</xdr:col>
      <xdr:colOff>192000</xdr:colOff>
      <xdr:row>53</xdr:row>
      <xdr:rowOff>44999</xdr:rowOff>
    </xdr:from>
    <xdr:to>
      <xdr:col>0</xdr:col>
      <xdr:colOff>428800</xdr:colOff>
      <xdr:row>53</xdr:row>
      <xdr:rowOff>269999</xdr:rowOff>
    </xdr:to>
    <xdr:pic>
      <xdr:nvPicPr>
        <xdr:cNvPr id="253" name="Picture 54"/>
        <xdr:cNvPicPr>
          <a:picLocks noChangeAspect="1"/>
        </xdr:cNvPicPr>
      </xdr:nvPicPr>
      <xdr:blipFill>
        <a:blip r:embed="rId249" cstate="print"/>
        <a:stretch>
          <a:fillRect/>
        </a:stretch>
      </xdr:blipFill>
      <xdr:spPr>
        <a:xfrm>
          <a:off x="191770" y="16236950"/>
          <a:ext cx="236855" cy="225425"/>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254" name="Picture 55"/>
        <xdr:cNvPicPr>
          <a:picLocks noChangeAspect="1"/>
        </xdr:cNvPicPr>
      </xdr:nvPicPr>
      <xdr:blipFill>
        <a:blip r:embed="rId250" cstate="print"/>
        <a:stretch>
          <a:fillRect/>
        </a:stretch>
      </xdr:blipFill>
      <xdr:spPr>
        <a:xfrm>
          <a:off x="191770" y="16846550"/>
          <a:ext cx="236855" cy="225425"/>
        </a:xfrm>
        <a:prstGeom prst="rect">
          <a:avLst/>
        </a:prstGeom>
      </xdr:spPr>
    </xdr:pic>
    <xdr:clientData/>
  </xdr:twoCellAnchor>
  <xdr:twoCellAnchor>
    <xdr:from>
      <xdr:col>0</xdr:col>
      <xdr:colOff>192000</xdr:colOff>
      <xdr:row>56</xdr:row>
      <xdr:rowOff>44999</xdr:rowOff>
    </xdr:from>
    <xdr:to>
      <xdr:col>0</xdr:col>
      <xdr:colOff>428800</xdr:colOff>
      <xdr:row>56</xdr:row>
      <xdr:rowOff>269999</xdr:rowOff>
    </xdr:to>
    <xdr:pic>
      <xdr:nvPicPr>
        <xdr:cNvPr id="255" name="Picture 56"/>
        <xdr:cNvPicPr>
          <a:picLocks noChangeAspect="1"/>
        </xdr:cNvPicPr>
      </xdr:nvPicPr>
      <xdr:blipFill>
        <a:blip r:embed="rId251" cstate="print"/>
        <a:stretch>
          <a:fillRect/>
        </a:stretch>
      </xdr:blipFill>
      <xdr:spPr>
        <a:xfrm>
          <a:off x="191770" y="17151350"/>
          <a:ext cx="236855" cy="225425"/>
        </a:xfrm>
        <a:prstGeom prst="rect">
          <a:avLst/>
        </a:prstGeom>
      </xdr:spPr>
    </xdr:pic>
    <xdr:clientData/>
  </xdr:twoCellAnchor>
  <xdr:twoCellAnchor>
    <xdr:from>
      <xdr:col>0</xdr:col>
      <xdr:colOff>192000</xdr:colOff>
      <xdr:row>58</xdr:row>
      <xdr:rowOff>44999</xdr:rowOff>
    </xdr:from>
    <xdr:to>
      <xdr:col>0</xdr:col>
      <xdr:colOff>428800</xdr:colOff>
      <xdr:row>58</xdr:row>
      <xdr:rowOff>269999</xdr:rowOff>
    </xdr:to>
    <xdr:pic>
      <xdr:nvPicPr>
        <xdr:cNvPr id="256" name="Picture 57"/>
        <xdr:cNvPicPr>
          <a:picLocks noChangeAspect="1"/>
        </xdr:cNvPicPr>
      </xdr:nvPicPr>
      <xdr:blipFill>
        <a:blip r:embed="rId252" cstate="print"/>
        <a:stretch>
          <a:fillRect/>
        </a:stretch>
      </xdr:blipFill>
      <xdr:spPr>
        <a:xfrm>
          <a:off x="191770" y="17760950"/>
          <a:ext cx="236855" cy="225425"/>
        </a:xfrm>
        <a:prstGeom prst="rect">
          <a:avLst/>
        </a:prstGeom>
      </xdr:spPr>
    </xdr:pic>
    <xdr:clientData/>
  </xdr:twoCellAnchor>
  <xdr:twoCellAnchor>
    <xdr:from>
      <xdr:col>0</xdr:col>
      <xdr:colOff>192000</xdr:colOff>
      <xdr:row>59</xdr:row>
      <xdr:rowOff>44999</xdr:rowOff>
    </xdr:from>
    <xdr:to>
      <xdr:col>0</xdr:col>
      <xdr:colOff>428800</xdr:colOff>
      <xdr:row>59</xdr:row>
      <xdr:rowOff>269999</xdr:rowOff>
    </xdr:to>
    <xdr:pic>
      <xdr:nvPicPr>
        <xdr:cNvPr id="257" name="Picture 58"/>
        <xdr:cNvPicPr>
          <a:picLocks noChangeAspect="1"/>
        </xdr:cNvPicPr>
      </xdr:nvPicPr>
      <xdr:blipFill>
        <a:blip r:embed="rId253" cstate="print"/>
        <a:stretch>
          <a:fillRect/>
        </a:stretch>
      </xdr:blipFill>
      <xdr:spPr>
        <a:xfrm>
          <a:off x="191770" y="18065750"/>
          <a:ext cx="236855" cy="225425"/>
        </a:xfrm>
        <a:prstGeom prst="rect">
          <a:avLst/>
        </a:prstGeom>
      </xdr:spPr>
    </xdr:pic>
    <xdr:clientData/>
  </xdr:twoCellAnchor>
  <xdr:twoCellAnchor>
    <xdr:from>
      <xdr:col>0</xdr:col>
      <xdr:colOff>192000</xdr:colOff>
      <xdr:row>60</xdr:row>
      <xdr:rowOff>44999</xdr:rowOff>
    </xdr:from>
    <xdr:to>
      <xdr:col>0</xdr:col>
      <xdr:colOff>428800</xdr:colOff>
      <xdr:row>60</xdr:row>
      <xdr:rowOff>269999</xdr:rowOff>
    </xdr:to>
    <xdr:pic>
      <xdr:nvPicPr>
        <xdr:cNvPr id="258" name="Picture 59"/>
        <xdr:cNvPicPr>
          <a:picLocks noChangeAspect="1"/>
        </xdr:cNvPicPr>
      </xdr:nvPicPr>
      <xdr:blipFill>
        <a:blip r:embed="rId254" cstate="print"/>
        <a:stretch>
          <a:fillRect/>
        </a:stretch>
      </xdr:blipFill>
      <xdr:spPr>
        <a:xfrm>
          <a:off x="191770" y="18370550"/>
          <a:ext cx="236855" cy="225425"/>
        </a:xfrm>
        <a:prstGeom prst="rect">
          <a:avLst/>
        </a:prstGeom>
      </xdr:spPr>
    </xdr:pic>
    <xdr:clientData/>
  </xdr:twoCellAnchor>
  <xdr:twoCellAnchor>
    <xdr:from>
      <xdr:col>0</xdr:col>
      <xdr:colOff>192000</xdr:colOff>
      <xdr:row>61</xdr:row>
      <xdr:rowOff>44999</xdr:rowOff>
    </xdr:from>
    <xdr:to>
      <xdr:col>0</xdr:col>
      <xdr:colOff>428800</xdr:colOff>
      <xdr:row>61</xdr:row>
      <xdr:rowOff>269999</xdr:rowOff>
    </xdr:to>
    <xdr:pic>
      <xdr:nvPicPr>
        <xdr:cNvPr id="259" name="Picture 60"/>
        <xdr:cNvPicPr>
          <a:picLocks noChangeAspect="1"/>
        </xdr:cNvPicPr>
      </xdr:nvPicPr>
      <xdr:blipFill>
        <a:blip r:embed="rId255" cstate="print"/>
        <a:stretch>
          <a:fillRect/>
        </a:stretch>
      </xdr:blipFill>
      <xdr:spPr>
        <a:xfrm>
          <a:off x="191770" y="18675350"/>
          <a:ext cx="236855" cy="225425"/>
        </a:xfrm>
        <a:prstGeom prst="rect">
          <a:avLst/>
        </a:prstGeom>
      </xdr:spPr>
    </xdr:pic>
    <xdr:clientData/>
  </xdr:twoCellAnchor>
  <xdr:twoCellAnchor>
    <xdr:from>
      <xdr:col>0</xdr:col>
      <xdr:colOff>192000</xdr:colOff>
      <xdr:row>62</xdr:row>
      <xdr:rowOff>44999</xdr:rowOff>
    </xdr:from>
    <xdr:to>
      <xdr:col>0</xdr:col>
      <xdr:colOff>428800</xdr:colOff>
      <xdr:row>62</xdr:row>
      <xdr:rowOff>269999</xdr:rowOff>
    </xdr:to>
    <xdr:pic>
      <xdr:nvPicPr>
        <xdr:cNvPr id="260" name="Picture 61"/>
        <xdr:cNvPicPr>
          <a:picLocks noChangeAspect="1"/>
        </xdr:cNvPicPr>
      </xdr:nvPicPr>
      <xdr:blipFill>
        <a:blip r:embed="rId256" cstate="print"/>
        <a:stretch>
          <a:fillRect/>
        </a:stretch>
      </xdr:blipFill>
      <xdr:spPr>
        <a:xfrm>
          <a:off x="191770" y="18980150"/>
          <a:ext cx="236855" cy="225425"/>
        </a:xfrm>
        <a:prstGeom prst="rect">
          <a:avLst/>
        </a:prstGeom>
      </xdr:spPr>
    </xdr:pic>
    <xdr:clientData/>
  </xdr:twoCellAnchor>
  <xdr:twoCellAnchor>
    <xdr:from>
      <xdr:col>0</xdr:col>
      <xdr:colOff>192000</xdr:colOff>
      <xdr:row>57</xdr:row>
      <xdr:rowOff>44999</xdr:rowOff>
    </xdr:from>
    <xdr:to>
      <xdr:col>0</xdr:col>
      <xdr:colOff>428800</xdr:colOff>
      <xdr:row>57</xdr:row>
      <xdr:rowOff>269999</xdr:rowOff>
    </xdr:to>
    <xdr:pic>
      <xdr:nvPicPr>
        <xdr:cNvPr id="261" name="Picture 62"/>
        <xdr:cNvPicPr>
          <a:picLocks noChangeAspect="1"/>
        </xdr:cNvPicPr>
      </xdr:nvPicPr>
      <xdr:blipFill>
        <a:blip r:embed="rId257" cstate="print"/>
        <a:stretch>
          <a:fillRect/>
        </a:stretch>
      </xdr:blipFill>
      <xdr:spPr>
        <a:xfrm>
          <a:off x="191770" y="17456150"/>
          <a:ext cx="236855" cy="225425"/>
        </a:xfrm>
        <a:prstGeom prst="rect">
          <a:avLst/>
        </a:prstGeom>
      </xdr:spPr>
    </xdr:pic>
    <xdr:clientData/>
  </xdr:twoCellAnchor>
  <xdr:twoCellAnchor>
    <xdr:from>
      <xdr:col>0</xdr:col>
      <xdr:colOff>192000</xdr:colOff>
      <xdr:row>63</xdr:row>
      <xdr:rowOff>44999</xdr:rowOff>
    </xdr:from>
    <xdr:to>
      <xdr:col>0</xdr:col>
      <xdr:colOff>428800</xdr:colOff>
      <xdr:row>63</xdr:row>
      <xdr:rowOff>269999</xdr:rowOff>
    </xdr:to>
    <xdr:pic>
      <xdr:nvPicPr>
        <xdr:cNvPr id="262" name="Picture 63"/>
        <xdr:cNvPicPr>
          <a:picLocks noChangeAspect="1"/>
        </xdr:cNvPicPr>
      </xdr:nvPicPr>
      <xdr:blipFill>
        <a:blip r:embed="rId258" cstate="print"/>
        <a:stretch>
          <a:fillRect/>
        </a:stretch>
      </xdr:blipFill>
      <xdr:spPr>
        <a:xfrm>
          <a:off x="191770" y="19284950"/>
          <a:ext cx="236855" cy="225425"/>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263" name="Picture 64"/>
        <xdr:cNvPicPr>
          <a:picLocks noChangeAspect="1"/>
        </xdr:cNvPicPr>
      </xdr:nvPicPr>
      <xdr:blipFill>
        <a:blip r:embed="rId259" cstate="print"/>
        <a:stretch>
          <a:fillRect/>
        </a:stretch>
      </xdr:blipFill>
      <xdr:spPr>
        <a:xfrm>
          <a:off x="191770" y="19589750"/>
          <a:ext cx="236855" cy="225425"/>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264" name="Picture 65"/>
        <xdr:cNvPicPr>
          <a:picLocks noChangeAspect="1"/>
        </xdr:cNvPicPr>
      </xdr:nvPicPr>
      <xdr:blipFill>
        <a:blip r:embed="rId260" cstate="print"/>
        <a:stretch>
          <a:fillRect/>
        </a:stretch>
      </xdr:blipFill>
      <xdr:spPr>
        <a:xfrm>
          <a:off x="191770" y="20199350"/>
          <a:ext cx="236855" cy="225425"/>
        </a:xfrm>
        <a:prstGeom prst="rect">
          <a:avLst/>
        </a:prstGeom>
      </xdr:spPr>
    </xdr:pic>
    <xdr:clientData/>
  </xdr:twoCellAnchor>
  <xdr:twoCellAnchor>
    <xdr:from>
      <xdr:col>0</xdr:col>
      <xdr:colOff>192000</xdr:colOff>
      <xdr:row>65</xdr:row>
      <xdr:rowOff>45000</xdr:rowOff>
    </xdr:from>
    <xdr:to>
      <xdr:col>0</xdr:col>
      <xdr:colOff>428800</xdr:colOff>
      <xdr:row>65</xdr:row>
      <xdr:rowOff>270000</xdr:rowOff>
    </xdr:to>
    <xdr:pic>
      <xdr:nvPicPr>
        <xdr:cNvPr id="265" name="Picture 66"/>
        <xdr:cNvPicPr>
          <a:picLocks noChangeAspect="1"/>
        </xdr:cNvPicPr>
      </xdr:nvPicPr>
      <xdr:blipFill>
        <a:blip r:embed="rId261" cstate="print"/>
        <a:stretch>
          <a:fillRect/>
        </a:stretch>
      </xdr:blipFill>
      <xdr:spPr>
        <a:xfrm>
          <a:off x="191770" y="19894550"/>
          <a:ext cx="236855" cy="225425"/>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266" name="Picture 67"/>
        <xdr:cNvPicPr>
          <a:picLocks noChangeAspect="1"/>
        </xdr:cNvPicPr>
      </xdr:nvPicPr>
      <xdr:blipFill>
        <a:blip r:embed="rId262" cstate="print"/>
        <a:stretch>
          <a:fillRect/>
        </a:stretch>
      </xdr:blipFill>
      <xdr:spPr>
        <a:xfrm>
          <a:off x="191770" y="20504150"/>
          <a:ext cx="236855" cy="225425"/>
        </a:xfrm>
        <a:prstGeom prst="rect">
          <a:avLst/>
        </a:prstGeom>
      </xdr:spPr>
    </xdr:pic>
    <xdr:clientData/>
  </xdr:twoCellAnchor>
  <xdr:twoCellAnchor>
    <xdr:from>
      <xdr:col>0</xdr:col>
      <xdr:colOff>192000</xdr:colOff>
      <xdr:row>68</xdr:row>
      <xdr:rowOff>45000</xdr:rowOff>
    </xdr:from>
    <xdr:to>
      <xdr:col>0</xdr:col>
      <xdr:colOff>428800</xdr:colOff>
      <xdr:row>68</xdr:row>
      <xdr:rowOff>270000</xdr:rowOff>
    </xdr:to>
    <xdr:pic>
      <xdr:nvPicPr>
        <xdr:cNvPr id="267" name="Picture 68"/>
        <xdr:cNvPicPr>
          <a:picLocks noChangeAspect="1"/>
        </xdr:cNvPicPr>
      </xdr:nvPicPr>
      <xdr:blipFill>
        <a:blip r:embed="rId263" cstate="print"/>
        <a:stretch>
          <a:fillRect/>
        </a:stretch>
      </xdr:blipFill>
      <xdr:spPr>
        <a:xfrm>
          <a:off x="191770" y="20808950"/>
          <a:ext cx="236855" cy="225425"/>
        </a:xfrm>
        <a:prstGeom prst="rect">
          <a:avLst/>
        </a:prstGeom>
      </xdr:spPr>
    </xdr:pic>
    <xdr:clientData/>
  </xdr:twoCellAnchor>
  <xdr:twoCellAnchor>
    <xdr:from>
      <xdr:col>0</xdr:col>
      <xdr:colOff>192000</xdr:colOff>
      <xdr:row>69</xdr:row>
      <xdr:rowOff>45000</xdr:rowOff>
    </xdr:from>
    <xdr:to>
      <xdr:col>0</xdr:col>
      <xdr:colOff>428800</xdr:colOff>
      <xdr:row>69</xdr:row>
      <xdr:rowOff>270000</xdr:rowOff>
    </xdr:to>
    <xdr:pic>
      <xdr:nvPicPr>
        <xdr:cNvPr id="268" name="Picture 69"/>
        <xdr:cNvPicPr>
          <a:picLocks noChangeAspect="1"/>
        </xdr:cNvPicPr>
      </xdr:nvPicPr>
      <xdr:blipFill>
        <a:blip r:embed="rId264" cstate="print"/>
        <a:stretch>
          <a:fillRect/>
        </a:stretch>
      </xdr:blipFill>
      <xdr:spPr>
        <a:xfrm>
          <a:off x="191770" y="21113750"/>
          <a:ext cx="236855" cy="225425"/>
        </a:xfrm>
        <a:prstGeom prst="rect">
          <a:avLst/>
        </a:prstGeom>
      </xdr:spPr>
    </xdr:pic>
    <xdr:clientData/>
  </xdr:twoCellAnchor>
  <xdr:twoCellAnchor>
    <xdr:from>
      <xdr:col>0</xdr:col>
      <xdr:colOff>192000</xdr:colOff>
      <xdr:row>72</xdr:row>
      <xdr:rowOff>45000</xdr:rowOff>
    </xdr:from>
    <xdr:to>
      <xdr:col>0</xdr:col>
      <xdr:colOff>428800</xdr:colOff>
      <xdr:row>72</xdr:row>
      <xdr:rowOff>270000</xdr:rowOff>
    </xdr:to>
    <xdr:pic>
      <xdr:nvPicPr>
        <xdr:cNvPr id="269" name="Picture 70"/>
        <xdr:cNvPicPr>
          <a:picLocks noChangeAspect="1"/>
        </xdr:cNvPicPr>
      </xdr:nvPicPr>
      <xdr:blipFill>
        <a:blip r:embed="rId265" cstate="print"/>
        <a:stretch>
          <a:fillRect/>
        </a:stretch>
      </xdr:blipFill>
      <xdr:spPr>
        <a:xfrm>
          <a:off x="191770" y="22028150"/>
          <a:ext cx="236855" cy="225425"/>
        </a:xfrm>
        <a:prstGeom prst="rect">
          <a:avLst/>
        </a:prstGeom>
      </xdr:spPr>
    </xdr:pic>
    <xdr:clientData/>
  </xdr:twoCellAnchor>
  <xdr:twoCellAnchor>
    <xdr:from>
      <xdr:col>0</xdr:col>
      <xdr:colOff>192000</xdr:colOff>
      <xdr:row>70</xdr:row>
      <xdr:rowOff>45000</xdr:rowOff>
    </xdr:from>
    <xdr:to>
      <xdr:col>0</xdr:col>
      <xdr:colOff>428800</xdr:colOff>
      <xdr:row>70</xdr:row>
      <xdr:rowOff>270000</xdr:rowOff>
    </xdr:to>
    <xdr:pic>
      <xdr:nvPicPr>
        <xdr:cNvPr id="270" name="Picture 71"/>
        <xdr:cNvPicPr>
          <a:picLocks noChangeAspect="1"/>
        </xdr:cNvPicPr>
      </xdr:nvPicPr>
      <xdr:blipFill>
        <a:blip r:embed="rId266" cstate="print"/>
        <a:stretch>
          <a:fillRect/>
        </a:stretch>
      </xdr:blipFill>
      <xdr:spPr>
        <a:xfrm>
          <a:off x="191770" y="21418550"/>
          <a:ext cx="236855" cy="225425"/>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271" name="Picture 72"/>
        <xdr:cNvPicPr>
          <a:picLocks noChangeAspect="1"/>
        </xdr:cNvPicPr>
      </xdr:nvPicPr>
      <xdr:blipFill>
        <a:blip r:embed="rId267" cstate="print"/>
        <a:stretch>
          <a:fillRect/>
        </a:stretch>
      </xdr:blipFill>
      <xdr:spPr>
        <a:xfrm>
          <a:off x="191770" y="21723350"/>
          <a:ext cx="236855" cy="225425"/>
        </a:xfrm>
        <a:prstGeom prst="rect">
          <a:avLst/>
        </a:prstGeom>
      </xdr:spPr>
    </xdr:pic>
    <xdr:clientData/>
  </xdr:twoCellAnchor>
  <xdr:twoCellAnchor>
    <xdr:from>
      <xdr:col>0</xdr:col>
      <xdr:colOff>192000</xdr:colOff>
      <xdr:row>73</xdr:row>
      <xdr:rowOff>45000</xdr:rowOff>
    </xdr:from>
    <xdr:to>
      <xdr:col>0</xdr:col>
      <xdr:colOff>428800</xdr:colOff>
      <xdr:row>73</xdr:row>
      <xdr:rowOff>270000</xdr:rowOff>
    </xdr:to>
    <xdr:pic>
      <xdr:nvPicPr>
        <xdr:cNvPr id="272" name="Picture 73"/>
        <xdr:cNvPicPr>
          <a:picLocks noChangeAspect="1"/>
        </xdr:cNvPicPr>
      </xdr:nvPicPr>
      <xdr:blipFill>
        <a:blip r:embed="rId268" cstate="print"/>
        <a:stretch>
          <a:fillRect/>
        </a:stretch>
      </xdr:blipFill>
      <xdr:spPr>
        <a:xfrm>
          <a:off x="191770" y="22332950"/>
          <a:ext cx="236855" cy="225425"/>
        </a:xfrm>
        <a:prstGeom prst="rect">
          <a:avLst/>
        </a:prstGeom>
      </xdr:spPr>
    </xdr:pic>
    <xdr:clientData/>
  </xdr:twoCellAnchor>
  <xdr:twoCellAnchor>
    <xdr:from>
      <xdr:col>0</xdr:col>
      <xdr:colOff>192000</xdr:colOff>
      <xdr:row>74</xdr:row>
      <xdr:rowOff>45000</xdr:rowOff>
    </xdr:from>
    <xdr:to>
      <xdr:col>0</xdr:col>
      <xdr:colOff>428800</xdr:colOff>
      <xdr:row>74</xdr:row>
      <xdr:rowOff>270000</xdr:rowOff>
    </xdr:to>
    <xdr:pic>
      <xdr:nvPicPr>
        <xdr:cNvPr id="273" name="Picture 74"/>
        <xdr:cNvPicPr>
          <a:picLocks noChangeAspect="1"/>
        </xdr:cNvPicPr>
      </xdr:nvPicPr>
      <xdr:blipFill>
        <a:blip r:embed="rId269" cstate="print"/>
        <a:stretch>
          <a:fillRect/>
        </a:stretch>
      </xdr:blipFill>
      <xdr:spPr>
        <a:xfrm>
          <a:off x="191770" y="22637750"/>
          <a:ext cx="236855" cy="225425"/>
        </a:xfrm>
        <a:prstGeom prst="rect">
          <a:avLst/>
        </a:prstGeom>
      </xdr:spPr>
    </xdr:pic>
    <xdr:clientData/>
  </xdr:twoCellAnchor>
  <xdr:twoCellAnchor>
    <xdr:from>
      <xdr:col>0</xdr:col>
      <xdr:colOff>192000</xdr:colOff>
      <xdr:row>75</xdr:row>
      <xdr:rowOff>45000</xdr:rowOff>
    </xdr:from>
    <xdr:to>
      <xdr:col>0</xdr:col>
      <xdr:colOff>428800</xdr:colOff>
      <xdr:row>75</xdr:row>
      <xdr:rowOff>270000</xdr:rowOff>
    </xdr:to>
    <xdr:pic>
      <xdr:nvPicPr>
        <xdr:cNvPr id="274" name="Picture 75"/>
        <xdr:cNvPicPr>
          <a:picLocks noChangeAspect="1"/>
        </xdr:cNvPicPr>
      </xdr:nvPicPr>
      <xdr:blipFill>
        <a:blip r:embed="rId270" cstate="print"/>
        <a:stretch>
          <a:fillRect/>
        </a:stretch>
      </xdr:blipFill>
      <xdr:spPr>
        <a:xfrm>
          <a:off x="191770" y="22942550"/>
          <a:ext cx="236855" cy="225425"/>
        </a:xfrm>
        <a:prstGeom prst="rect">
          <a:avLst/>
        </a:prstGeom>
      </xdr:spPr>
    </xdr:pic>
    <xdr:clientData/>
  </xdr:twoCellAnchor>
  <xdr:twoCellAnchor>
    <xdr:from>
      <xdr:col>0</xdr:col>
      <xdr:colOff>192000</xdr:colOff>
      <xdr:row>76</xdr:row>
      <xdr:rowOff>45000</xdr:rowOff>
    </xdr:from>
    <xdr:to>
      <xdr:col>0</xdr:col>
      <xdr:colOff>428800</xdr:colOff>
      <xdr:row>76</xdr:row>
      <xdr:rowOff>270000</xdr:rowOff>
    </xdr:to>
    <xdr:pic>
      <xdr:nvPicPr>
        <xdr:cNvPr id="275" name="Picture 76"/>
        <xdr:cNvPicPr>
          <a:picLocks noChangeAspect="1"/>
        </xdr:cNvPicPr>
      </xdr:nvPicPr>
      <xdr:blipFill>
        <a:blip r:embed="rId271" cstate="print"/>
        <a:stretch>
          <a:fillRect/>
        </a:stretch>
      </xdr:blipFill>
      <xdr:spPr>
        <a:xfrm>
          <a:off x="191770" y="23247350"/>
          <a:ext cx="236855" cy="225425"/>
        </a:xfrm>
        <a:prstGeom prst="rect">
          <a:avLst/>
        </a:prstGeom>
      </xdr:spPr>
    </xdr:pic>
    <xdr:clientData/>
  </xdr:twoCellAnchor>
  <xdr:twoCellAnchor>
    <xdr:from>
      <xdr:col>0</xdr:col>
      <xdr:colOff>192000</xdr:colOff>
      <xdr:row>77</xdr:row>
      <xdr:rowOff>45000</xdr:rowOff>
    </xdr:from>
    <xdr:to>
      <xdr:col>0</xdr:col>
      <xdr:colOff>428800</xdr:colOff>
      <xdr:row>77</xdr:row>
      <xdr:rowOff>270000</xdr:rowOff>
    </xdr:to>
    <xdr:pic>
      <xdr:nvPicPr>
        <xdr:cNvPr id="276" name="Picture 77"/>
        <xdr:cNvPicPr>
          <a:picLocks noChangeAspect="1"/>
        </xdr:cNvPicPr>
      </xdr:nvPicPr>
      <xdr:blipFill>
        <a:blip r:embed="rId272" cstate="print"/>
        <a:stretch>
          <a:fillRect/>
        </a:stretch>
      </xdr:blipFill>
      <xdr:spPr>
        <a:xfrm>
          <a:off x="191770" y="23552150"/>
          <a:ext cx="236855" cy="225425"/>
        </a:xfrm>
        <a:prstGeom prst="rect">
          <a:avLst/>
        </a:prstGeom>
      </xdr:spPr>
    </xdr:pic>
    <xdr:clientData/>
  </xdr:twoCellAnchor>
  <xdr:twoCellAnchor>
    <xdr:from>
      <xdr:col>0</xdr:col>
      <xdr:colOff>192000</xdr:colOff>
      <xdr:row>79</xdr:row>
      <xdr:rowOff>45000</xdr:rowOff>
    </xdr:from>
    <xdr:to>
      <xdr:col>0</xdr:col>
      <xdr:colOff>428800</xdr:colOff>
      <xdr:row>79</xdr:row>
      <xdr:rowOff>270000</xdr:rowOff>
    </xdr:to>
    <xdr:pic>
      <xdr:nvPicPr>
        <xdr:cNvPr id="277" name="Picture 78"/>
        <xdr:cNvPicPr>
          <a:picLocks noChangeAspect="1"/>
        </xdr:cNvPicPr>
      </xdr:nvPicPr>
      <xdr:blipFill>
        <a:blip r:embed="rId273" cstate="print"/>
        <a:stretch>
          <a:fillRect/>
        </a:stretch>
      </xdr:blipFill>
      <xdr:spPr>
        <a:xfrm>
          <a:off x="191770" y="24161750"/>
          <a:ext cx="236855" cy="225425"/>
        </a:xfrm>
        <a:prstGeom prst="rect">
          <a:avLst/>
        </a:prstGeom>
      </xdr:spPr>
    </xdr:pic>
    <xdr:clientData/>
  </xdr:twoCellAnchor>
  <xdr:twoCellAnchor>
    <xdr:from>
      <xdr:col>0</xdr:col>
      <xdr:colOff>192000</xdr:colOff>
      <xdr:row>78</xdr:row>
      <xdr:rowOff>45000</xdr:rowOff>
    </xdr:from>
    <xdr:to>
      <xdr:col>0</xdr:col>
      <xdr:colOff>428800</xdr:colOff>
      <xdr:row>78</xdr:row>
      <xdr:rowOff>270000</xdr:rowOff>
    </xdr:to>
    <xdr:pic>
      <xdr:nvPicPr>
        <xdr:cNvPr id="278" name="Picture 79"/>
        <xdr:cNvPicPr>
          <a:picLocks noChangeAspect="1"/>
        </xdr:cNvPicPr>
      </xdr:nvPicPr>
      <xdr:blipFill>
        <a:blip r:embed="rId274" cstate="print"/>
        <a:stretch>
          <a:fillRect/>
        </a:stretch>
      </xdr:blipFill>
      <xdr:spPr>
        <a:xfrm>
          <a:off x="191770" y="23856950"/>
          <a:ext cx="236855" cy="225425"/>
        </a:xfrm>
        <a:prstGeom prst="rect">
          <a:avLst/>
        </a:prstGeom>
      </xdr:spPr>
    </xdr:pic>
    <xdr:clientData/>
  </xdr:twoCellAnchor>
  <xdr:twoCellAnchor>
    <xdr:from>
      <xdr:col>0</xdr:col>
      <xdr:colOff>192000</xdr:colOff>
      <xdr:row>80</xdr:row>
      <xdr:rowOff>45000</xdr:rowOff>
    </xdr:from>
    <xdr:to>
      <xdr:col>0</xdr:col>
      <xdr:colOff>428800</xdr:colOff>
      <xdr:row>80</xdr:row>
      <xdr:rowOff>270000</xdr:rowOff>
    </xdr:to>
    <xdr:pic>
      <xdr:nvPicPr>
        <xdr:cNvPr id="279" name="Picture 80"/>
        <xdr:cNvPicPr>
          <a:picLocks noChangeAspect="1"/>
        </xdr:cNvPicPr>
      </xdr:nvPicPr>
      <xdr:blipFill>
        <a:blip r:embed="rId275" cstate="print"/>
        <a:stretch>
          <a:fillRect/>
        </a:stretch>
      </xdr:blipFill>
      <xdr:spPr>
        <a:xfrm>
          <a:off x="191770" y="24466550"/>
          <a:ext cx="236855" cy="225425"/>
        </a:xfrm>
        <a:prstGeom prst="rect">
          <a:avLst/>
        </a:prstGeom>
      </xdr:spPr>
    </xdr:pic>
    <xdr:clientData/>
  </xdr:twoCellAnchor>
  <xdr:twoCellAnchor>
    <xdr:from>
      <xdr:col>0</xdr:col>
      <xdr:colOff>192000</xdr:colOff>
      <xdr:row>81</xdr:row>
      <xdr:rowOff>45000</xdr:rowOff>
    </xdr:from>
    <xdr:to>
      <xdr:col>0</xdr:col>
      <xdr:colOff>428800</xdr:colOff>
      <xdr:row>81</xdr:row>
      <xdr:rowOff>270000</xdr:rowOff>
    </xdr:to>
    <xdr:pic>
      <xdr:nvPicPr>
        <xdr:cNvPr id="280" name="Picture 81"/>
        <xdr:cNvPicPr>
          <a:picLocks noChangeAspect="1"/>
        </xdr:cNvPicPr>
      </xdr:nvPicPr>
      <xdr:blipFill>
        <a:blip r:embed="rId276" cstate="print"/>
        <a:stretch>
          <a:fillRect/>
        </a:stretch>
      </xdr:blipFill>
      <xdr:spPr>
        <a:xfrm>
          <a:off x="191770" y="24771350"/>
          <a:ext cx="236855" cy="225425"/>
        </a:xfrm>
        <a:prstGeom prst="rect">
          <a:avLst/>
        </a:prstGeom>
      </xdr:spPr>
    </xdr:pic>
    <xdr:clientData/>
  </xdr:twoCellAnchor>
  <xdr:twoCellAnchor>
    <xdr:from>
      <xdr:col>0</xdr:col>
      <xdr:colOff>192000</xdr:colOff>
      <xdr:row>82</xdr:row>
      <xdr:rowOff>45000</xdr:rowOff>
    </xdr:from>
    <xdr:to>
      <xdr:col>0</xdr:col>
      <xdr:colOff>428800</xdr:colOff>
      <xdr:row>82</xdr:row>
      <xdr:rowOff>270000</xdr:rowOff>
    </xdr:to>
    <xdr:pic>
      <xdr:nvPicPr>
        <xdr:cNvPr id="281" name="Picture 82"/>
        <xdr:cNvPicPr>
          <a:picLocks noChangeAspect="1"/>
        </xdr:cNvPicPr>
      </xdr:nvPicPr>
      <xdr:blipFill>
        <a:blip r:embed="rId277" cstate="print"/>
        <a:stretch>
          <a:fillRect/>
        </a:stretch>
      </xdr:blipFill>
      <xdr:spPr>
        <a:xfrm>
          <a:off x="191770" y="25076150"/>
          <a:ext cx="236855" cy="225425"/>
        </a:xfrm>
        <a:prstGeom prst="rect">
          <a:avLst/>
        </a:prstGeom>
      </xdr:spPr>
    </xdr:pic>
    <xdr:clientData/>
  </xdr:twoCellAnchor>
  <xdr:twoCellAnchor>
    <xdr:from>
      <xdr:col>0</xdr:col>
      <xdr:colOff>192000</xdr:colOff>
      <xdr:row>83</xdr:row>
      <xdr:rowOff>45000</xdr:rowOff>
    </xdr:from>
    <xdr:to>
      <xdr:col>0</xdr:col>
      <xdr:colOff>428800</xdr:colOff>
      <xdr:row>83</xdr:row>
      <xdr:rowOff>270000</xdr:rowOff>
    </xdr:to>
    <xdr:pic>
      <xdr:nvPicPr>
        <xdr:cNvPr id="282" name="Picture 83"/>
        <xdr:cNvPicPr>
          <a:picLocks noChangeAspect="1"/>
        </xdr:cNvPicPr>
      </xdr:nvPicPr>
      <xdr:blipFill>
        <a:blip r:embed="rId278" cstate="print"/>
        <a:stretch>
          <a:fillRect/>
        </a:stretch>
      </xdr:blipFill>
      <xdr:spPr>
        <a:xfrm>
          <a:off x="191770" y="25380950"/>
          <a:ext cx="236855" cy="225425"/>
        </a:xfrm>
        <a:prstGeom prst="rect">
          <a:avLst/>
        </a:prstGeom>
      </xdr:spPr>
    </xdr:pic>
    <xdr:clientData/>
  </xdr:twoCellAnchor>
  <xdr:twoCellAnchor>
    <xdr:from>
      <xdr:col>0</xdr:col>
      <xdr:colOff>192000</xdr:colOff>
      <xdr:row>84</xdr:row>
      <xdr:rowOff>45000</xdr:rowOff>
    </xdr:from>
    <xdr:to>
      <xdr:col>0</xdr:col>
      <xdr:colOff>428800</xdr:colOff>
      <xdr:row>84</xdr:row>
      <xdr:rowOff>270000</xdr:rowOff>
    </xdr:to>
    <xdr:pic>
      <xdr:nvPicPr>
        <xdr:cNvPr id="283" name="Picture 84"/>
        <xdr:cNvPicPr>
          <a:picLocks noChangeAspect="1"/>
        </xdr:cNvPicPr>
      </xdr:nvPicPr>
      <xdr:blipFill>
        <a:blip r:embed="rId279" cstate="print"/>
        <a:stretch>
          <a:fillRect/>
        </a:stretch>
      </xdr:blipFill>
      <xdr:spPr>
        <a:xfrm>
          <a:off x="191770" y="25685750"/>
          <a:ext cx="236855" cy="225425"/>
        </a:xfrm>
        <a:prstGeom prst="rect">
          <a:avLst/>
        </a:prstGeom>
      </xdr:spPr>
    </xdr:pic>
    <xdr:clientData/>
  </xdr:twoCellAnchor>
  <xdr:twoCellAnchor>
    <xdr:from>
      <xdr:col>0</xdr:col>
      <xdr:colOff>192000</xdr:colOff>
      <xdr:row>85</xdr:row>
      <xdr:rowOff>45000</xdr:rowOff>
    </xdr:from>
    <xdr:to>
      <xdr:col>0</xdr:col>
      <xdr:colOff>428800</xdr:colOff>
      <xdr:row>85</xdr:row>
      <xdr:rowOff>270000</xdr:rowOff>
    </xdr:to>
    <xdr:pic>
      <xdr:nvPicPr>
        <xdr:cNvPr id="284" name="Picture 85"/>
        <xdr:cNvPicPr>
          <a:picLocks noChangeAspect="1"/>
        </xdr:cNvPicPr>
      </xdr:nvPicPr>
      <xdr:blipFill>
        <a:blip r:embed="rId280" cstate="print"/>
        <a:stretch>
          <a:fillRect/>
        </a:stretch>
      </xdr:blipFill>
      <xdr:spPr>
        <a:xfrm>
          <a:off x="191770" y="25990550"/>
          <a:ext cx="236855" cy="225425"/>
        </a:xfrm>
        <a:prstGeom prst="rect">
          <a:avLst/>
        </a:prstGeom>
      </xdr:spPr>
    </xdr:pic>
    <xdr:clientData/>
  </xdr:twoCellAnchor>
  <xdr:twoCellAnchor>
    <xdr:from>
      <xdr:col>0</xdr:col>
      <xdr:colOff>192000</xdr:colOff>
      <xdr:row>86</xdr:row>
      <xdr:rowOff>45000</xdr:rowOff>
    </xdr:from>
    <xdr:to>
      <xdr:col>0</xdr:col>
      <xdr:colOff>428800</xdr:colOff>
      <xdr:row>86</xdr:row>
      <xdr:rowOff>270000</xdr:rowOff>
    </xdr:to>
    <xdr:pic>
      <xdr:nvPicPr>
        <xdr:cNvPr id="285" name="Picture 86"/>
        <xdr:cNvPicPr>
          <a:picLocks noChangeAspect="1"/>
        </xdr:cNvPicPr>
      </xdr:nvPicPr>
      <xdr:blipFill>
        <a:blip r:embed="rId281" cstate="print"/>
        <a:stretch>
          <a:fillRect/>
        </a:stretch>
      </xdr:blipFill>
      <xdr:spPr>
        <a:xfrm>
          <a:off x="191770" y="26295350"/>
          <a:ext cx="236855" cy="225425"/>
        </a:xfrm>
        <a:prstGeom prst="rect">
          <a:avLst/>
        </a:prstGeom>
      </xdr:spPr>
    </xdr:pic>
    <xdr:clientData/>
  </xdr:twoCellAnchor>
  <xdr:twoCellAnchor>
    <xdr:from>
      <xdr:col>0</xdr:col>
      <xdr:colOff>192000</xdr:colOff>
      <xdr:row>87</xdr:row>
      <xdr:rowOff>45000</xdr:rowOff>
    </xdr:from>
    <xdr:to>
      <xdr:col>0</xdr:col>
      <xdr:colOff>428800</xdr:colOff>
      <xdr:row>87</xdr:row>
      <xdr:rowOff>270000</xdr:rowOff>
    </xdr:to>
    <xdr:pic>
      <xdr:nvPicPr>
        <xdr:cNvPr id="286" name="Picture 87"/>
        <xdr:cNvPicPr>
          <a:picLocks noChangeAspect="1"/>
        </xdr:cNvPicPr>
      </xdr:nvPicPr>
      <xdr:blipFill>
        <a:blip r:embed="rId282" cstate="print"/>
        <a:stretch>
          <a:fillRect/>
        </a:stretch>
      </xdr:blipFill>
      <xdr:spPr>
        <a:xfrm>
          <a:off x="191770" y="26600150"/>
          <a:ext cx="236855" cy="225425"/>
        </a:xfrm>
        <a:prstGeom prst="rect">
          <a:avLst/>
        </a:prstGeom>
      </xdr:spPr>
    </xdr:pic>
    <xdr:clientData/>
  </xdr:twoCellAnchor>
  <xdr:twoCellAnchor>
    <xdr:from>
      <xdr:col>0</xdr:col>
      <xdr:colOff>192000</xdr:colOff>
      <xdr:row>88</xdr:row>
      <xdr:rowOff>45000</xdr:rowOff>
    </xdr:from>
    <xdr:to>
      <xdr:col>0</xdr:col>
      <xdr:colOff>428800</xdr:colOff>
      <xdr:row>88</xdr:row>
      <xdr:rowOff>270000</xdr:rowOff>
    </xdr:to>
    <xdr:pic>
      <xdr:nvPicPr>
        <xdr:cNvPr id="287" name="Picture 88"/>
        <xdr:cNvPicPr>
          <a:picLocks noChangeAspect="1"/>
        </xdr:cNvPicPr>
      </xdr:nvPicPr>
      <xdr:blipFill>
        <a:blip r:embed="rId283" cstate="print"/>
        <a:stretch>
          <a:fillRect/>
        </a:stretch>
      </xdr:blipFill>
      <xdr:spPr>
        <a:xfrm>
          <a:off x="191770" y="26904950"/>
          <a:ext cx="236855" cy="225425"/>
        </a:xfrm>
        <a:prstGeom prst="rect">
          <a:avLst/>
        </a:prstGeom>
      </xdr:spPr>
    </xdr:pic>
    <xdr:clientData/>
  </xdr:twoCellAnchor>
  <xdr:twoCellAnchor>
    <xdr:from>
      <xdr:col>0</xdr:col>
      <xdr:colOff>192000</xdr:colOff>
      <xdr:row>89</xdr:row>
      <xdr:rowOff>45000</xdr:rowOff>
    </xdr:from>
    <xdr:to>
      <xdr:col>0</xdr:col>
      <xdr:colOff>428800</xdr:colOff>
      <xdr:row>89</xdr:row>
      <xdr:rowOff>270000</xdr:rowOff>
    </xdr:to>
    <xdr:pic>
      <xdr:nvPicPr>
        <xdr:cNvPr id="288" name="Picture 89"/>
        <xdr:cNvPicPr>
          <a:picLocks noChangeAspect="1"/>
        </xdr:cNvPicPr>
      </xdr:nvPicPr>
      <xdr:blipFill>
        <a:blip r:embed="rId284" cstate="print"/>
        <a:stretch>
          <a:fillRect/>
        </a:stretch>
      </xdr:blipFill>
      <xdr:spPr>
        <a:xfrm>
          <a:off x="191770" y="27209750"/>
          <a:ext cx="236855" cy="225425"/>
        </a:xfrm>
        <a:prstGeom prst="rect">
          <a:avLst/>
        </a:prstGeom>
      </xdr:spPr>
    </xdr:pic>
    <xdr:clientData/>
  </xdr:twoCellAnchor>
  <xdr:twoCellAnchor>
    <xdr:from>
      <xdr:col>0</xdr:col>
      <xdr:colOff>192000</xdr:colOff>
      <xdr:row>90</xdr:row>
      <xdr:rowOff>45000</xdr:rowOff>
    </xdr:from>
    <xdr:to>
      <xdr:col>0</xdr:col>
      <xdr:colOff>428800</xdr:colOff>
      <xdr:row>90</xdr:row>
      <xdr:rowOff>270000</xdr:rowOff>
    </xdr:to>
    <xdr:pic>
      <xdr:nvPicPr>
        <xdr:cNvPr id="289" name="Picture 90"/>
        <xdr:cNvPicPr>
          <a:picLocks noChangeAspect="1"/>
        </xdr:cNvPicPr>
      </xdr:nvPicPr>
      <xdr:blipFill>
        <a:blip r:embed="rId285" cstate="print"/>
        <a:stretch>
          <a:fillRect/>
        </a:stretch>
      </xdr:blipFill>
      <xdr:spPr>
        <a:xfrm>
          <a:off x="191770" y="27514550"/>
          <a:ext cx="236855" cy="225425"/>
        </a:xfrm>
        <a:prstGeom prst="rect">
          <a:avLst/>
        </a:prstGeom>
      </xdr:spPr>
    </xdr:pic>
    <xdr:clientData/>
  </xdr:twoCellAnchor>
  <xdr:twoCellAnchor>
    <xdr:from>
      <xdr:col>0</xdr:col>
      <xdr:colOff>192000</xdr:colOff>
      <xdr:row>91</xdr:row>
      <xdr:rowOff>45000</xdr:rowOff>
    </xdr:from>
    <xdr:to>
      <xdr:col>0</xdr:col>
      <xdr:colOff>428800</xdr:colOff>
      <xdr:row>91</xdr:row>
      <xdr:rowOff>270000</xdr:rowOff>
    </xdr:to>
    <xdr:pic>
      <xdr:nvPicPr>
        <xdr:cNvPr id="290" name="Picture 91"/>
        <xdr:cNvPicPr>
          <a:picLocks noChangeAspect="1"/>
        </xdr:cNvPicPr>
      </xdr:nvPicPr>
      <xdr:blipFill>
        <a:blip r:embed="rId286" cstate="print"/>
        <a:stretch>
          <a:fillRect/>
        </a:stretch>
      </xdr:blipFill>
      <xdr:spPr>
        <a:xfrm>
          <a:off x="191770" y="27819350"/>
          <a:ext cx="236855" cy="225425"/>
        </a:xfrm>
        <a:prstGeom prst="rect">
          <a:avLst/>
        </a:prstGeom>
      </xdr:spPr>
    </xdr:pic>
    <xdr:clientData/>
  </xdr:twoCellAnchor>
  <xdr:twoCellAnchor>
    <xdr:from>
      <xdr:col>0</xdr:col>
      <xdr:colOff>192000</xdr:colOff>
      <xdr:row>92</xdr:row>
      <xdr:rowOff>45000</xdr:rowOff>
    </xdr:from>
    <xdr:to>
      <xdr:col>0</xdr:col>
      <xdr:colOff>428800</xdr:colOff>
      <xdr:row>92</xdr:row>
      <xdr:rowOff>270000</xdr:rowOff>
    </xdr:to>
    <xdr:pic>
      <xdr:nvPicPr>
        <xdr:cNvPr id="291" name="Picture 92"/>
        <xdr:cNvPicPr>
          <a:picLocks noChangeAspect="1"/>
        </xdr:cNvPicPr>
      </xdr:nvPicPr>
      <xdr:blipFill>
        <a:blip r:embed="rId287" cstate="print"/>
        <a:stretch>
          <a:fillRect/>
        </a:stretch>
      </xdr:blipFill>
      <xdr:spPr>
        <a:xfrm>
          <a:off x="191770" y="28124150"/>
          <a:ext cx="236855" cy="225425"/>
        </a:xfrm>
        <a:prstGeom prst="rect">
          <a:avLst/>
        </a:prstGeom>
      </xdr:spPr>
    </xdr:pic>
    <xdr:clientData/>
  </xdr:twoCellAnchor>
  <xdr:twoCellAnchor>
    <xdr:from>
      <xdr:col>0</xdr:col>
      <xdr:colOff>192000</xdr:colOff>
      <xdr:row>93</xdr:row>
      <xdr:rowOff>45000</xdr:rowOff>
    </xdr:from>
    <xdr:to>
      <xdr:col>0</xdr:col>
      <xdr:colOff>428800</xdr:colOff>
      <xdr:row>93</xdr:row>
      <xdr:rowOff>270000</xdr:rowOff>
    </xdr:to>
    <xdr:pic>
      <xdr:nvPicPr>
        <xdr:cNvPr id="292" name="Picture 93"/>
        <xdr:cNvPicPr>
          <a:picLocks noChangeAspect="1"/>
        </xdr:cNvPicPr>
      </xdr:nvPicPr>
      <xdr:blipFill>
        <a:blip r:embed="rId288" cstate="print"/>
        <a:stretch>
          <a:fillRect/>
        </a:stretch>
      </xdr:blipFill>
      <xdr:spPr>
        <a:xfrm>
          <a:off x="191770" y="28428950"/>
          <a:ext cx="236855" cy="225425"/>
        </a:xfrm>
        <a:prstGeom prst="rect">
          <a:avLst/>
        </a:prstGeom>
      </xdr:spPr>
    </xdr:pic>
    <xdr:clientData/>
  </xdr:twoCellAnchor>
  <xdr:twoCellAnchor>
    <xdr:from>
      <xdr:col>0</xdr:col>
      <xdr:colOff>192000</xdr:colOff>
      <xdr:row>95</xdr:row>
      <xdr:rowOff>45000</xdr:rowOff>
    </xdr:from>
    <xdr:to>
      <xdr:col>0</xdr:col>
      <xdr:colOff>428800</xdr:colOff>
      <xdr:row>95</xdr:row>
      <xdr:rowOff>270000</xdr:rowOff>
    </xdr:to>
    <xdr:pic>
      <xdr:nvPicPr>
        <xdr:cNvPr id="293" name="Picture 94"/>
        <xdr:cNvPicPr>
          <a:picLocks noChangeAspect="1"/>
        </xdr:cNvPicPr>
      </xdr:nvPicPr>
      <xdr:blipFill>
        <a:blip r:embed="rId289" cstate="print"/>
        <a:stretch>
          <a:fillRect/>
        </a:stretch>
      </xdr:blipFill>
      <xdr:spPr>
        <a:xfrm>
          <a:off x="191770" y="29038550"/>
          <a:ext cx="236855" cy="225425"/>
        </a:xfrm>
        <a:prstGeom prst="rect">
          <a:avLst/>
        </a:prstGeom>
      </xdr:spPr>
    </xdr:pic>
    <xdr:clientData/>
  </xdr:twoCellAnchor>
  <xdr:twoCellAnchor>
    <xdr:from>
      <xdr:col>0</xdr:col>
      <xdr:colOff>192000</xdr:colOff>
      <xdr:row>94</xdr:row>
      <xdr:rowOff>45000</xdr:rowOff>
    </xdr:from>
    <xdr:to>
      <xdr:col>0</xdr:col>
      <xdr:colOff>428800</xdr:colOff>
      <xdr:row>94</xdr:row>
      <xdr:rowOff>270000</xdr:rowOff>
    </xdr:to>
    <xdr:pic>
      <xdr:nvPicPr>
        <xdr:cNvPr id="294" name="Picture 95"/>
        <xdr:cNvPicPr>
          <a:picLocks noChangeAspect="1"/>
        </xdr:cNvPicPr>
      </xdr:nvPicPr>
      <xdr:blipFill>
        <a:blip r:embed="rId290" cstate="print"/>
        <a:stretch>
          <a:fillRect/>
        </a:stretch>
      </xdr:blipFill>
      <xdr:spPr>
        <a:xfrm>
          <a:off x="191770" y="28733750"/>
          <a:ext cx="236855" cy="225425"/>
        </a:xfrm>
        <a:prstGeom prst="rect">
          <a:avLst/>
        </a:prstGeom>
      </xdr:spPr>
    </xdr:pic>
    <xdr:clientData/>
  </xdr:twoCellAnchor>
  <xdr:twoCellAnchor>
    <xdr:from>
      <xdr:col>0</xdr:col>
      <xdr:colOff>192000</xdr:colOff>
      <xdr:row>97</xdr:row>
      <xdr:rowOff>45000</xdr:rowOff>
    </xdr:from>
    <xdr:to>
      <xdr:col>0</xdr:col>
      <xdr:colOff>428800</xdr:colOff>
      <xdr:row>97</xdr:row>
      <xdr:rowOff>270000</xdr:rowOff>
    </xdr:to>
    <xdr:pic>
      <xdr:nvPicPr>
        <xdr:cNvPr id="295" name="Picture 96"/>
        <xdr:cNvPicPr>
          <a:picLocks noChangeAspect="1"/>
        </xdr:cNvPicPr>
      </xdr:nvPicPr>
      <xdr:blipFill>
        <a:blip r:embed="rId291" cstate="print"/>
        <a:stretch>
          <a:fillRect/>
        </a:stretch>
      </xdr:blipFill>
      <xdr:spPr>
        <a:xfrm>
          <a:off x="191770" y="29648150"/>
          <a:ext cx="236855" cy="225425"/>
        </a:xfrm>
        <a:prstGeom prst="rect">
          <a:avLst/>
        </a:prstGeom>
      </xdr:spPr>
    </xdr:pic>
    <xdr:clientData/>
  </xdr:twoCellAnchor>
  <xdr:twoCellAnchor>
    <xdr:from>
      <xdr:col>0</xdr:col>
      <xdr:colOff>192000</xdr:colOff>
      <xdr:row>96</xdr:row>
      <xdr:rowOff>45000</xdr:rowOff>
    </xdr:from>
    <xdr:to>
      <xdr:col>0</xdr:col>
      <xdr:colOff>428800</xdr:colOff>
      <xdr:row>96</xdr:row>
      <xdr:rowOff>270000</xdr:rowOff>
    </xdr:to>
    <xdr:pic>
      <xdr:nvPicPr>
        <xdr:cNvPr id="296" name="Picture 97"/>
        <xdr:cNvPicPr>
          <a:picLocks noChangeAspect="1"/>
        </xdr:cNvPicPr>
      </xdr:nvPicPr>
      <xdr:blipFill>
        <a:blip r:embed="rId292" cstate="print"/>
        <a:stretch>
          <a:fillRect/>
        </a:stretch>
      </xdr:blipFill>
      <xdr:spPr>
        <a:xfrm>
          <a:off x="191770" y="29343350"/>
          <a:ext cx="236855" cy="225425"/>
        </a:xfrm>
        <a:prstGeom prst="rect">
          <a:avLst/>
        </a:prstGeom>
      </xdr:spPr>
    </xdr:pic>
    <xdr:clientData/>
  </xdr:twoCellAnchor>
  <xdr:twoCellAnchor>
    <xdr:from>
      <xdr:col>0</xdr:col>
      <xdr:colOff>192000</xdr:colOff>
      <xdr:row>98</xdr:row>
      <xdr:rowOff>45000</xdr:rowOff>
    </xdr:from>
    <xdr:to>
      <xdr:col>0</xdr:col>
      <xdr:colOff>428800</xdr:colOff>
      <xdr:row>98</xdr:row>
      <xdr:rowOff>270000</xdr:rowOff>
    </xdr:to>
    <xdr:pic>
      <xdr:nvPicPr>
        <xdr:cNvPr id="297" name="Picture 98"/>
        <xdr:cNvPicPr>
          <a:picLocks noChangeAspect="1"/>
        </xdr:cNvPicPr>
      </xdr:nvPicPr>
      <xdr:blipFill>
        <a:blip r:embed="rId293" cstate="print"/>
        <a:stretch>
          <a:fillRect/>
        </a:stretch>
      </xdr:blipFill>
      <xdr:spPr>
        <a:xfrm>
          <a:off x="191770" y="29952950"/>
          <a:ext cx="236855" cy="225425"/>
        </a:xfrm>
        <a:prstGeom prst="rect">
          <a:avLst/>
        </a:prstGeom>
      </xdr:spPr>
    </xdr:pic>
    <xdr:clientData/>
  </xdr:twoCellAnchor>
  <xdr:twoCellAnchor>
    <xdr:from>
      <xdr:col>0</xdr:col>
      <xdr:colOff>192000</xdr:colOff>
      <xdr:row>100</xdr:row>
      <xdr:rowOff>45000</xdr:rowOff>
    </xdr:from>
    <xdr:to>
      <xdr:col>0</xdr:col>
      <xdr:colOff>428800</xdr:colOff>
      <xdr:row>100</xdr:row>
      <xdr:rowOff>270000</xdr:rowOff>
    </xdr:to>
    <xdr:pic>
      <xdr:nvPicPr>
        <xdr:cNvPr id="298" name="Picture 99"/>
        <xdr:cNvPicPr>
          <a:picLocks noChangeAspect="1"/>
        </xdr:cNvPicPr>
      </xdr:nvPicPr>
      <xdr:blipFill>
        <a:blip r:embed="rId294" cstate="print"/>
        <a:stretch>
          <a:fillRect/>
        </a:stretch>
      </xdr:blipFill>
      <xdr:spPr>
        <a:xfrm>
          <a:off x="191770" y="30562550"/>
          <a:ext cx="236855" cy="225425"/>
        </a:xfrm>
        <a:prstGeom prst="rect">
          <a:avLst/>
        </a:prstGeom>
      </xdr:spPr>
    </xdr:pic>
    <xdr:clientData/>
  </xdr:twoCellAnchor>
  <xdr:twoCellAnchor>
    <xdr:from>
      <xdr:col>0</xdr:col>
      <xdr:colOff>192000</xdr:colOff>
      <xdr:row>99</xdr:row>
      <xdr:rowOff>45000</xdr:rowOff>
    </xdr:from>
    <xdr:to>
      <xdr:col>0</xdr:col>
      <xdr:colOff>428800</xdr:colOff>
      <xdr:row>99</xdr:row>
      <xdr:rowOff>270000</xdr:rowOff>
    </xdr:to>
    <xdr:pic>
      <xdr:nvPicPr>
        <xdr:cNvPr id="299" name="Picture 100"/>
        <xdr:cNvPicPr>
          <a:picLocks noChangeAspect="1"/>
        </xdr:cNvPicPr>
      </xdr:nvPicPr>
      <xdr:blipFill>
        <a:blip r:embed="rId295" cstate="print"/>
        <a:stretch>
          <a:fillRect/>
        </a:stretch>
      </xdr:blipFill>
      <xdr:spPr>
        <a:xfrm>
          <a:off x="191770" y="30257750"/>
          <a:ext cx="236855" cy="225425"/>
        </a:xfrm>
        <a:prstGeom prst="rect">
          <a:avLst/>
        </a:prstGeom>
      </xdr:spPr>
    </xdr:pic>
    <xdr:clientData/>
  </xdr:twoCellAnchor>
  <xdr:twoCellAnchor>
    <xdr:from>
      <xdr:col>0</xdr:col>
      <xdr:colOff>192000</xdr:colOff>
      <xdr:row>102</xdr:row>
      <xdr:rowOff>45000</xdr:rowOff>
    </xdr:from>
    <xdr:to>
      <xdr:col>0</xdr:col>
      <xdr:colOff>428800</xdr:colOff>
      <xdr:row>102</xdr:row>
      <xdr:rowOff>270000</xdr:rowOff>
    </xdr:to>
    <xdr:pic>
      <xdr:nvPicPr>
        <xdr:cNvPr id="300" name="Picture 101"/>
        <xdr:cNvPicPr>
          <a:picLocks noChangeAspect="1"/>
        </xdr:cNvPicPr>
      </xdr:nvPicPr>
      <xdr:blipFill>
        <a:blip r:embed="rId296" cstate="print"/>
        <a:stretch>
          <a:fillRect/>
        </a:stretch>
      </xdr:blipFill>
      <xdr:spPr>
        <a:xfrm>
          <a:off x="191770" y="31172150"/>
          <a:ext cx="236855" cy="225425"/>
        </a:xfrm>
        <a:prstGeom prst="rect">
          <a:avLst/>
        </a:prstGeom>
      </xdr:spPr>
    </xdr:pic>
    <xdr:clientData/>
  </xdr:twoCellAnchor>
  <xdr:twoCellAnchor>
    <xdr:from>
      <xdr:col>0</xdr:col>
      <xdr:colOff>192000</xdr:colOff>
      <xdr:row>101</xdr:row>
      <xdr:rowOff>45000</xdr:rowOff>
    </xdr:from>
    <xdr:to>
      <xdr:col>0</xdr:col>
      <xdr:colOff>428800</xdr:colOff>
      <xdr:row>101</xdr:row>
      <xdr:rowOff>270000</xdr:rowOff>
    </xdr:to>
    <xdr:pic>
      <xdr:nvPicPr>
        <xdr:cNvPr id="301" name="Picture 102"/>
        <xdr:cNvPicPr>
          <a:picLocks noChangeAspect="1"/>
        </xdr:cNvPicPr>
      </xdr:nvPicPr>
      <xdr:blipFill>
        <a:blip r:embed="rId297" cstate="print"/>
        <a:stretch>
          <a:fillRect/>
        </a:stretch>
      </xdr:blipFill>
      <xdr:spPr>
        <a:xfrm>
          <a:off x="191770" y="30867350"/>
          <a:ext cx="236855" cy="225425"/>
        </a:xfrm>
        <a:prstGeom prst="rect">
          <a:avLst/>
        </a:prstGeom>
      </xdr:spPr>
    </xdr:pic>
    <xdr:clientData/>
  </xdr:twoCellAnchor>
  <xdr:twoCellAnchor>
    <xdr:from>
      <xdr:col>0</xdr:col>
      <xdr:colOff>192000</xdr:colOff>
      <xdr:row>103</xdr:row>
      <xdr:rowOff>45000</xdr:rowOff>
    </xdr:from>
    <xdr:to>
      <xdr:col>0</xdr:col>
      <xdr:colOff>428800</xdr:colOff>
      <xdr:row>103</xdr:row>
      <xdr:rowOff>270000</xdr:rowOff>
    </xdr:to>
    <xdr:pic>
      <xdr:nvPicPr>
        <xdr:cNvPr id="302" name="Picture 103"/>
        <xdr:cNvPicPr>
          <a:picLocks noChangeAspect="1"/>
        </xdr:cNvPicPr>
      </xdr:nvPicPr>
      <xdr:blipFill>
        <a:blip r:embed="rId298" cstate="print"/>
        <a:stretch>
          <a:fillRect/>
        </a:stretch>
      </xdr:blipFill>
      <xdr:spPr>
        <a:xfrm>
          <a:off x="191770" y="31476950"/>
          <a:ext cx="236855" cy="225425"/>
        </a:xfrm>
        <a:prstGeom prst="rect">
          <a:avLst/>
        </a:prstGeom>
      </xdr:spPr>
    </xdr:pic>
    <xdr:clientData/>
  </xdr:twoCellAnchor>
  <xdr:twoCellAnchor>
    <xdr:from>
      <xdr:col>0</xdr:col>
      <xdr:colOff>192000</xdr:colOff>
      <xdr:row>107</xdr:row>
      <xdr:rowOff>45000</xdr:rowOff>
    </xdr:from>
    <xdr:to>
      <xdr:col>0</xdr:col>
      <xdr:colOff>428800</xdr:colOff>
      <xdr:row>107</xdr:row>
      <xdr:rowOff>270000</xdr:rowOff>
    </xdr:to>
    <xdr:pic>
      <xdr:nvPicPr>
        <xdr:cNvPr id="303" name="Picture 104"/>
        <xdr:cNvPicPr>
          <a:picLocks noChangeAspect="1"/>
        </xdr:cNvPicPr>
      </xdr:nvPicPr>
      <xdr:blipFill>
        <a:blip r:embed="rId299" cstate="print"/>
        <a:stretch>
          <a:fillRect/>
        </a:stretch>
      </xdr:blipFill>
      <xdr:spPr>
        <a:xfrm>
          <a:off x="191770" y="32696150"/>
          <a:ext cx="236855" cy="225425"/>
        </a:xfrm>
        <a:prstGeom prst="rect">
          <a:avLst/>
        </a:prstGeom>
      </xdr:spPr>
    </xdr:pic>
    <xdr:clientData/>
  </xdr:twoCellAnchor>
  <xdr:twoCellAnchor>
    <xdr:from>
      <xdr:col>0</xdr:col>
      <xdr:colOff>192000</xdr:colOff>
      <xdr:row>105</xdr:row>
      <xdr:rowOff>45000</xdr:rowOff>
    </xdr:from>
    <xdr:to>
      <xdr:col>0</xdr:col>
      <xdr:colOff>428800</xdr:colOff>
      <xdr:row>105</xdr:row>
      <xdr:rowOff>270000</xdr:rowOff>
    </xdr:to>
    <xdr:pic>
      <xdr:nvPicPr>
        <xdr:cNvPr id="304" name="Picture 105"/>
        <xdr:cNvPicPr>
          <a:picLocks noChangeAspect="1"/>
        </xdr:cNvPicPr>
      </xdr:nvPicPr>
      <xdr:blipFill>
        <a:blip r:embed="rId300" cstate="print"/>
        <a:stretch>
          <a:fillRect/>
        </a:stretch>
      </xdr:blipFill>
      <xdr:spPr>
        <a:xfrm>
          <a:off x="191770" y="32086550"/>
          <a:ext cx="236855" cy="225425"/>
        </a:xfrm>
        <a:prstGeom prst="rect">
          <a:avLst/>
        </a:prstGeom>
      </xdr:spPr>
    </xdr:pic>
    <xdr:clientData/>
  </xdr:twoCellAnchor>
  <xdr:twoCellAnchor>
    <xdr:from>
      <xdr:col>0</xdr:col>
      <xdr:colOff>192000</xdr:colOff>
      <xdr:row>104</xdr:row>
      <xdr:rowOff>45000</xdr:rowOff>
    </xdr:from>
    <xdr:to>
      <xdr:col>0</xdr:col>
      <xdr:colOff>428800</xdr:colOff>
      <xdr:row>104</xdr:row>
      <xdr:rowOff>270000</xdr:rowOff>
    </xdr:to>
    <xdr:pic>
      <xdr:nvPicPr>
        <xdr:cNvPr id="305" name="Picture 106"/>
        <xdr:cNvPicPr>
          <a:picLocks noChangeAspect="1"/>
        </xdr:cNvPicPr>
      </xdr:nvPicPr>
      <xdr:blipFill>
        <a:blip r:embed="rId301" cstate="print"/>
        <a:stretch>
          <a:fillRect/>
        </a:stretch>
      </xdr:blipFill>
      <xdr:spPr>
        <a:xfrm>
          <a:off x="191770" y="31781750"/>
          <a:ext cx="236855" cy="225425"/>
        </a:xfrm>
        <a:prstGeom prst="rect">
          <a:avLst/>
        </a:prstGeom>
      </xdr:spPr>
    </xdr:pic>
    <xdr:clientData/>
  </xdr:twoCellAnchor>
  <xdr:twoCellAnchor>
    <xdr:from>
      <xdr:col>0</xdr:col>
      <xdr:colOff>192000</xdr:colOff>
      <xdr:row>106</xdr:row>
      <xdr:rowOff>45000</xdr:rowOff>
    </xdr:from>
    <xdr:to>
      <xdr:col>0</xdr:col>
      <xdr:colOff>428800</xdr:colOff>
      <xdr:row>106</xdr:row>
      <xdr:rowOff>270000</xdr:rowOff>
    </xdr:to>
    <xdr:pic>
      <xdr:nvPicPr>
        <xdr:cNvPr id="306" name="Picture 107"/>
        <xdr:cNvPicPr>
          <a:picLocks noChangeAspect="1"/>
        </xdr:cNvPicPr>
      </xdr:nvPicPr>
      <xdr:blipFill>
        <a:blip r:embed="rId302" cstate="print"/>
        <a:stretch>
          <a:fillRect/>
        </a:stretch>
      </xdr:blipFill>
      <xdr:spPr>
        <a:xfrm>
          <a:off x="191770" y="32391350"/>
          <a:ext cx="236855" cy="225425"/>
        </a:xfrm>
        <a:prstGeom prst="rect">
          <a:avLst/>
        </a:prstGeom>
      </xdr:spPr>
    </xdr:pic>
    <xdr:clientData/>
  </xdr:twoCellAnchor>
  <xdr:twoCellAnchor>
    <xdr:from>
      <xdr:col>0</xdr:col>
      <xdr:colOff>192000</xdr:colOff>
      <xdr:row>108</xdr:row>
      <xdr:rowOff>45000</xdr:rowOff>
    </xdr:from>
    <xdr:to>
      <xdr:col>0</xdr:col>
      <xdr:colOff>428800</xdr:colOff>
      <xdr:row>108</xdr:row>
      <xdr:rowOff>270000</xdr:rowOff>
    </xdr:to>
    <xdr:pic>
      <xdr:nvPicPr>
        <xdr:cNvPr id="307" name="Picture 108"/>
        <xdr:cNvPicPr>
          <a:picLocks noChangeAspect="1"/>
        </xdr:cNvPicPr>
      </xdr:nvPicPr>
      <xdr:blipFill>
        <a:blip r:embed="rId303" cstate="print"/>
        <a:stretch>
          <a:fillRect/>
        </a:stretch>
      </xdr:blipFill>
      <xdr:spPr>
        <a:xfrm>
          <a:off x="191770" y="33000950"/>
          <a:ext cx="236855" cy="225425"/>
        </a:xfrm>
        <a:prstGeom prst="rect">
          <a:avLst/>
        </a:prstGeom>
      </xdr:spPr>
    </xdr:pic>
    <xdr:clientData/>
  </xdr:twoCellAnchor>
  <xdr:twoCellAnchor>
    <xdr:from>
      <xdr:col>0</xdr:col>
      <xdr:colOff>192000</xdr:colOff>
      <xdr:row>109</xdr:row>
      <xdr:rowOff>45000</xdr:rowOff>
    </xdr:from>
    <xdr:to>
      <xdr:col>0</xdr:col>
      <xdr:colOff>428800</xdr:colOff>
      <xdr:row>109</xdr:row>
      <xdr:rowOff>270000</xdr:rowOff>
    </xdr:to>
    <xdr:pic>
      <xdr:nvPicPr>
        <xdr:cNvPr id="308" name="Picture 109"/>
        <xdr:cNvPicPr>
          <a:picLocks noChangeAspect="1"/>
        </xdr:cNvPicPr>
      </xdr:nvPicPr>
      <xdr:blipFill>
        <a:blip r:embed="rId304" cstate="print"/>
        <a:stretch>
          <a:fillRect/>
        </a:stretch>
      </xdr:blipFill>
      <xdr:spPr>
        <a:xfrm>
          <a:off x="191770" y="33305750"/>
          <a:ext cx="236855" cy="225425"/>
        </a:xfrm>
        <a:prstGeom prst="rect">
          <a:avLst/>
        </a:prstGeom>
      </xdr:spPr>
    </xdr:pic>
    <xdr:clientData/>
  </xdr:twoCellAnchor>
  <xdr:twoCellAnchor>
    <xdr:from>
      <xdr:col>0</xdr:col>
      <xdr:colOff>192000</xdr:colOff>
      <xdr:row>110</xdr:row>
      <xdr:rowOff>45000</xdr:rowOff>
    </xdr:from>
    <xdr:to>
      <xdr:col>0</xdr:col>
      <xdr:colOff>428800</xdr:colOff>
      <xdr:row>110</xdr:row>
      <xdr:rowOff>270000</xdr:rowOff>
    </xdr:to>
    <xdr:pic>
      <xdr:nvPicPr>
        <xdr:cNvPr id="309" name="Picture 110"/>
        <xdr:cNvPicPr>
          <a:picLocks noChangeAspect="1"/>
        </xdr:cNvPicPr>
      </xdr:nvPicPr>
      <xdr:blipFill>
        <a:blip r:embed="rId305" cstate="print"/>
        <a:stretch>
          <a:fillRect/>
        </a:stretch>
      </xdr:blipFill>
      <xdr:spPr>
        <a:xfrm>
          <a:off x="191770" y="33610550"/>
          <a:ext cx="236855" cy="225425"/>
        </a:xfrm>
        <a:prstGeom prst="rect">
          <a:avLst/>
        </a:prstGeom>
      </xdr:spPr>
    </xdr:pic>
    <xdr:clientData/>
  </xdr:twoCellAnchor>
  <xdr:twoCellAnchor>
    <xdr:from>
      <xdr:col>0</xdr:col>
      <xdr:colOff>192000</xdr:colOff>
      <xdr:row>111</xdr:row>
      <xdr:rowOff>45000</xdr:rowOff>
    </xdr:from>
    <xdr:to>
      <xdr:col>0</xdr:col>
      <xdr:colOff>428800</xdr:colOff>
      <xdr:row>111</xdr:row>
      <xdr:rowOff>270000</xdr:rowOff>
    </xdr:to>
    <xdr:pic>
      <xdr:nvPicPr>
        <xdr:cNvPr id="310" name="Picture 111"/>
        <xdr:cNvPicPr>
          <a:picLocks noChangeAspect="1"/>
        </xdr:cNvPicPr>
      </xdr:nvPicPr>
      <xdr:blipFill>
        <a:blip r:embed="rId306" cstate="print"/>
        <a:stretch>
          <a:fillRect/>
        </a:stretch>
      </xdr:blipFill>
      <xdr:spPr>
        <a:xfrm>
          <a:off x="191770" y="33915350"/>
          <a:ext cx="236855" cy="225425"/>
        </a:xfrm>
        <a:prstGeom prst="rect">
          <a:avLst/>
        </a:prstGeom>
      </xdr:spPr>
    </xdr:pic>
    <xdr:clientData/>
  </xdr:twoCellAnchor>
  <xdr:twoCellAnchor>
    <xdr:from>
      <xdr:col>0</xdr:col>
      <xdr:colOff>192000</xdr:colOff>
      <xdr:row>112</xdr:row>
      <xdr:rowOff>45000</xdr:rowOff>
    </xdr:from>
    <xdr:to>
      <xdr:col>0</xdr:col>
      <xdr:colOff>428800</xdr:colOff>
      <xdr:row>112</xdr:row>
      <xdr:rowOff>270000</xdr:rowOff>
    </xdr:to>
    <xdr:pic>
      <xdr:nvPicPr>
        <xdr:cNvPr id="311" name="Picture 112"/>
        <xdr:cNvPicPr>
          <a:picLocks noChangeAspect="1"/>
        </xdr:cNvPicPr>
      </xdr:nvPicPr>
      <xdr:blipFill>
        <a:blip r:embed="rId307" cstate="print"/>
        <a:stretch>
          <a:fillRect/>
        </a:stretch>
      </xdr:blipFill>
      <xdr:spPr>
        <a:xfrm>
          <a:off x="191770" y="34220150"/>
          <a:ext cx="236855" cy="225425"/>
        </a:xfrm>
        <a:prstGeom prst="rect">
          <a:avLst/>
        </a:prstGeom>
      </xdr:spPr>
    </xdr:pic>
    <xdr:clientData/>
  </xdr:twoCellAnchor>
  <xdr:twoCellAnchor>
    <xdr:from>
      <xdr:col>0</xdr:col>
      <xdr:colOff>192000</xdr:colOff>
      <xdr:row>113</xdr:row>
      <xdr:rowOff>45000</xdr:rowOff>
    </xdr:from>
    <xdr:to>
      <xdr:col>0</xdr:col>
      <xdr:colOff>428800</xdr:colOff>
      <xdr:row>113</xdr:row>
      <xdr:rowOff>270000</xdr:rowOff>
    </xdr:to>
    <xdr:pic>
      <xdr:nvPicPr>
        <xdr:cNvPr id="312" name="Picture 113"/>
        <xdr:cNvPicPr>
          <a:picLocks noChangeAspect="1"/>
        </xdr:cNvPicPr>
      </xdr:nvPicPr>
      <xdr:blipFill>
        <a:blip r:embed="rId308" cstate="print"/>
        <a:stretch>
          <a:fillRect/>
        </a:stretch>
      </xdr:blipFill>
      <xdr:spPr>
        <a:xfrm>
          <a:off x="191770" y="34524950"/>
          <a:ext cx="236855" cy="225425"/>
        </a:xfrm>
        <a:prstGeom prst="rect">
          <a:avLst/>
        </a:prstGeom>
      </xdr:spPr>
    </xdr:pic>
    <xdr:clientData/>
  </xdr:twoCellAnchor>
  <xdr:twoCellAnchor>
    <xdr:from>
      <xdr:col>0</xdr:col>
      <xdr:colOff>192000</xdr:colOff>
      <xdr:row>114</xdr:row>
      <xdr:rowOff>45000</xdr:rowOff>
    </xdr:from>
    <xdr:to>
      <xdr:col>0</xdr:col>
      <xdr:colOff>428800</xdr:colOff>
      <xdr:row>114</xdr:row>
      <xdr:rowOff>270000</xdr:rowOff>
    </xdr:to>
    <xdr:pic>
      <xdr:nvPicPr>
        <xdr:cNvPr id="313" name="Picture 114"/>
        <xdr:cNvPicPr>
          <a:picLocks noChangeAspect="1"/>
        </xdr:cNvPicPr>
      </xdr:nvPicPr>
      <xdr:blipFill>
        <a:blip r:embed="rId309" cstate="print"/>
        <a:stretch>
          <a:fillRect/>
        </a:stretch>
      </xdr:blipFill>
      <xdr:spPr>
        <a:xfrm>
          <a:off x="191770" y="34829750"/>
          <a:ext cx="236855" cy="225425"/>
        </a:xfrm>
        <a:prstGeom prst="rect">
          <a:avLst/>
        </a:prstGeom>
      </xdr:spPr>
    </xdr:pic>
    <xdr:clientData/>
  </xdr:twoCellAnchor>
  <xdr:twoCellAnchor>
    <xdr:from>
      <xdr:col>0</xdr:col>
      <xdr:colOff>192000</xdr:colOff>
      <xdr:row>115</xdr:row>
      <xdr:rowOff>45000</xdr:rowOff>
    </xdr:from>
    <xdr:to>
      <xdr:col>0</xdr:col>
      <xdr:colOff>428800</xdr:colOff>
      <xdr:row>115</xdr:row>
      <xdr:rowOff>270000</xdr:rowOff>
    </xdr:to>
    <xdr:pic>
      <xdr:nvPicPr>
        <xdr:cNvPr id="314" name="Picture 115"/>
        <xdr:cNvPicPr>
          <a:picLocks noChangeAspect="1"/>
        </xdr:cNvPicPr>
      </xdr:nvPicPr>
      <xdr:blipFill>
        <a:blip r:embed="rId310" cstate="print"/>
        <a:stretch>
          <a:fillRect/>
        </a:stretch>
      </xdr:blipFill>
      <xdr:spPr>
        <a:xfrm>
          <a:off x="191770" y="35134550"/>
          <a:ext cx="236855" cy="225425"/>
        </a:xfrm>
        <a:prstGeom prst="rect">
          <a:avLst/>
        </a:prstGeom>
      </xdr:spPr>
    </xdr:pic>
    <xdr:clientData/>
  </xdr:twoCellAnchor>
  <xdr:twoCellAnchor>
    <xdr:from>
      <xdr:col>0</xdr:col>
      <xdr:colOff>192000</xdr:colOff>
      <xdr:row>117</xdr:row>
      <xdr:rowOff>45000</xdr:rowOff>
    </xdr:from>
    <xdr:to>
      <xdr:col>0</xdr:col>
      <xdr:colOff>428800</xdr:colOff>
      <xdr:row>117</xdr:row>
      <xdr:rowOff>270000</xdr:rowOff>
    </xdr:to>
    <xdr:pic>
      <xdr:nvPicPr>
        <xdr:cNvPr id="315" name="Picture 116"/>
        <xdr:cNvPicPr>
          <a:picLocks noChangeAspect="1"/>
        </xdr:cNvPicPr>
      </xdr:nvPicPr>
      <xdr:blipFill>
        <a:blip r:embed="rId311" cstate="print"/>
        <a:stretch>
          <a:fillRect/>
        </a:stretch>
      </xdr:blipFill>
      <xdr:spPr>
        <a:xfrm>
          <a:off x="191770" y="35744150"/>
          <a:ext cx="236855" cy="225425"/>
        </a:xfrm>
        <a:prstGeom prst="rect">
          <a:avLst/>
        </a:prstGeom>
      </xdr:spPr>
    </xdr:pic>
    <xdr:clientData/>
  </xdr:twoCellAnchor>
  <xdr:twoCellAnchor>
    <xdr:from>
      <xdr:col>0</xdr:col>
      <xdr:colOff>192000</xdr:colOff>
      <xdr:row>116</xdr:row>
      <xdr:rowOff>45000</xdr:rowOff>
    </xdr:from>
    <xdr:to>
      <xdr:col>0</xdr:col>
      <xdr:colOff>428800</xdr:colOff>
      <xdr:row>116</xdr:row>
      <xdr:rowOff>270000</xdr:rowOff>
    </xdr:to>
    <xdr:pic>
      <xdr:nvPicPr>
        <xdr:cNvPr id="316" name="Picture 117"/>
        <xdr:cNvPicPr>
          <a:picLocks noChangeAspect="1"/>
        </xdr:cNvPicPr>
      </xdr:nvPicPr>
      <xdr:blipFill>
        <a:blip r:embed="rId312" cstate="print"/>
        <a:stretch>
          <a:fillRect/>
        </a:stretch>
      </xdr:blipFill>
      <xdr:spPr>
        <a:xfrm>
          <a:off x="191770" y="35439350"/>
          <a:ext cx="236855" cy="225425"/>
        </a:xfrm>
        <a:prstGeom prst="rect">
          <a:avLst/>
        </a:prstGeom>
      </xdr:spPr>
    </xdr:pic>
    <xdr:clientData/>
  </xdr:twoCellAnchor>
  <xdr:twoCellAnchor>
    <xdr:from>
      <xdr:col>0</xdr:col>
      <xdr:colOff>192000</xdr:colOff>
      <xdr:row>118</xdr:row>
      <xdr:rowOff>45000</xdr:rowOff>
    </xdr:from>
    <xdr:to>
      <xdr:col>0</xdr:col>
      <xdr:colOff>428800</xdr:colOff>
      <xdr:row>118</xdr:row>
      <xdr:rowOff>270000</xdr:rowOff>
    </xdr:to>
    <xdr:pic>
      <xdr:nvPicPr>
        <xdr:cNvPr id="317" name="Picture 118"/>
        <xdr:cNvPicPr>
          <a:picLocks noChangeAspect="1"/>
        </xdr:cNvPicPr>
      </xdr:nvPicPr>
      <xdr:blipFill>
        <a:blip r:embed="rId313" cstate="print"/>
        <a:stretch>
          <a:fillRect/>
        </a:stretch>
      </xdr:blipFill>
      <xdr:spPr>
        <a:xfrm>
          <a:off x="191770" y="36048950"/>
          <a:ext cx="236855" cy="225425"/>
        </a:xfrm>
        <a:prstGeom prst="rect">
          <a:avLst/>
        </a:prstGeom>
      </xdr:spPr>
    </xdr:pic>
    <xdr:clientData/>
  </xdr:twoCellAnchor>
  <xdr:twoCellAnchor>
    <xdr:from>
      <xdr:col>0</xdr:col>
      <xdr:colOff>192000</xdr:colOff>
      <xdr:row>119</xdr:row>
      <xdr:rowOff>45000</xdr:rowOff>
    </xdr:from>
    <xdr:to>
      <xdr:col>0</xdr:col>
      <xdr:colOff>428800</xdr:colOff>
      <xdr:row>119</xdr:row>
      <xdr:rowOff>270000</xdr:rowOff>
    </xdr:to>
    <xdr:pic>
      <xdr:nvPicPr>
        <xdr:cNvPr id="318" name="Picture 119"/>
        <xdr:cNvPicPr>
          <a:picLocks noChangeAspect="1"/>
        </xdr:cNvPicPr>
      </xdr:nvPicPr>
      <xdr:blipFill>
        <a:blip r:embed="rId314" cstate="print"/>
        <a:stretch>
          <a:fillRect/>
        </a:stretch>
      </xdr:blipFill>
      <xdr:spPr>
        <a:xfrm>
          <a:off x="191770" y="36353750"/>
          <a:ext cx="236855" cy="225425"/>
        </a:xfrm>
        <a:prstGeom prst="rect">
          <a:avLst/>
        </a:prstGeom>
      </xdr:spPr>
    </xdr:pic>
    <xdr:clientData/>
  </xdr:twoCellAnchor>
  <xdr:twoCellAnchor>
    <xdr:from>
      <xdr:col>0</xdr:col>
      <xdr:colOff>192000</xdr:colOff>
      <xdr:row>120</xdr:row>
      <xdr:rowOff>45000</xdr:rowOff>
    </xdr:from>
    <xdr:to>
      <xdr:col>0</xdr:col>
      <xdr:colOff>428800</xdr:colOff>
      <xdr:row>120</xdr:row>
      <xdr:rowOff>270000</xdr:rowOff>
    </xdr:to>
    <xdr:pic>
      <xdr:nvPicPr>
        <xdr:cNvPr id="319" name="Picture 120"/>
        <xdr:cNvPicPr>
          <a:picLocks noChangeAspect="1"/>
        </xdr:cNvPicPr>
      </xdr:nvPicPr>
      <xdr:blipFill>
        <a:blip r:embed="rId315" cstate="print"/>
        <a:stretch>
          <a:fillRect/>
        </a:stretch>
      </xdr:blipFill>
      <xdr:spPr>
        <a:xfrm>
          <a:off x="191770" y="36658550"/>
          <a:ext cx="236855" cy="225425"/>
        </a:xfrm>
        <a:prstGeom prst="rect">
          <a:avLst/>
        </a:prstGeom>
      </xdr:spPr>
    </xdr:pic>
    <xdr:clientData/>
  </xdr:twoCellAnchor>
  <xdr:twoCellAnchor>
    <xdr:from>
      <xdr:col>0</xdr:col>
      <xdr:colOff>192000</xdr:colOff>
      <xdr:row>121</xdr:row>
      <xdr:rowOff>45000</xdr:rowOff>
    </xdr:from>
    <xdr:to>
      <xdr:col>0</xdr:col>
      <xdr:colOff>428800</xdr:colOff>
      <xdr:row>121</xdr:row>
      <xdr:rowOff>270000</xdr:rowOff>
    </xdr:to>
    <xdr:pic>
      <xdr:nvPicPr>
        <xdr:cNvPr id="320" name="Picture 121"/>
        <xdr:cNvPicPr>
          <a:picLocks noChangeAspect="1"/>
        </xdr:cNvPicPr>
      </xdr:nvPicPr>
      <xdr:blipFill>
        <a:blip r:embed="rId316" cstate="print"/>
        <a:stretch>
          <a:fillRect/>
        </a:stretch>
      </xdr:blipFill>
      <xdr:spPr>
        <a:xfrm>
          <a:off x="191770" y="36963350"/>
          <a:ext cx="236855" cy="225425"/>
        </a:xfrm>
        <a:prstGeom prst="rect">
          <a:avLst/>
        </a:prstGeom>
      </xdr:spPr>
    </xdr:pic>
    <xdr:clientData/>
  </xdr:twoCellAnchor>
  <xdr:twoCellAnchor>
    <xdr:from>
      <xdr:col>0</xdr:col>
      <xdr:colOff>192000</xdr:colOff>
      <xdr:row>122</xdr:row>
      <xdr:rowOff>45000</xdr:rowOff>
    </xdr:from>
    <xdr:to>
      <xdr:col>0</xdr:col>
      <xdr:colOff>428800</xdr:colOff>
      <xdr:row>122</xdr:row>
      <xdr:rowOff>270000</xdr:rowOff>
    </xdr:to>
    <xdr:pic>
      <xdr:nvPicPr>
        <xdr:cNvPr id="321" name="Picture 122"/>
        <xdr:cNvPicPr>
          <a:picLocks noChangeAspect="1"/>
        </xdr:cNvPicPr>
      </xdr:nvPicPr>
      <xdr:blipFill>
        <a:blip r:embed="rId317" cstate="print"/>
        <a:stretch>
          <a:fillRect/>
        </a:stretch>
      </xdr:blipFill>
      <xdr:spPr>
        <a:xfrm>
          <a:off x="191770" y="37268150"/>
          <a:ext cx="236855" cy="225425"/>
        </a:xfrm>
        <a:prstGeom prst="rect">
          <a:avLst/>
        </a:prstGeom>
      </xdr:spPr>
    </xdr:pic>
    <xdr:clientData/>
  </xdr:twoCellAnchor>
  <xdr:twoCellAnchor>
    <xdr:from>
      <xdr:col>0</xdr:col>
      <xdr:colOff>192000</xdr:colOff>
      <xdr:row>123</xdr:row>
      <xdr:rowOff>45000</xdr:rowOff>
    </xdr:from>
    <xdr:to>
      <xdr:col>0</xdr:col>
      <xdr:colOff>428800</xdr:colOff>
      <xdr:row>123</xdr:row>
      <xdr:rowOff>270000</xdr:rowOff>
    </xdr:to>
    <xdr:pic>
      <xdr:nvPicPr>
        <xdr:cNvPr id="322" name="Picture 123"/>
        <xdr:cNvPicPr>
          <a:picLocks noChangeAspect="1"/>
        </xdr:cNvPicPr>
      </xdr:nvPicPr>
      <xdr:blipFill>
        <a:blip r:embed="rId318" cstate="print"/>
        <a:stretch>
          <a:fillRect/>
        </a:stretch>
      </xdr:blipFill>
      <xdr:spPr>
        <a:xfrm>
          <a:off x="191770" y="37572950"/>
          <a:ext cx="236855" cy="225425"/>
        </a:xfrm>
        <a:prstGeom prst="rect">
          <a:avLst/>
        </a:prstGeom>
      </xdr:spPr>
    </xdr:pic>
    <xdr:clientData/>
  </xdr:twoCellAnchor>
  <xdr:twoCellAnchor>
    <xdr:from>
      <xdr:col>0</xdr:col>
      <xdr:colOff>192000</xdr:colOff>
      <xdr:row>124</xdr:row>
      <xdr:rowOff>45000</xdr:rowOff>
    </xdr:from>
    <xdr:to>
      <xdr:col>0</xdr:col>
      <xdr:colOff>428800</xdr:colOff>
      <xdr:row>124</xdr:row>
      <xdr:rowOff>270000</xdr:rowOff>
    </xdr:to>
    <xdr:pic>
      <xdr:nvPicPr>
        <xdr:cNvPr id="323" name="Picture 124"/>
        <xdr:cNvPicPr>
          <a:picLocks noChangeAspect="1"/>
        </xdr:cNvPicPr>
      </xdr:nvPicPr>
      <xdr:blipFill>
        <a:blip r:embed="rId319" cstate="print"/>
        <a:stretch>
          <a:fillRect/>
        </a:stretch>
      </xdr:blipFill>
      <xdr:spPr>
        <a:xfrm>
          <a:off x="191770" y="37877750"/>
          <a:ext cx="236855" cy="225425"/>
        </a:xfrm>
        <a:prstGeom prst="rect">
          <a:avLst/>
        </a:prstGeom>
      </xdr:spPr>
    </xdr:pic>
    <xdr:clientData/>
  </xdr:twoCellAnchor>
  <xdr:twoCellAnchor>
    <xdr:from>
      <xdr:col>0</xdr:col>
      <xdr:colOff>192000</xdr:colOff>
      <xdr:row>125</xdr:row>
      <xdr:rowOff>45000</xdr:rowOff>
    </xdr:from>
    <xdr:to>
      <xdr:col>0</xdr:col>
      <xdr:colOff>428800</xdr:colOff>
      <xdr:row>125</xdr:row>
      <xdr:rowOff>270000</xdr:rowOff>
    </xdr:to>
    <xdr:pic>
      <xdr:nvPicPr>
        <xdr:cNvPr id="324" name="Picture 125"/>
        <xdr:cNvPicPr>
          <a:picLocks noChangeAspect="1"/>
        </xdr:cNvPicPr>
      </xdr:nvPicPr>
      <xdr:blipFill>
        <a:blip r:embed="rId320" cstate="print"/>
        <a:stretch>
          <a:fillRect/>
        </a:stretch>
      </xdr:blipFill>
      <xdr:spPr>
        <a:xfrm>
          <a:off x="191770" y="38182550"/>
          <a:ext cx="236855" cy="225425"/>
        </a:xfrm>
        <a:prstGeom prst="rect">
          <a:avLst/>
        </a:prstGeom>
      </xdr:spPr>
    </xdr:pic>
    <xdr:clientData/>
  </xdr:twoCellAnchor>
  <xdr:twoCellAnchor>
    <xdr:from>
      <xdr:col>0</xdr:col>
      <xdr:colOff>192000</xdr:colOff>
      <xdr:row>126</xdr:row>
      <xdr:rowOff>45000</xdr:rowOff>
    </xdr:from>
    <xdr:to>
      <xdr:col>0</xdr:col>
      <xdr:colOff>428800</xdr:colOff>
      <xdr:row>126</xdr:row>
      <xdr:rowOff>270000</xdr:rowOff>
    </xdr:to>
    <xdr:pic>
      <xdr:nvPicPr>
        <xdr:cNvPr id="325" name="Picture 126"/>
        <xdr:cNvPicPr>
          <a:picLocks noChangeAspect="1"/>
        </xdr:cNvPicPr>
      </xdr:nvPicPr>
      <xdr:blipFill>
        <a:blip r:embed="rId321" cstate="print"/>
        <a:stretch>
          <a:fillRect/>
        </a:stretch>
      </xdr:blipFill>
      <xdr:spPr>
        <a:xfrm>
          <a:off x="191770" y="38487350"/>
          <a:ext cx="236855" cy="225425"/>
        </a:xfrm>
        <a:prstGeom prst="rect">
          <a:avLst/>
        </a:prstGeom>
      </xdr:spPr>
    </xdr:pic>
    <xdr:clientData/>
  </xdr:twoCellAnchor>
  <xdr:twoCellAnchor>
    <xdr:from>
      <xdr:col>0</xdr:col>
      <xdr:colOff>192000</xdr:colOff>
      <xdr:row>127</xdr:row>
      <xdr:rowOff>45000</xdr:rowOff>
    </xdr:from>
    <xdr:to>
      <xdr:col>0</xdr:col>
      <xdr:colOff>428800</xdr:colOff>
      <xdr:row>127</xdr:row>
      <xdr:rowOff>270000</xdr:rowOff>
    </xdr:to>
    <xdr:pic>
      <xdr:nvPicPr>
        <xdr:cNvPr id="326" name="Picture 127"/>
        <xdr:cNvPicPr>
          <a:picLocks noChangeAspect="1"/>
        </xdr:cNvPicPr>
      </xdr:nvPicPr>
      <xdr:blipFill>
        <a:blip r:embed="rId322" cstate="print"/>
        <a:stretch>
          <a:fillRect/>
        </a:stretch>
      </xdr:blipFill>
      <xdr:spPr>
        <a:xfrm>
          <a:off x="191770" y="38792150"/>
          <a:ext cx="236855" cy="225425"/>
        </a:xfrm>
        <a:prstGeom prst="rect">
          <a:avLst/>
        </a:prstGeom>
      </xdr:spPr>
    </xdr:pic>
    <xdr:clientData/>
  </xdr:twoCellAnchor>
  <xdr:twoCellAnchor>
    <xdr:from>
      <xdr:col>0</xdr:col>
      <xdr:colOff>192000</xdr:colOff>
      <xdr:row>129</xdr:row>
      <xdr:rowOff>45000</xdr:rowOff>
    </xdr:from>
    <xdr:to>
      <xdr:col>0</xdr:col>
      <xdr:colOff>428800</xdr:colOff>
      <xdr:row>129</xdr:row>
      <xdr:rowOff>270000</xdr:rowOff>
    </xdr:to>
    <xdr:pic>
      <xdr:nvPicPr>
        <xdr:cNvPr id="327" name="Picture 128"/>
        <xdr:cNvPicPr>
          <a:picLocks noChangeAspect="1"/>
        </xdr:cNvPicPr>
      </xdr:nvPicPr>
      <xdr:blipFill>
        <a:blip r:embed="rId323" cstate="print"/>
        <a:stretch>
          <a:fillRect/>
        </a:stretch>
      </xdr:blipFill>
      <xdr:spPr>
        <a:xfrm>
          <a:off x="191770" y="39401750"/>
          <a:ext cx="236855" cy="225425"/>
        </a:xfrm>
        <a:prstGeom prst="rect">
          <a:avLst/>
        </a:prstGeom>
      </xdr:spPr>
    </xdr:pic>
    <xdr:clientData/>
  </xdr:twoCellAnchor>
  <xdr:twoCellAnchor>
    <xdr:from>
      <xdr:col>0</xdr:col>
      <xdr:colOff>192000</xdr:colOff>
      <xdr:row>128</xdr:row>
      <xdr:rowOff>45000</xdr:rowOff>
    </xdr:from>
    <xdr:to>
      <xdr:col>0</xdr:col>
      <xdr:colOff>428800</xdr:colOff>
      <xdr:row>128</xdr:row>
      <xdr:rowOff>270000</xdr:rowOff>
    </xdr:to>
    <xdr:pic>
      <xdr:nvPicPr>
        <xdr:cNvPr id="328" name="Picture 129"/>
        <xdr:cNvPicPr>
          <a:picLocks noChangeAspect="1"/>
        </xdr:cNvPicPr>
      </xdr:nvPicPr>
      <xdr:blipFill>
        <a:blip r:embed="rId324" cstate="print"/>
        <a:stretch>
          <a:fillRect/>
        </a:stretch>
      </xdr:blipFill>
      <xdr:spPr>
        <a:xfrm>
          <a:off x="191770" y="39096950"/>
          <a:ext cx="236855" cy="225425"/>
        </a:xfrm>
        <a:prstGeom prst="rect">
          <a:avLst/>
        </a:prstGeom>
      </xdr:spPr>
    </xdr:pic>
    <xdr:clientData/>
  </xdr:twoCellAnchor>
  <xdr:twoCellAnchor>
    <xdr:from>
      <xdr:col>0</xdr:col>
      <xdr:colOff>192000</xdr:colOff>
      <xdr:row>130</xdr:row>
      <xdr:rowOff>45000</xdr:rowOff>
    </xdr:from>
    <xdr:to>
      <xdr:col>0</xdr:col>
      <xdr:colOff>428800</xdr:colOff>
      <xdr:row>130</xdr:row>
      <xdr:rowOff>270000</xdr:rowOff>
    </xdr:to>
    <xdr:pic>
      <xdr:nvPicPr>
        <xdr:cNvPr id="329" name="Picture 130"/>
        <xdr:cNvPicPr>
          <a:picLocks noChangeAspect="1"/>
        </xdr:cNvPicPr>
      </xdr:nvPicPr>
      <xdr:blipFill>
        <a:blip r:embed="rId325" cstate="print"/>
        <a:stretch>
          <a:fillRect/>
        </a:stretch>
      </xdr:blipFill>
      <xdr:spPr>
        <a:xfrm>
          <a:off x="191770" y="39706550"/>
          <a:ext cx="236855" cy="225425"/>
        </a:xfrm>
        <a:prstGeom prst="rect">
          <a:avLst/>
        </a:prstGeom>
      </xdr:spPr>
    </xdr:pic>
    <xdr:clientData/>
  </xdr:twoCellAnchor>
  <xdr:twoCellAnchor>
    <xdr:from>
      <xdr:col>0</xdr:col>
      <xdr:colOff>192000</xdr:colOff>
      <xdr:row>131</xdr:row>
      <xdr:rowOff>45000</xdr:rowOff>
    </xdr:from>
    <xdr:to>
      <xdr:col>0</xdr:col>
      <xdr:colOff>428800</xdr:colOff>
      <xdr:row>131</xdr:row>
      <xdr:rowOff>270000</xdr:rowOff>
    </xdr:to>
    <xdr:pic>
      <xdr:nvPicPr>
        <xdr:cNvPr id="330" name="Picture 131"/>
        <xdr:cNvPicPr>
          <a:picLocks noChangeAspect="1"/>
        </xdr:cNvPicPr>
      </xdr:nvPicPr>
      <xdr:blipFill>
        <a:blip r:embed="rId326" cstate="print"/>
        <a:stretch>
          <a:fillRect/>
        </a:stretch>
      </xdr:blipFill>
      <xdr:spPr>
        <a:xfrm>
          <a:off x="191770" y="40011350"/>
          <a:ext cx="236855" cy="225425"/>
        </a:xfrm>
        <a:prstGeom prst="rect">
          <a:avLst/>
        </a:prstGeom>
      </xdr:spPr>
    </xdr:pic>
    <xdr:clientData/>
  </xdr:twoCellAnchor>
  <xdr:twoCellAnchor>
    <xdr:from>
      <xdr:col>0</xdr:col>
      <xdr:colOff>192000</xdr:colOff>
      <xdr:row>132</xdr:row>
      <xdr:rowOff>45000</xdr:rowOff>
    </xdr:from>
    <xdr:to>
      <xdr:col>0</xdr:col>
      <xdr:colOff>428800</xdr:colOff>
      <xdr:row>132</xdr:row>
      <xdr:rowOff>270000</xdr:rowOff>
    </xdr:to>
    <xdr:pic>
      <xdr:nvPicPr>
        <xdr:cNvPr id="331" name="Picture 132"/>
        <xdr:cNvPicPr>
          <a:picLocks noChangeAspect="1"/>
        </xdr:cNvPicPr>
      </xdr:nvPicPr>
      <xdr:blipFill>
        <a:blip r:embed="rId327" cstate="print"/>
        <a:stretch>
          <a:fillRect/>
        </a:stretch>
      </xdr:blipFill>
      <xdr:spPr>
        <a:xfrm>
          <a:off x="191770" y="40316150"/>
          <a:ext cx="236855" cy="225425"/>
        </a:xfrm>
        <a:prstGeom prst="rect">
          <a:avLst/>
        </a:prstGeom>
      </xdr:spPr>
    </xdr:pic>
    <xdr:clientData/>
  </xdr:twoCellAnchor>
  <xdr:twoCellAnchor>
    <xdr:from>
      <xdr:col>0</xdr:col>
      <xdr:colOff>192000</xdr:colOff>
      <xdr:row>133</xdr:row>
      <xdr:rowOff>45000</xdr:rowOff>
    </xdr:from>
    <xdr:to>
      <xdr:col>0</xdr:col>
      <xdr:colOff>428800</xdr:colOff>
      <xdr:row>133</xdr:row>
      <xdr:rowOff>270000</xdr:rowOff>
    </xdr:to>
    <xdr:pic>
      <xdr:nvPicPr>
        <xdr:cNvPr id="332" name="Picture 133"/>
        <xdr:cNvPicPr>
          <a:picLocks noChangeAspect="1"/>
        </xdr:cNvPicPr>
      </xdr:nvPicPr>
      <xdr:blipFill>
        <a:blip r:embed="rId328" cstate="print"/>
        <a:stretch>
          <a:fillRect/>
        </a:stretch>
      </xdr:blipFill>
      <xdr:spPr>
        <a:xfrm>
          <a:off x="191770" y="40620950"/>
          <a:ext cx="236855" cy="225425"/>
        </a:xfrm>
        <a:prstGeom prst="rect">
          <a:avLst/>
        </a:prstGeom>
      </xdr:spPr>
    </xdr:pic>
    <xdr:clientData/>
  </xdr:twoCellAnchor>
  <xdr:twoCellAnchor>
    <xdr:from>
      <xdr:col>0</xdr:col>
      <xdr:colOff>192000</xdr:colOff>
      <xdr:row>134</xdr:row>
      <xdr:rowOff>45000</xdr:rowOff>
    </xdr:from>
    <xdr:to>
      <xdr:col>0</xdr:col>
      <xdr:colOff>428800</xdr:colOff>
      <xdr:row>134</xdr:row>
      <xdr:rowOff>270000</xdr:rowOff>
    </xdr:to>
    <xdr:pic>
      <xdr:nvPicPr>
        <xdr:cNvPr id="333" name="Picture 134"/>
        <xdr:cNvPicPr>
          <a:picLocks noChangeAspect="1"/>
        </xdr:cNvPicPr>
      </xdr:nvPicPr>
      <xdr:blipFill>
        <a:blip r:embed="rId329" cstate="print"/>
        <a:stretch>
          <a:fillRect/>
        </a:stretch>
      </xdr:blipFill>
      <xdr:spPr>
        <a:xfrm>
          <a:off x="191770" y="40925750"/>
          <a:ext cx="236855" cy="225425"/>
        </a:xfrm>
        <a:prstGeom prst="rect">
          <a:avLst/>
        </a:prstGeom>
      </xdr:spPr>
    </xdr:pic>
    <xdr:clientData/>
  </xdr:twoCellAnchor>
  <xdr:twoCellAnchor>
    <xdr:from>
      <xdr:col>0</xdr:col>
      <xdr:colOff>192000</xdr:colOff>
      <xdr:row>135</xdr:row>
      <xdr:rowOff>45000</xdr:rowOff>
    </xdr:from>
    <xdr:to>
      <xdr:col>0</xdr:col>
      <xdr:colOff>428800</xdr:colOff>
      <xdr:row>135</xdr:row>
      <xdr:rowOff>270000</xdr:rowOff>
    </xdr:to>
    <xdr:pic>
      <xdr:nvPicPr>
        <xdr:cNvPr id="334" name="Picture 135"/>
        <xdr:cNvPicPr>
          <a:picLocks noChangeAspect="1"/>
        </xdr:cNvPicPr>
      </xdr:nvPicPr>
      <xdr:blipFill>
        <a:blip r:embed="rId330" cstate="print"/>
        <a:stretch>
          <a:fillRect/>
        </a:stretch>
      </xdr:blipFill>
      <xdr:spPr>
        <a:xfrm>
          <a:off x="191770" y="41230550"/>
          <a:ext cx="236855" cy="225425"/>
        </a:xfrm>
        <a:prstGeom prst="rect">
          <a:avLst/>
        </a:prstGeom>
      </xdr:spPr>
    </xdr:pic>
    <xdr:clientData/>
  </xdr:twoCellAnchor>
  <xdr:twoCellAnchor>
    <xdr:from>
      <xdr:col>0</xdr:col>
      <xdr:colOff>192000</xdr:colOff>
      <xdr:row>136</xdr:row>
      <xdr:rowOff>45000</xdr:rowOff>
    </xdr:from>
    <xdr:to>
      <xdr:col>0</xdr:col>
      <xdr:colOff>428800</xdr:colOff>
      <xdr:row>136</xdr:row>
      <xdr:rowOff>270000</xdr:rowOff>
    </xdr:to>
    <xdr:pic>
      <xdr:nvPicPr>
        <xdr:cNvPr id="335" name="Picture 136"/>
        <xdr:cNvPicPr>
          <a:picLocks noChangeAspect="1"/>
        </xdr:cNvPicPr>
      </xdr:nvPicPr>
      <xdr:blipFill>
        <a:blip r:embed="rId331" cstate="print"/>
        <a:stretch>
          <a:fillRect/>
        </a:stretch>
      </xdr:blipFill>
      <xdr:spPr>
        <a:xfrm>
          <a:off x="191770" y="41535350"/>
          <a:ext cx="236855" cy="225425"/>
        </a:xfrm>
        <a:prstGeom prst="rect">
          <a:avLst/>
        </a:prstGeom>
      </xdr:spPr>
    </xdr:pic>
    <xdr:clientData/>
  </xdr:twoCellAnchor>
  <xdr:twoCellAnchor>
    <xdr:from>
      <xdr:col>0</xdr:col>
      <xdr:colOff>192000</xdr:colOff>
      <xdr:row>140</xdr:row>
      <xdr:rowOff>45000</xdr:rowOff>
    </xdr:from>
    <xdr:to>
      <xdr:col>0</xdr:col>
      <xdr:colOff>428800</xdr:colOff>
      <xdr:row>140</xdr:row>
      <xdr:rowOff>270000</xdr:rowOff>
    </xdr:to>
    <xdr:pic>
      <xdr:nvPicPr>
        <xdr:cNvPr id="336" name="Picture 137"/>
        <xdr:cNvPicPr>
          <a:picLocks noChangeAspect="1"/>
        </xdr:cNvPicPr>
      </xdr:nvPicPr>
      <xdr:blipFill>
        <a:blip r:embed="rId332" cstate="print"/>
        <a:stretch>
          <a:fillRect/>
        </a:stretch>
      </xdr:blipFill>
      <xdr:spPr>
        <a:xfrm>
          <a:off x="191770" y="42754550"/>
          <a:ext cx="236855" cy="225425"/>
        </a:xfrm>
        <a:prstGeom prst="rect">
          <a:avLst/>
        </a:prstGeom>
      </xdr:spPr>
    </xdr:pic>
    <xdr:clientData/>
  </xdr:twoCellAnchor>
  <xdr:twoCellAnchor>
    <xdr:from>
      <xdr:col>0</xdr:col>
      <xdr:colOff>192000</xdr:colOff>
      <xdr:row>137</xdr:row>
      <xdr:rowOff>45000</xdr:rowOff>
    </xdr:from>
    <xdr:to>
      <xdr:col>0</xdr:col>
      <xdr:colOff>428800</xdr:colOff>
      <xdr:row>137</xdr:row>
      <xdr:rowOff>270000</xdr:rowOff>
    </xdr:to>
    <xdr:pic>
      <xdr:nvPicPr>
        <xdr:cNvPr id="337" name="Picture 138"/>
        <xdr:cNvPicPr>
          <a:picLocks noChangeAspect="1"/>
        </xdr:cNvPicPr>
      </xdr:nvPicPr>
      <xdr:blipFill>
        <a:blip r:embed="rId333" cstate="print"/>
        <a:stretch>
          <a:fillRect/>
        </a:stretch>
      </xdr:blipFill>
      <xdr:spPr>
        <a:xfrm>
          <a:off x="191770" y="41840150"/>
          <a:ext cx="236855" cy="225425"/>
        </a:xfrm>
        <a:prstGeom prst="rect">
          <a:avLst/>
        </a:prstGeom>
      </xdr:spPr>
    </xdr:pic>
    <xdr:clientData/>
  </xdr:twoCellAnchor>
  <xdr:twoCellAnchor>
    <xdr:from>
      <xdr:col>0</xdr:col>
      <xdr:colOff>192000</xdr:colOff>
      <xdr:row>138</xdr:row>
      <xdr:rowOff>45000</xdr:rowOff>
    </xdr:from>
    <xdr:to>
      <xdr:col>0</xdr:col>
      <xdr:colOff>428800</xdr:colOff>
      <xdr:row>138</xdr:row>
      <xdr:rowOff>270000</xdr:rowOff>
    </xdr:to>
    <xdr:pic>
      <xdr:nvPicPr>
        <xdr:cNvPr id="338" name="Picture 139"/>
        <xdr:cNvPicPr>
          <a:picLocks noChangeAspect="1"/>
        </xdr:cNvPicPr>
      </xdr:nvPicPr>
      <xdr:blipFill>
        <a:blip r:embed="rId334" cstate="print"/>
        <a:stretch>
          <a:fillRect/>
        </a:stretch>
      </xdr:blipFill>
      <xdr:spPr>
        <a:xfrm>
          <a:off x="191770" y="42144950"/>
          <a:ext cx="236855" cy="225425"/>
        </a:xfrm>
        <a:prstGeom prst="rect">
          <a:avLst/>
        </a:prstGeom>
      </xdr:spPr>
    </xdr:pic>
    <xdr:clientData/>
  </xdr:twoCellAnchor>
  <xdr:twoCellAnchor>
    <xdr:from>
      <xdr:col>0</xdr:col>
      <xdr:colOff>192000</xdr:colOff>
      <xdr:row>139</xdr:row>
      <xdr:rowOff>45000</xdr:rowOff>
    </xdr:from>
    <xdr:to>
      <xdr:col>0</xdr:col>
      <xdr:colOff>428800</xdr:colOff>
      <xdr:row>139</xdr:row>
      <xdr:rowOff>270000</xdr:rowOff>
    </xdr:to>
    <xdr:pic>
      <xdr:nvPicPr>
        <xdr:cNvPr id="339" name="Picture 140"/>
        <xdr:cNvPicPr>
          <a:picLocks noChangeAspect="1"/>
        </xdr:cNvPicPr>
      </xdr:nvPicPr>
      <xdr:blipFill>
        <a:blip r:embed="rId335" cstate="print"/>
        <a:stretch>
          <a:fillRect/>
        </a:stretch>
      </xdr:blipFill>
      <xdr:spPr>
        <a:xfrm>
          <a:off x="191770" y="42449750"/>
          <a:ext cx="236855" cy="225425"/>
        </a:xfrm>
        <a:prstGeom prst="rect">
          <a:avLst/>
        </a:prstGeom>
      </xdr:spPr>
    </xdr:pic>
    <xdr:clientData/>
  </xdr:twoCellAnchor>
  <xdr:twoCellAnchor>
    <xdr:from>
      <xdr:col>0</xdr:col>
      <xdr:colOff>192000</xdr:colOff>
      <xdr:row>141</xdr:row>
      <xdr:rowOff>45000</xdr:rowOff>
    </xdr:from>
    <xdr:to>
      <xdr:col>0</xdr:col>
      <xdr:colOff>428800</xdr:colOff>
      <xdr:row>141</xdr:row>
      <xdr:rowOff>270000</xdr:rowOff>
    </xdr:to>
    <xdr:pic>
      <xdr:nvPicPr>
        <xdr:cNvPr id="340" name="Picture 141"/>
        <xdr:cNvPicPr>
          <a:picLocks noChangeAspect="1"/>
        </xdr:cNvPicPr>
      </xdr:nvPicPr>
      <xdr:blipFill>
        <a:blip r:embed="rId336" cstate="print"/>
        <a:stretch>
          <a:fillRect/>
        </a:stretch>
      </xdr:blipFill>
      <xdr:spPr>
        <a:xfrm>
          <a:off x="191770" y="43059350"/>
          <a:ext cx="236855" cy="225425"/>
        </a:xfrm>
        <a:prstGeom prst="rect">
          <a:avLst/>
        </a:prstGeom>
      </xdr:spPr>
    </xdr:pic>
    <xdr:clientData/>
  </xdr:twoCellAnchor>
  <xdr:twoCellAnchor>
    <xdr:from>
      <xdr:col>0</xdr:col>
      <xdr:colOff>192000</xdr:colOff>
      <xdr:row>142</xdr:row>
      <xdr:rowOff>45000</xdr:rowOff>
    </xdr:from>
    <xdr:to>
      <xdr:col>0</xdr:col>
      <xdr:colOff>428800</xdr:colOff>
      <xdr:row>142</xdr:row>
      <xdr:rowOff>270000</xdr:rowOff>
    </xdr:to>
    <xdr:pic>
      <xdr:nvPicPr>
        <xdr:cNvPr id="341" name="Picture 142"/>
        <xdr:cNvPicPr>
          <a:picLocks noChangeAspect="1"/>
        </xdr:cNvPicPr>
      </xdr:nvPicPr>
      <xdr:blipFill>
        <a:blip r:embed="rId337" cstate="print"/>
        <a:stretch>
          <a:fillRect/>
        </a:stretch>
      </xdr:blipFill>
      <xdr:spPr>
        <a:xfrm>
          <a:off x="191770" y="43364150"/>
          <a:ext cx="236855" cy="225425"/>
        </a:xfrm>
        <a:prstGeom prst="rect">
          <a:avLst/>
        </a:prstGeom>
      </xdr:spPr>
    </xdr:pic>
    <xdr:clientData/>
  </xdr:twoCellAnchor>
  <xdr:twoCellAnchor>
    <xdr:from>
      <xdr:col>0</xdr:col>
      <xdr:colOff>192000</xdr:colOff>
      <xdr:row>144</xdr:row>
      <xdr:rowOff>45000</xdr:rowOff>
    </xdr:from>
    <xdr:to>
      <xdr:col>0</xdr:col>
      <xdr:colOff>428800</xdr:colOff>
      <xdr:row>144</xdr:row>
      <xdr:rowOff>270000</xdr:rowOff>
    </xdr:to>
    <xdr:pic>
      <xdr:nvPicPr>
        <xdr:cNvPr id="342" name="Picture 143"/>
        <xdr:cNvPicPr>
          <a:picLocks noChangeAspect="1"/>
        </xdr:cNvPicPr>
      </xdr:nvPicPr>
      <xdr:blipFill>
        <a:blip r:embed="rId338" cstate="print"/>
        <a:stretch>
          <a:fillRect/>
        </a:stretch>
      </xdr:blipFill>
      <xdr:spPr>
        <a:xfrm>
          <a:off x="191770" y="43973750"/>
          <a:ext cx="236855" cy="225425"/>
        </a:xfrm>
        <a:prstGeom prst="rect">
          <a:avLst/>
        </a:prstGeom>
      </xdr:spPr>
    </xdr:pic>
    <xdr:clientData/>
  </xdr:twoCellAnchor>
  <xdr:twoCellAnchor>
    <xdr:from>
      <xdr:col>0</xdr:col>
      <xdr:colOff>192000</xdr:colOff>
      <xdr:row>146</xdr:row>
      <xdr:rowOff>45000</xdr:rowOff>
    </xdr:from>
    <xdr:to>
      <xdr:col>0</xdr:col>
      <xdr:colOff>428800</xdr:colOff>
      <xdr:row>146</xdr:row>
      <xdr:rowOff>270000</xdr:rowOff>
    </xdr:to>
    <xdr:pic>
      <xdr:nvPicPr>
        <xdr:cNvPr id="343" name="Picture 144"/>
        <xdr:cNvPicPr>
          <a:picLocks noChangeAspect="1"/>
        </xdr:cNvPicPr>
      </xdr:nvPicPr>
      <xdr:blipFill>
        <a:blip r:embed="rId339" cstate="print"/>
        <a:stretch>
          <a:fillRect/>
        </a:stretch>
      </xdr:blipFill>
      <xdr:spPr>
        <a:xfrm>
          <a:off x="191770" y="44583350"/>
          <a:ext cx="236855" cy="225425"/>
        </a:xfrm>
        <a:prstGeom prst="rect">
          <a:avLst/>
        </a:prstGeom>
      </xdr:spPr>
    </xdr:pic>
    <xdr:clientData/>
  </xdr:twoCellAnchor>
  <xdr:twoCellAnchor>
    <xdr:from>
      <xdr:col>0</xdr:col>
      <xdr:colOff>192000</xdr:colOff>
      <xdr:row>143</xdr:row>
      <xdr:rowOff>45000</xdr:rowOff>
    </xdr:from>
    <xdr:to>
      <xdr:col>0</xdr:col>
      <xdr:colOff>428800</xdr:colOff>
      <xdr:row>143</xdr:row>
      <xdr:rowOff>270000</xdr:rowOff>
    </xdr:to>
    <xdr:pic>
      <xdr:nvPicPr>
        <xdr:cNvPr id="344" name="Picture 145"/>
        <xdr:cNvPicPr>
          <a:picLocks noChangeAspect="1"/>
        </xdr:cNvPicPr>
      </xdr:nvPicPr>
      <xdr:blipFill>
        <a:blip r:embed="rId340" cstate="print"/>
        <a:stretch>
          <a:fillRect/>
        </a:stretch>
      </xdr:blipFill>
      <xdr:spPr>
        <a:xfrm>
          <a:off x="191770" y="43668950"/>
          <a:ext cx="236855" cy="225425"/>
        </a:xfrm>
        <a:prstGeom prst="rect">
          <a:avLst/>
        </a:prstGeom>
      </xdr:spPr>
    </xdr:pic>
    <xdr:clientData/>
  </xdr:twoCellAnchor>
  <xdr:twoCellAnchor>
    <xdr:from>
      <xdr:col>0</xdr:col>
      <xdr:colOff>192000</xdr:colOff>
      <xdr:row>147</xdr:row>
      <xdr:rowOff>45000</xdr:rowOff>
    </xdr:from>
    <xdr:to>
      <xdr:col>0</xdr:col>
      <xdr:colOff>428800</xdr:colOff>
      <xdr:row>147</xdr:row>
      <xdr:rowOff>270000</xdr:rowOff>
    </xdr:to>
    <xdr:pic>
      <xdr:nvPicPr>
        <xdr:cNvPr id="345" name="Picture 146"/>
        <xdr:cNvPicPr>
          <a:picLocks noChangeAspect="1"/>
        </xdr:cNvPicPr>
      </xdr:nvPicPr>
      <xdr:blipFill>
        <a:blip r:embed="rId341" cstate="print"/>
        <a:stretch>
          <a:fillRect/>
        </a:stretch>
      </xdr:blipFill>
      <xdr:spPr>
        <a:xfrm>
          <a:off x="191770" y="44888150"/>
          <a:ext cx="236855" cy="225425"/>
        </a:xfrm>
        <a:prstGeom prst="rect">
          <a:avLst/>
        </a:prstGeom>
      </xdr:spPr>
    </xdr:pic>
    <xdr:clientData/>
  </xdr:twoCellAnchor>
  <xdr:twoCellAnchor>
    <xdr:from>
      <xdr:col>0</xdr:col>
      <xdr:colOff>192000</xdr:colOff>
      <xdr:row>148</xdr:row>
      <xdr:rowOff>45000</xdr:rowOff>
    </xdr:from>
    <xdr:to>
      <xdr:col>0</xdr:col>
      <xdr:colOff>428800</xdr:colOff>
      <xdr:row>148</xdr:row>
      <xdr:rowOff>270000</xdr:rowOff>
    </xdr:to>
    <xdr:pic>
      <xdr:nvPicPr>
        <xdr:cNvPr id="346" name="Picture 147"/>
        <xdr:cNvPicPr>
          <a:picLocks noChangeAspect="1"/>
        </xdr:cNvPicPr>
      </xdr:nvPicPr>
      <xdr:blipFill>
        <a:blip r:embed="rId342" cstate="print"/>
        <a:stretch>
          <a:fillRect/>
        </a:stretch>
      </xdr:blipFill>
      <xdr:spPr>
        <a:xfrm>
          <a:off x="191770" y="45192950"/>
          <a:ext cx="236855" cy="225425"/>
        </a:xfrm>
        <a:prstGeom prst="rect">
          <a:avLst/>
        </a:prstGeom>
      </xdr:spPr>
    </xdr:pic>
    <xdr:clientData/>
  </xdr:twoCellAnchor>
  <xdr:twoCellAnchor>
    <xdr:from>
      <xdr:col>0</xdr:col>
      <xdr:colOff>192000</xdr:colOff>
      <xdr:row>149</xdr:row>
      <xdr:rowOff>45000</xdr:rowOff>
    </xdr:from>
    <xdr:to>
      <xdr:col>0</xdr:col>
      <xdr:colOff>428800</xdr:colOff>
      <xdr:row>149</xdr:row>
      <xdr:rowOff>270000</xdr:rowOff>
    </xdr:to>
    <xdr:pic>
      <xdr:nvPicPr>
        <xdr:cNvPr id="347" name="Picture 148"/>
        <xdr:cNvPicPr>
          <a:picLocks noChangeAspect="1"/>
        </xdr:cNvPicPr>
      </xdr:nvPicPr>
      <xdr:blipFill>
        <a:blip r:embed="rId343" cstate="print"/>
        <a:stretch>
          <a:fillRect/>
        </a:stretch>
      </xdr:blipFill>
      <xdr:spPr>
        <a:xfrm>
          <a:off x="191770" y="45497750"/>
          <a:ext cx="236855" cy="225425"/>
        </a:xfrm>
        <a:prstGeom prst="rect">
          <a:avLst/>
        </a:prstGeom>
      </xdr:spPr>
    </xdr:pic>
    <xdr:clientData/>
  </xdr:twoCellAnchor>
  <xdr:twoCellAnchor>
    <xdr:from>
      <xdr:col>0</xdr:col>
      <xdr:colOff>192000</xdr:colOff>
      <xdr:row>145</xdr:row>
      <xdr:rowOff>45000</xdr:rowOff>
    </xdr:from>
    <xdr:to>
      <xdr:col>0</xdr:col>
      <xdr:colOff>428800</xdr:colOff>
      <xdr:row>145</xdr:row>
      <xdr:rowOff>270000</xdr:rowOff>
    </xdr:to>
    <xdr:pic>
      <xdr:nvPicPr>
        <xdr:cNvPr id="348" name="Picture 149"/>
        <xdr:cNvPicPr>
          <a:picLocks noChangeAspect="1"/>
        </xdr:cNvPicPr>
      </xdr:nvPicPr>
      <xdr:blipFill>
        <a:blip r:embed="rId344" cstate="print"/>
        <a:stretch>
          <a:fillRect/>
        </a:stretch>
      </xdr:blipFill>
      <xdr:spPr>
        <a:xfrm>
          <a:off x="191770" y="44278550"/>
          <a:ext cx="236855" cy="225425"/>
        </a:xfrm>
        <a:prstGeom prst="rect">
          <a:avLst/>
        </a:prstGeom>
      </xdr:spPr>
    </xdr:pic>
    <xdr:clientData/>
  </xdr:twoCellAnchor>
  <xdr:twoCellAnchor>
    <xdr:from>
      <xdr:col>0</xdr:col>
      <xdr:colOff>192000</xdr:colOff>
      <xdr:row>150</xdr:row>
      <xdr:rowOff>45000</xdr:rowOff>
    </xdr:from>
    <xdr:to>
      <xdr:col>0</xdr:col>
      <xdr:colOff>428800</xdr:colOff>
      <xdr:row>150</xdr:row>
      <xdr:rowOff>270000</xdr:rowOff>
    </xdr:to>
    <xdr:pic>
      <xdr:nvPicPr>
        <xdr:cNvPr id="349" name="Picture 150"/>
        <xdr:cNvPicPr>
          <a:picLocks noChangeAspect="1"/>
        </xdr:cNvPicPr>
      </xdr:nvPicPr>
      <xdr:blipFill>
        <a:blip r:embed="rId345" cstate="print"/>
        <a:stretch>
          <a:fillRect/>
        </a:stretch>
      </xdr:blipFill>
      <xdr:spPr>
        <a:xfrm>
          <a:off x="191770" y="45802550"/>
          <a:ext cx="236855" cy="225425"/>
        </a:xfrm>
        <a:prstGeom prst="rect">
          <a:avLst/>
        </a:prstGeom>
      </xdr:spPr>
    </xdr:pic>
    <xdr:clientData/>
  </xdr:twoCellAnchor>
  <xdr:twoCellAnchor>
    <xdr:from>
      <xdr:col>0</xdr:col>
      <xdr:colOff>192000</xdr:colOff>
      <xdr:row>151</xdr:row>
      <xdr:rowOff>45000</xdr:rowOff>
    </xdr:from>
    <xdr:to>
      <xdr:col>0</xdr:col>
      <xdr:colOff>428800</xdr:colOff>
      <xdr:row>151</xdr:row>
      <xdr:rowOff>270000</xdr:rowOff>
    </xdr:to>
    <xdr:pic>
      <xdr:nvPicPr>
        <xdr:cNvPr id="350" name="Picture 151"/>
        <xdr:cNvPicPr>
          <a:picLocks noChangeAspect="1"/>
        </xdr:cNvPicPr>
      </xdr:nvPicPr>
      <xdr:blipFill>
        <a:blip r:embed="rId346" cstate="print"/>
        <a:stretch>
          <a:fillRect/>
        </a:stretch>
      </xdr:blipFill>
      <xdr:spPr>
        <a:xfrm>
          <a:off x="191770" y="46107350"/>
          <a:ext cx="236855" cy="225425"/>
        </a:xfrm>
        <a:prstGeom prst="rect">
          <a:avLst/>
        </a:prstGeom>
      </xdr:spPr>
    </xdr:pic>
    <xdr:clientData/>
  </xdr:twoCellAnchor>
  <xdr:twoCellAnchor>
    <xdr:from>
      <xdr:col>0</xdr:col>
      <xdr:colOff>192000</xdr:colOff>
      <xdr:row>152</xdr:row>
      <xdr:rowOff>45000</xdr:rowOff>
    </xdr:from>
    <xdr:to>
      <xdr:col>0</xdr:col>
      <xdr:colOff>428800</xdr:colOff>
      <xdr:row>152</xdr:row>
      <xdr:rowOff>270000</xdr:rowOff>
    </xdr:to>
    <xdr:pic>
      <xdr:nvPicPr>
        <xdr:cNvPr id="351" name="Picture 152"/>
        <xdr:cNvPicPr>
          <a:picLocks noChangeAspect="1"/>
        </xdr:cNvPicPr>
      </xdr:nvPicPr>
      <xdr:blipFill>
        <a:blip r:embed="rId347" cstate="print"/>
        <a:stretch>
          <a:fillRect/>
        </a:stretch>
      </xdr:blipFill>
      <xdr:spPr>
        <a:xfrm>
          <a:off x="191770" y="46412150"/>
          <a:ext cx="236855" cy="225425"/>
        </a:xfrm>
        <a:prstGeom prst="rect">
          <a:avLst/>
        </a:prstGeom>
      </xdr:spPr>
    </xdr:pic>
    <xdr:clientData/>
  </xdr:twoCellAnchor>
  <xdr:twoCellAnchor>
    <xdr:from>
      <xdr:col>0</xdr:col>
      <xdr:colOff>192000</xdr:colOff>
      <xdr:row>153</xdr:row>
      <xdr:rowOff>45000</xdr:rowOff>
    </xdr:from>
    <xdr:to>
      <xdr:col>0</xdr:col>
      <xdr:colOff>428800</xdr:colOff>
      <xdr:row>153</xdr:row>
      <xdr:rowOff>270000</xdr:rowOff>
    </xdr:to>
    <xdr:pic>
      <xdr:nvPicPr>
        <xdr:cNvPr id="352" name="Picture 153"/>
        <xdr:cNvPicPr>
          <a:picLocks noChangeAspect="1"/>
        </xdr:cNvPicPr>
      </xdr:nvPicPr>
      <xdr:blipFill>
        <a:blip r:embed="rId348" cstate="print"/>
        <a:stretch>
          <a:fillRect/>
        </a:stretch>
      </xdr:blipFill>
      <xdr:spPr>
        <a:xfrm>
          <a:off x="191770" y="46716950"/>
          <a:ext cx="236855" cy="225425"/>
        </a:xfrm>
        <a:prstGeom prst="rect">
          <a:avLst/>
        </a:prstGeom>
      </xdr:spPr>
    </xdr:pic>
    <xdr:clientData/>
  </xdr:twoCellAnchor>
  <xdr:twoCellAnchor>
    <xdr:from>
      <xdr:col>0</xdr:col>
      <xdr:colOff>192000</xdr:colOff>
      <xdr:row>154</xdr:row>
      <xdr:rowOff>45000</xdr:rowOff>
    </xdr:from>
    <xdr:to>
      <xdr:col>0</xdr:col>
      <xdr:colOff>428800</xdr:colOff>
      <xdr:row>154</xdr:row>
      <xdr:rowOff>270000</xdr:rowOff>
    </xdr:to>
    <xdr:pic>
      <xdr:nvPicPr>
        <xdr:cNvPr id="353" name="Picture 154"/>
        <xdr:cNvPicPr>
          <a:picLocks noChangeAspect="1"/>
        </xdr:cNvPicPr>
      </xdr:nvPicPr>
      <xdr:blipFill>
        <a:blip r:embed="rId349" cstate="print"/>
        <a:stretch>
          <a:fillRect/>
        </a:stretch>
      </xdr:blipFill>
      <xdr:spPr>
        <a:xfrm>
          <a:off x="191770" y="47021750"/>
          <a:ext cx="236855" cy="225425"/>
        </a:xfrm>
        <a:prstGeom prst="rect">
          <a:avLst/>
        </a:prstGeom>
      </xdr:spPr>
    </xdr:pic>
    <xdr:clientData/>
  </xdr:twoCellAnchor>
  <xdr:twoCellAnchor>
    <xdr:from>
      <xdr:col>0</xdr:col>
      <xdr:colOff>192000</xdr:colOff>
      <xdr:row>157</xdr:row>
      <xdr:rowOff>45000</xdr:rowOff>
    </xdr:from>
    <xdr:to>
      <xdr:col>0</xdr:col>
      <xdr:colOff>428800</xdr:colOff>
      <xdr:row>157</xdr:row>
      <xdr:rowOff>270000</xdr:rowOff>
    </xdr:to>
    <xdr:pic>
      <xdr:nvPicPr>
        <xdr:cNvPr id="354" name="Picture 155"/>
        <xdr:cNvPicPr>
          <a:picLocks noChangeAspect="1"/>
        </xdr:cNvPicPr>
      </xdr:nvPicPr>
      <xdr:blipFill>
        <a:blip r:embed="rId350" cstate="print"/>
        <a:stretch>
          <a:fillRect/>
        </a:stretch>
      </xdr:blipFill>
      <xdr:spPr>
        <a:xfrm>
          <a:off x="191770" y="47936150"/>
          <a:ext cx="236855" cy="225425"/>
        </a:xfrm>
        <a:prstGeom prst="rect">
          <a:avLst/>
        </a:prstGeom>
      </xdr:spPr>
    </xdr:pic>
    <xdr:clientData/>
  </xdr:twoCellAnchor>
  <xdr:twoCellAnchor>
    <xdr:from>
      <xdr:col>0</xdr:col>
      <xdr:colOff>192000</xdr:colOff>
      <xdr:row>155</xdr:row>
      <xdr:rowOff>45000</xdr:rowOff>
    </xdr:from>
    <xdr:to>
      <xdr:col>0</xdr:col>
      <xdr:colOff>428800</xdr:colOff>
      <xdr:row>155</xdr:row>
      <xdr:rowOff>270000</xdr:rowOff>
    </xdr:to>
    <xdr:pic>
      <xdr:nvPicPr>
        <xdr:cNvPr id="355" name="Picture 156"/>
        <xdr:cNvPicPr>
          <a:picLocks noChangeAspect="1"/>
        </xdr:cNvPicPr>
      </xdr:nvPicPr>
      <xdr:blipFill>
        <a:blip r:embed="rId351" cstate="print"/>
        <a:stretch>
          <a:fillRect/>
        </a:stretch>
      </xdr:blipFill>
      <xdr:spPr>
        <a:xfrm>
          <a:off x="191770" y="47326550"/>
          <a:ext cx="236855" cy="225425"/>
        </a:xfrm>
        <a:prstGeom prst="rect">
          <a:avLst/>
        </a:prstGeom>
      </xdr:spPr>
    </xdr:pic>
    <xdr:clientData/>
  </xdr:twoCellAnchor>
  <xdr:twoCellAnchor>
    <xdr:from>
      <xdr:col>0</xdr:col>
      <xdr:colOff>192000</xdr:colOff>
      <xdr:row>156</xdr:row>
      <xdr:rowOff>45000</xdr:rowOff>
    </xdr:from>
    <xdr:to>
      <xdr:col>0</xdr:col>
      <xdr:colOff>428800</xdr:colOff>
      <xdr:row>156</xdr:row>
      <xdr:rowOff>270000</xdr:rowOff>
    </xdr:to>
    <xdr:pic>
      <xdr:nvPicPr>
        <xdr:cNvPr id="356" name="Picture 157"/>
        <xdr:cNvPicPr>
          <a:picLocks noChangeAspect="1"/>
        </xdr:cNvPicPr>
      </xdr:nvPicPr>
      <xdr:blipFill>
        <a:blip r:embed="rId352" cstate="print"/>
        <a:stretch>
          <a:fillRect/>
        </a:stretch>
      </xdr:blipFill>
      <xdr:spPr>
        <a:xfrm>
          <a:off x="191770" y="47631350"/>
          <a:ext cx="236855" cy="225425"/>
        </a:xfrm>
        <a:prstGeom prst="rect">
          <a:avLst/>
        </a:prstGeom>
      </xdr:spPr>
    </xdr:pic>
    <xdr:clientData/>
  </xdr:twoCellAnchor>
  <xdr:twoCellAnchor>
    <xdr:from>
      <xdr:col>0</xdr:col>
      <xdr:colOff>192000</xdr:colOff>
      <xdr:row>158</xdr:row>
      <xdr:rowOff>45000</xdr:rowOff>
    </xdr:from>
    <xdr:to>
      <xdr:col>0</xdr:col>
      <xdr:colOff>428800</xdr:colOff>
      <xdr:row>158</xdr:row>
      <xdr:rowOff>270000</xdr:rowOff>
    </xdr:to>
    <xdr:pic>
      <xdr:nvPicPr>
        <xdr:cNvPr id="357" name="Picture 158"/>
        <xdr:cNvPicPr>
          <a:picLocks noChangeAspect="1"/>
        </xdr:cNvPicPr>
      </xdr:nvPicPr>
      <xdr:blipFill>
        <a:blip r:embed="rId353" cstate="print"/>
        <a:stretch>
          <a:fillRect/>
        </a:stretch>
      </xdr:blipFill>
      <xdr:spPr>
        <a:xfrm>
          <a:off x="191770" y="48240950"/>
          <a:ext cx="236855" cy="225425"/>
        </a:xfrm>
        <a:prstGeom prst="rect">
          <a:avLst/>
        </a:prstGeom>
      </xdr:spPr>
    </xdr:pic>
    <xdr:clientData/>
  </xdr:twoCellAnchor>
  <xdr:twoCellAnchor>
    <xdr:from>
      <xdr:col>0</xdr:col>
      <xdr:colOff>192000</xdr:colOff>
      <xdr:row>159</xdr:row>
      <xdr:rowOff>45000</xdr:rowOff>
    </xdr:from>
    <xdr:to>
      <xdr:col>0</xdr:col>
      <xdr:colOff>428800</xdr:colOff>
      <xdr:row>159</xdr:row>
      <xdr:rowOff>270000</xdr:rowOff>
    </xdr:to>
    <xdr:pic>
      <xdr:nvPicPr>
        <xdr:cNvPr id="358" name="Picture 159"/>
        <xdr:cNvPicPr>
          <a:picLocks noChangeAspect="1"/>
        </xdr:cNvPicPr>
      </xdr:nvPicPr>
      <xdr:blipFill>
        <a:blip r:embed="rId354" cstate="print"/>
        <a:stretch>
          <a:fillRect/>
        </a:stretch>
      </xdr:blipFill>
      <xdr:spPr>
        <a:xfrm>
          <a:off x="191770" y="48545750"/>
          <a:ext cx="236855" cy="225425"/>
        </a:xfrm>
        <a:prstGeom prst="rect">
          <a:avLst/>
        </a:prstGeom>
      </xdr:spPr>
    </xdr:pic>
    <xdr:clientData/>
  </xdr:twoCellAnchor>
  <xdr:twoCellAnchor>
    <xdr:from>
      <xdr:col>0</xdr:col>
      <xdr:colOff>192000</xdr:colOff>
      <xdr:row>160</xdr:row>
      <xdr:rowOff>45000</xdr:rowOff>
    </xdr:from>
    <xdr:to>
      <xdr:col>0</xdr:col>
      <xdr:colOff>428800</xdr:colOff>
      <xdr:row>160</xdr:row>
      <xdr:rowOff>270000</xdr:rowOff>
    </xdr:to>
    <xdr:pic>
      <xdr:nvPicPr>
        <xdr:cNvPr id="359" name="Picture 160"/>
        <xdr:cNvPicPr>
          <a:picLocks noChangeAspect="1"/>
        </xdr:cNvPicPr>
      </xdr:nvPicPr>
      <xdr:blipFill>
        <a:blip r:embed="rId355" cstate="print"/>
        <a:stretch>
          <a:fillRect/>
        </a:stretch>
      </xdr:blipFill>
      <xdr:spPr>
        <a:xfrm>
          <a:off x="191770" y="48850550"/>
          <a:ext cx="236855" cy="225425"/>
        </a:xfrm>
        <a:prstGeom prst="rect">
          <a:avLst/>
        </a:prstGeom>
      </xdr:spPr>
    </xdr:pic>
    <xdr:clientData/>
  </xdr:twoCellAnchor>
  <xdr:twoCellAnchor>
    <xdr:from>
      <xdr:col>0</xdr:col>
      <xdr:colOff>192000</xdr:colOff>
      <xdr:row>162</xdr:row>
      <xdr:rowOff>45000</xdr:rowOff>
    </xdr:from>
    <xdr:to>
      <xdr:col>0</xdr:col>
      <xdr:colOff>428800</xdr:colOff>
      <xdr:row>162</xdr:row>
      <xdr:rowOff>270000</xdr:rowOff>
    </xdr:to>
    <xdr:pic>
      <xdr:nvPicPr>
        <xdr:cNvPr id="360" name="Picture 161"/>
        <xdr:cNvPicPr>
          <a:picLocks noChangeAspect="1"/>
        </xdr:cNvPicPr>
      </xdr:nvPicPr>
      <xdr:blipFill>
        <a:blip r:embed="rId356" cstate="print"/>
        <a:stretch>
          <a:fillRect/>
        </a:stretch>
      </xdr:blipFill>
      <xdr:spPr>
        <a:xfrm>
          <a:off x="191770" y="49460150"/>
          <a:ext cx="236855" cy="225425"/>
        </a:xfrm>
        <a:prstGeom prst="rect">
          <a:avLst/>
        </a:prstGeom>
      </xdr:spPr>
    </xdr:pic>
    <xdr:clientData/>
  </xdr:twoCellAnchor>
  <xdr:twoCellAnchor>
    <xdr:from>
      <xdr:col>0</xdr:col>
      <xdr:colOff>192000</xdr:colOff>
      <xdr:row>161</xdr:row>
      <xdr:rowOff>45000</xdr:rowOff>
    </xdr:from>
    <xdr:to>
      <xdr:col>0</xdr:col>
      <xdr:colOff>428800</xdr:colOff>
      <xdr:row>161</xdr:row>
      <xdr:rowOff>270000</xdr:rowOff>
    </xdr:to>
    <xdr:pic>
      <xdr:nvPicPr>
        <xdr:cNvPr id="361" name="Picture 162"/>
        <xdr:cNvPicPr>
          <a:picLocks noChangeAspect="1"/>
        </xdr:cNvPicPr>
      </xdr:nvPicPr>
      <xdr:blipFill>
        <a:blip r:embed="rId357" cstate="print"/>
        <a:stretch>
          <a:fillRect/>
        </a:stretch>
      </xdr:blipFill>
      <xdr:spPr>
        <a:xfrm>
          <a:off x="191770" y="49155350"/>
          <a:ext cx="236855" cy="225425"/>
        </a:xfrm>
        <a:prstGeom prst="rect">
          <a:avLst/>
        </a:prstGeom>
      </xdr:spPr>
    </xdr:pic>
    <xdr:clientData/>
  </xdr:twoCellAnchor>
  <xdr:twoCellAnchor>
    <xdr:from>
      <xdr:col>0</xdr:col>
      <xdr:colOff>192000</xdr:colOff>
      <xdr:row>163</xdr:row>
      <xdr:rowOff>45000</xdr:rowOff>
    </xdr:from>
    <xdr:to>
      <xdr:col>0</xdr:col>
      <xdr:colOff>428800</xdr:colOff>
      <xdr:row>163</xdr:row>
      <xdr:rowOff>270000</xdr:rowOff>
    </xdr:to>
    <xdr:pic>
      <xdr:nvPicPr>
        <xdr:cNvPr id="362" name="Picture 163"/>
        <xdr:cNvPicPr>
          <a:picLocks noChangeAspect="1"/>
        </xdr:cNvPicPr>
      </xdr:nvPicPr>
      <xdr:blipFill>
        <a:blip r:embed="rId358" cstate="print"/>
        <a:stretch>
          <a:fillRect/>
        </a:stretch>
      </xdr:blipFill>
      <xdr:spPr>
        <a:xfrm>
          <a:off x="191770" y="49764950"/>
          <a:ext cx="236855" cy="225425"/>
        </a:xfrm>
        <a:prstGeom prst="rect">
          <a:avLst/>
        </a:prstGeom>
      </xdr:spPr>
    </xdr:pic>
    <xdr:clientData/>
  </xdr:twoCellAnchor>
  <xdr:twoCellAnchor>
    <xdr:from>
      <xdr:col>0</xdr:col>
      <xdr:colOff>192000</xdr:colOff>
      <xdr:row>164</xdr:row>
      <xdr:rowOff>45000</xdr:rowOff>
    </xdr:from>
    <xdr:to>
      <xdr:col>0</xdr:col>
      <xdr:colOff>428800</xdr:colOff>
      <xdr:row>164</xdr:row>
      <xdr:rowOff>270000</xdr:rowOff>
    </xdr:to>
    <xdr:pic>
      <xdr:nvPicPr>
        <xdr:cNvPr id="363" name="Picture 164"/>
        <xdr:cNvPicPr>
          <a:picLocks noChangeAspect="1"/>
        </xdr:cNvPicPr>
      </xdr:nvPicPr>
      <xdr:blipFill>
        <a:blip r:embed="rId359" cstate="print"/>
        <a:stretch>
          <a:fillRect/>
        </a:stretch>
      </xdr:blipFill>
      <xdr:spPr>
        <a:xfrm>
          <a:off x="191770" y="50069750"/>
          <a:ext cx="236855" cy="225425"/>
        </a:xfrm>
        <a:prstGeom prst="rect">
          <a:avLst/>
        </a:prstGeom>
      </xdr:spPr>
    </xdr:pic>
    <xdr:clientData/>
  </xdr:twoCellAnchor>
  <xdr:twoCellAnchor>
    <xdr:from>
      <xdr:col>0</xdr:col>
      <xdr:colOff>192000</xdr:colOff>
      <xdr:row>165</xdr:row>
      <xdr:rowOff>45000</xdr:rowOff>
    </xdr:from>
    <xdr:to>
      <xdr:col>0</xdr:col>
      <xdr:colOff>428800</xdr:colOff>
      <xdr:row>165</xdr:row>
      <xdr:rowOff>270000</xdr:rowOff>
    </xdr:to>
    <xdr:pic>
      <xdr:nvPicPr>
        <xdr:cNvPr id="364" name="Picture 165"/>
        <xdr:cNvPicPr>
          <a:picLocks noChangeAspect="1"/>
        </xdr:cNvPicPr>
      </xdr:nvPicPr>
      <xdr:blipFill>
        <a:blip r:embed="rId360" cstate="print"/>
        <a:stretch>
          <a:fillRect/>
        </a:stretch>
      </xdr:blipFill>
      <xdr:spPr>
        <a:xfrm>
          <a:off x="191770" y="50374550"/>
          <a:ext cx="236855" cy="225425"/>
        </a:xfrm>
        <a:prstGeom prst="rect">
          <a:avLst/>
        </a:prstGeom>
      </xdr:spPr>
    </xdr:pic>
    <xdr:clientData/>
  </xdr:twoCellAnchor>
  <xdr:twoCellAnchor>
    <xdr:from>
      <xdr:col>0</xdr:col>
      <xdr:colOff>192000</xdr:colOff>
      <xdr:row>166</xdr:row>
      <xdr:rowOff>45000</xdr:rowOff>
    </xdr:from>
    <xdr:to>
      <xdr:col>0</xdr:col>
      <xdr:colOff>428800</xdr:colOff>
      <xdr:row>166</xdr:row>
      <xdr:rowOff>270000</xdr:rowOff>
    </xdr:to>
    <xdr:pic>
      <xdr:nvPicPr>
        <xdr:cNvPr id="365" name="Picture 166"/>
        <xdr:cNvPicPr>
          <a:picLocks noChangeAspect="1"/>
        </xdr:cNvPicPr>
      </xdr:nvPicPr>
      <xdr:blipFill>
        <a:blip r:embed="rId361" cstate="print"/>
        <a:stretch>
          <a:fillRect/>
        </a:stretch>
      </xdr:blipFill>
      <xdr:spPr>
        <a:xfrm>
          <a:off x="191770" y="50679350"/>
          <a:ext cx="236855" cy="225425"/>
        </a:xfrm>
        <a:prstGeom prst="rect">
          <a:avLst/>
        </a:prstGeom>
      </xdr:spPr>
    </xdr:pic>
    <xdr:clientData/>
  </xdr:twoCellAnchor>
  <xdr:twoCellAnchor>
    <xdr:from>
      <xdr:col>0</xdr:col>
      <xdr:colOff>192000</xdr:colOff>
      <xdr:row>167</xdr:row>
      <xdr:rowOff>45000</xdr:rowOff>
    </xdr:from>
    <xdr:to>
      <xdr:col>0</xdr:col>
      <xdr:colOff>428800</xdr:colOff>
      <xdr:row>167</xdr:row>
      <xdr:rowOff>270000</xdr:rowOff>
    </xdr:to>
    <xdr:pic>
      <xdr:nvPicPr>
        <xdr:cNvPr id="366" name="Picture 167"/>
        <xdr:cNvPicPr>
          <a:picLocks noChangeAspect="1"/>
        </xdr:cNvPicPr>
      </xdr:nvPicPr>
      <xdr:blipFill>
        <a:blip r:embed="rId362" cstate="print"/>
        <a:stretch>
          <a:fillRect/>
        </a:stretch>
      </xdr:blipFill>
      <xdr:spPr>
        <a:xfrm>
          <a:off x="191770" y="50984150"/>
          <a:ext cx="236855" cy="225425"/>
        </a:xfrm>
        <a:prstGeom prst="rect">
          <a:avLst/>
        </a:prstGeom>
      </xdr:spPr>
    </xdr:pic>
    <xdr:clientData/>
  </xdr:twoCellAnchor>
  <xdr:twoCellAnchor>
    <xdr:from>
      <xdr:col>0</xdr:col>
      <xdr:colOff>192000</xdr:colOff>
      <xdr:row>168</xdr:row>
      <xdr:rowOff>45000</xdr:rowOff>
    </xdr:from>
    <xdr:to>
      <xdr:col>0</xdr:col>
      <xdr:colOff>428800</xdr:colOff>
      <xdr:row>168</xdr:row>
      <xdr:rowOff>270000</xdr:rowOff>
    </xdr:to>
    <xdr:pic>
      <xdr:nvPicPr>
        <xdr:cNvPr id="367" name="Picture 168"/>
        <xdr:cNvPicPr>
          <a:picLocks noChangeAspect="1"/>
        </xdr:cNvPicPr>
      </xdr:nvPicPr>
      <xdr:blipFill>
        <a:blip r:embed="rId363" cstate="print"/>
        <a:stretch>
          <a:fillRect/>
        </a:stretch>
      </xdr:blipFill>
      <xdr:spPr>
        <a:xfrm>
          <a:off x="191770" y="51288950"/>
          <a:ext cx="236855" cy="225425"/>
        </a:xfrm>
        <a:prstGeom prst="rect">
          <a:avLst/>
        </a:prstGeom>
      </xdr:spPr>
    </xdr:pic>
    <xdr:clientData/>
  </xdr:twoCellAnchor>
  <xdr:twoCellAnchor>
    <xdr:from>
      <xdr:col>0</xdr:col>
      <xdr:colOff>192000</xdr:colOff>
      <xdr:row>169</xdr:row>
      <xdr:rowOff>45000</xdr:rowOff>
    </xdr:from>
    <xdr:to>
      <xdr:col>0</xdr:col>
      <xdr:colOff>428800</xdr:colOff>
      <xdr:row>169</xdr:row>
      <xdr:rowOff>270000</xdr:rowOff>
    </xdr:to>
    <xdr:pic>
      <xdr:nvPicPr>
        <xdr:cNvPr id="368" name="Picture 169"/>
        <xdr:cNvPicPr>
          <a:picLocks noChangeAspect="1"/>
        </xdr:cNvPicPr>
      </xdr:nvPicPr>
      <xdr:blipFill>
        <a:blip r:embed="rId364" cstate="print"/>
        <a:stretch>
          <a:fillRect/>
        </a:stretch>
      </xdr:blipFill>
      <xdr:spPr>
        <a:xfrm>
          <a:off x="191770" y="51593750"/>
          <a:ext cx="236855" cy="225425"/>
        </a:xfrm>
        <a:prstGeom prst="rect">
          <a:avLst/>
        </a:prstGeom>
      </xdr:spPr>
    </xdr:pic>
    <xdr:clientData/>
  </xdr:twoCellAnchor>
  <xdr:twoCellAnchor>
    <xdr:from>
      <xdr:col>0</xdr:col>
      <xdr:colOff>192000</xdr:colOff>
      <xdr:row>170</xdr:row>
      <xdr:rowOff>45000</xdr:rowOff>
    </xdr:from>
    <xdr:to>
      <xdr:col>0</xdr:col>
      <xdr:colOff>428800</xdr:colOff>
      <xdr:row>170</xdr:row>
      <xdr:rowOff>270000</xdr:rowOff>
    </xdr:to>
    <xdr:pic>
      <xdr:nvPicPr>
        <xdr:cNvPr id="369" name="Picture 170"/>
        <xdr:cNvPicPr>
          <a:picLocks noChangeAspect="1"/>
        </xdr:cNvPicPr>
      </xdr:nvPicPr>
      <xdr:blipFill>
        <a:blip r:embed="rId365" cstate="print"/>
        <a:stretch>
          <a:fillRect/>
        </a:stretch>
      </xdr:blipFill>
      <xdr:spPr>
        <a:xfrm>
          <a:off x="191770" y="51898550"/>
          <a:ext cx="236855" cy="225425"/>
        </a:xfrm>
        <a:prstGeom prst="rect">
          <a:avLst/>
        </a:prstGeom>
      </xdr:spPr>
    </xdr:pic>
    <xdr:clientData/>
  </xdr:twoCellAnchor>
  <xdr:twoCellAnchor>
    <xdr:from>
      <xdr:col>0</xdr:col>
      <xdr:colOff>192000</xdr:colOff>
      <xdr:row>171</xdr:row>
      <xdr:rowOff>45000</xdr:rowOff>
    </xdr:from>
    <xdr:to>
      <xdr:col>0</xdr:col>
      <xdr:colOff>428800</xdr:colOff>
      <xdr:row>171</xdr:row>
      <xdr:rowOff>270000</xdr:rowOff>
    </xdr:to>
    <xdr:pic>
      <xdr:nvPicPr>
        <xdr:cNvPr id="370" name="Picture 171"/>
        <xdr:cNvPicPr>
          <a:picLocks noChangeAspect="1"/>
        </xdr:cNvPicPr>
      </xdr:nvPicPr>
      <xdr:blipFill>
        <a:blip r:embed="rId366" cstate="print"/>
        <a:stretch>
          <a:fillRect/>
        </a:stretch>
      </xdr:blipFill>
      <xdr:spPr>
        <a:xfrm>
          <a:off x="191770" y="52203350"/>
          <a:ext cx="236855" cy="225425"/>
        </a:xfrm>
        <a:prstGeom prst="rect">
          <a:avLst/>
        </a:prstGeom>
      </xdr:spPr>
    </xdr:pic>
    <xdr:clientData/>
  </xdr:twoCellAnchor>
  <xdr:twoCellAnchor>
    <xdr:from>
      <xdr:col>0</xdr:col>
      <xdr:colOff>192000</xdr:colOff>
      <xdr:row>172</xdr:row>
      <xdr:rowOff>45000</xdr:rowOff>
    </xdr:from>
    <xdr:to>
      <xdr:col>0</xdr:col>
      <xdr:colOff>428800</xdr:colOff>
      <xdr:row>172</xdr:row>
      <xdr:rowOff>270000</xdr:rowOff>
    </xdr:to>
    <xdr:pic>
      <xdr:nvPicPr>
        <xdr:cNvPr id="371" name="Picture 172"/>
        <xdr:cNvPicPr>
          <a:picLocks noChangeAspect="1"/>
        </xdr:cNvPicPr>
      </xdr:nvPicPr>
      <xdr:blipFill>
        <a:blip r:embed="rId367" cstate="print"/>
        <a:stretch>
          <a:fillRect/>
        </a:stretch>
      </xdr:blipFill>
      <xdr:spPr>
        <a:xfrm>
          <a:off x="191770" y="52508150"/>
          <a:ext cx="236855" cy="225425"/>
        </a:xfrm>
        <a:prstGeom prst="rect">
          <a:avLst/>
        </a:prstGeom>
      </xdr:spPr>
    </xdr:pic>
    <xdr:clientData/>
  </xdr:twoCellAnchor>
  <xdr:twoCellAnchor>
    <xdr:from>
      <xdr:col>0</xdr:col>
      <xdr:colOff>192000</xdr:colOff>
      <xdr:row>173</xdr:row>
      <xdr:rowOff>45000</xdr:rowOff>
    </xdr:from>
    <xdr:to>
      <xdr:col>0</xdr:col>
      <xdr:colOff>428800</xdr:colOff>
      <xdr:row>173</xdr:row>
      <xdr:rowOff>270000</xdr:rowOff>
    </xdr:to>
    <xdr:pic>
      <xdr:nvPicPr>
        <xdr:cNvPr id="372" name="Picture 173"/>
        <xdr:cNvPicPr>
          <a:picLocks noChangeAspect="1"/>
        </xdr:cNvPicPr>
      </xdr:nvPicPr>
      <xdr:blipFill>
        <a:blip r:embed="rId368" cstate="print"/>
        <a:stretch>
          <a:fillRect/>
        </a:stretch>
      </xdr:blipFill>
      <xdr:spPr>
        <a:xfrm>
          <a:off x="191770" y="52812950"/>
          <a:ext cx="236855" cy="225425"/>
        </a:xfrm>
        <a:prstGeom prst="rect">
          <a:avLst/>
        </a:prstGeom>
      </xdr:spPr>
    </xdr:pic>
    <xdr:clientData/>
  </xdr:twoCellAnchor>
  <xdr:twoCellAnchor>
    <xdr:from>
      <xdr:col>0</xdr:col>
      <xdr:colOff>192000</xdr:colOff>
      <xdr:row>174</xdr:row>
      <xdr:rowOff>45000</xdr:rowOff>
    </xdr:from>
    <xdr:to>
      <xdr:col>0</xdr:col>
      <xdr:colOff>428800</xdr:colOff>
      <xdr:row>174</xdr:row>
      <xdr:rowOff>270000</xdr:rowOff>
    </xdr:to>
    <xdr:pic>
      <xdr:nvPicPr>
        <xdr:cNvPr id="373" name="Picture 174"/>
        <xdr:cNvPicPr>
          <a:picLocks noChangeAspect="1"/>
        </xdr:cNvPicPr>
      </xdr:nvPicPr>
      <xdr:blipFill>
        <a:blip r:embed="rId369" cstate="print"/>
        <a:stretch>
          <a:fillRect/>
        </a:stretch>
      </xdr:blipFill>
      <xdr:spPr>
        <a:xfrm>
          <a:off x="191770" y="53117750"/>
          <a:ext cx="236855" cy="225425"/>
        </a:xfrm>
        <a:prstGeom prst="rect">
          <a:avLst/>
        </a:prstGeom>
      </xdr:spPr>
    </xdr:pic>
    <xdr:clientData/>
  </xdr:twoCellAnchor>
  <xdr:twoCellAnchor>
    <xdr:from>
      <xdr:col>0</xdr:col>
      <xdr:colOff>192000</xdr:colOff>
      <xdr:row>175</xdr:row>
      <xdr:rowOff>45000</xdr:rowOff>
    </xdr:from>
    <xdr:to>
      <xdr:col>0</xdr:col>
      <xdr:colOff>428800</xdr:colOff>
      <xdr:row>175</xdr:row>
      <xdr:rowOff>270000</xdr:rowOff>
    </xdr:to>
    <xdr:pic>
      <xdr:nvPicPr>
        <xdr:cNvPr id="374" name="Picture 175"/>
        <xdr:cNvPicPr>
          <a:picLocks noChangeAspect="1"/>
        </xdr:cNvPicPr>
      </xdr:nvPicPr>
      <xdr:blipFill>
        <a:blip r:embed="rId370" cstate="print"/>
        <a:stretch>
          <a:fillRect/>
        </a:stretch>
      </xdr:blipFill>
      <xdr:spPr>
        <a:xfrm>
          <a:off x="191770" y="53422550"/>
          <a:ext cx="236855" cy="225425"/>
        </a:xfrm>
        <a:prstGeom prst="rect">
          <a:avLst/>
        </a:prstGeom>
      </xdr:spPr>
    </xdr:pic>
    <xdr:clientData/>
  </xdr:twoCellAnchor>
  <xdr:twoCellAnchor>
    <xdr:from>
      <xdr:col>0</xdr:col>
      <xdr:colOff>192000</xdr:colOff>
      <xdr:row>176</xdr:row>
      <xdr:rowOff>45000</xdr:rowOff>
    </xdr:from>
    <xdr:to>
      <xdr:col>0</xdr:col>
      <xdr:colOff>428800</xdr:colOff>
      <xdr:row>176</xdr:row>
      <xdr:rowOff>270000</xdr:rowOff>
    </xdr:to>
    <xdr:pic>
      <xdr:nvPicPr>
        <xdr:cNvPr id="375" name="Picture 176"/>
        <xdr:cNvPicPr>
          <a:picLocks noChangeAspect="1"/>
        </xdr:cNvPicPr>
      </xdr:nvPicPr>
      <xdr:blipFill>
        <a:blip r:embed="rId371" cstate="print"/>
        <a:stretch>
          <a:fillRect/>
        </a:stretch>
      </xdr:blipFill>
      <xdr:spPr>
        <a:xfrm>
          <a:off x="191770" y="53727350"/>
          <a:ext cx="236855" cy="225425"/>
        </a:xfrm>
        <a:prstGeom prst="rect">
          <a:avLst/>
        </a:prstGeom>
      </xdr:spPr>
    </xdr:pic>
    <xdr:clientData/>
  </xdr:twoCellAnchor>
  <xdr:twoCellAnchor>
    <xdr:from>
      <xdr:col>0</xdr:col>
      <xdr:colOff>192000</xdr:colOff>
      <xdr:row>177</xdr:row>
      <xdr:rowOff>45000</xdr:rowOff>
    </xdr:from>
    <xdr:to>
      <xdr:col>0</xdr:col>
      <xdr:colOff>428800</xdr:colOff>
      <xdr:row>177</xdr:row>
      <xdr:rowOff>270000</xdr:rowOff>
    </xdr:to>
    <xdr:pic>
      <xdr:nvPicPr>
        <xdr:cNvPr id="376" name="Picture 177"/>
        <xdr:cNvPicPr>
          <a:picLocks noChangeAspect="1"/>
        </xdr:cNvPicPr>
      </xdr:nvPicPr>
      <xdr:blipFill>
        <a:blip r:embed="rId372" cstate="print"/>
        <a:stretch>
          <a:fillRect/>
        </a:stretch>
      </xdr:blipFill>
      <xdr:spPr>
        <a:xfrm>
          <a:off x="191770" y="54032150"/>
          <a:ext cx="236855" cy="225425"/>
        </a:xfrm>
        <a:prstGeom prst="rect">
          <a:avLst/>
        </a:prstGeom>
      </xdr:spPr>
    </xdr:pic>
    <xdr:clientData/>
  </xdr:twoCellAnchor>
  <xdr:twoCellAnchor>
    <xdr:from>
      <xdr:col>0</xdr:col>
      <xdr:colOff>192000</xdr:colOff>
      <xdr:row>178</xdr:row>
      <xdr:rowOff>45000</xdr:rowOff>
    </xdr:from>
    <xdr:to>
      <xdr:col>0</xdr:col>
      <xdr:colOff>428800</xdr:colOff>
      <xdr:row>178</xdr:row>
      <xdr:rowOff>270000</xdr:rowOff>
    </xdr:to>
    <xdr:pic>
      <xdr:nvPicPr>
        <xdr:cNvPr id="377" name="Picture 178"/>
        <xdr:cNvPicPr>
          <a:picLocks noChangeAspect="1"/>
        </xdr:cNvPicPr>
      </xdr:nvPicPr>
      <xdr:blipFill>
        <a:blip r:embed="rId373" cstate="print"/>
        <a:stretch>
          <a:fillRect/>
        </a:stretch>
      </xdr:blipFill>
      <xdr:spPr>
        <a:xfrm>
          <a:off x="191770" y="54336950"/>
          <a:ext cx="236855" cy="225425"/>
        </a:xfrm>
        <a:prstGeom prst="rect">
          <a:avLst/>
        </a:prstGeom>
      </xdr:spPr>
    </xdr:pic>
    <xdr:clientData/>
  </xdr:twoCellAnchor>
  <xdr:twoCellAnchor>
    <xdr:from>
      <xdr:col>0</xdr:col>
      <xdr:colOff>192000</xdr:colOff>
      <xdr:row>180</xdr:row>
      <xdr:rowOff>45000</xdr:rowOff>
    </xdr:from>
    <xdr:to>
      <xdr:col>0</xdr:col>
      <xdr:colOff>428800</xdr:colOff>
      <xdr:row>180</xdr:row>
      <xdr:rowOff>270000</xdr:rowOff>
    </xdr:to>
    <xdr:pic>
      <xdr:nvPicPr>
        <xdr:cNvPr id="378" name="Picture 179"/>
        <xdr:cNvPicPr>
          <a:picLocks noChangeAspect="1"/>
        </xdr:cNvPicPr>
      </xdr:nvPicPr>
      <xdr:blipFill>
        <a:blip r:embed="rId374" cstate="print"/>
        <a:stretch>
          <a:fillRect/>
        </a:stretch>
      </xdr:blipFill>
      <xdr:spPr>
        <a:xfrm>
          <a:off x="191770" y="54946550"/>
          <a:ext cx="236855" cy="225425"/>
        </a:xfrm>
        <a:prstGeom prst="rect">
          <a:avLst/>
        </a:prstGeom>
      </xdr:spPr>
    </xdr:pic>
    <xdr:clientData/>
  </xdr:twoCellAnchor>
  <xdr:twoCellAnchor>
    <xdr:from>
      <xdr:col>0</xdr:col>
      <xdr:colOff>192000</xdr:colOff>
      <xdr:row>179</xdr:row>
      <xdr:rowOff>45000</xdr:rowOff>
    </xdr:from>
    <xdr:to>
      <xdr:col>0</xdr:col>
      <xdr:colOff>428800</xdr:colOff>
      <xdr:row>179</xdr:row>
      <xdr:rowOff>270000</xdr:rowOff>
    </xdr:to>
    <xdr:pic>
      <xdr:nvPicPr>
        <xdr:cNvPr id="379" name="Picture 180"/>
        <xdr:cNvPicPr>
          <a:picLocks noChangeAspect="1"/>
        </xdr:cNvPicPr>
      </xdr:nvPicPr>
      <xdr:blipFill>
        <a:blip r:embed="rId375" cstate="print"/>
        <a:stretch>
          <a:fillRect/>
        </a:stretch>
      </xdr:blipFill>
      <xdr:spPr>
        <a:xfrm>
          <a:off x="191770" y="54641750"/>
          <a:ext cx="236855" cy="225425"/>
        </a:xfrm>
        <a:prstGeom prst="rect">
          <a:avLst/>
        </a:prstGeom>
      </xdr:spPr>
    </xdr:pic>
    <xdr:clientData/>
  </xdr:twoCellAnchor>
  <xdr:twoCellAnchor>
    <xdr:from>
      <xdr:col>0</xdr:col>
      <xdr:colOff>192000</xdr:colOff>
      <xdr:row>181</xdr:row>
      <xdr:rowOff>45000</xdr:rowOff>
    </xdr:from>
    <xdr:to>
      <xdr:col>0</xdr:col>
      <xdr:colOff>428800</xdr:colOff>
      <xdr:row>181</xdr:row>
      <xdr:rowOff>270000</xdr:rowOff>
    </xdr:to>
    <xdr:pic>
      <xdr:nvPicPr>
        <xdr:cNvPr id="380" name="Picture 181"/>
        <xdr:cNvPicPr>
          <a:picLocks noChangeAspect="1"/>
        </xdr:cNvPicPr>
      </xdr:nvPicPr>
      <xdr:blipFill>
        <a:blip r:embed="rId376" cstate="print"/>
        <a:stretch>
          <a:fillRect/>
        </a:stretch>
      </xdr:blipFill>
      <xdr:spPr>
        <a:xfrm>
          <a:off x="191770" y="55251350"/>
          <a:ext cx="236855" cy="225425"/>
        </a:xfrm>
        <a:prstGeom prst="rect">
          <a:avLst/>
        </a:prstGeom>
      </xdr:spPr>
    </xdr:pic>
    <xdr:clientData/>
  </xdr:twoCellAnchor>
  <xdr:twoCellAnchor>
    <xdr:from>
      <xdr:col>0</xdr:col>
      <xdr:colOff>192000</xdr:colOff>
      <xdr:row>182</xdr:row>
      <xdr:rowOff>45000</xdr:rowOff>
    </xdr:from>
    <xdr:to>
      <xdr:col>0</xdr:col>
      <xdr:colOff>428800</xdr:colOff>
      <xdr:row>182</xdr:row>
      <xdr:rowOff>270000</xdr:rowOff>
    </xdr:to>
    <xdr:pic>
      <xdr:nvPicPr>
        <xdr:cNvPr id="381" name="Picture 182"/>
        <xdr:cNvPicPr>
          <a:picLocks noChangeAspect="1"/>
        </xdr:cNvPicPr>
      </xdr:nvPicPr>
      <xdr:blipFill>
        <a:blip r:embed="rId377" cstate="print"/>
        <a:stretch>
          <a:fillRect/>
        </a:stretch>
      </xdr:blipFill>
      <xdr:spPr>
        <a:xfrm>
          <a:off x="191770" y="55556150"/>
          <a:ext cx="236855" cy="225425"/>
        </a:xfrm>
        <a:prstGeom prst="rect">
          <a:avLst/>
        </a:prstGeom>
      </xdr:spPr>
    </xdr:pic>
    <xdr:clientData/>
  </xdr:twoCellAnchor>
  <xdr:twoCellAnchor>
    <xdr:from>
      <xdr:col>0</xdr:col>
      <xdr:colOff>192000</xdr:colOff>
      <xdr:row>183</xdr:row>
      <xdr:rowOff>45000</xdr:rowOff>
    </xdr:from>
    <xdr:to>
      <xdr:col>0</xdr:col>
      <xdr:colOff>428800</xdr:colOff>
      <xdr:row>183</xdr:row>
      <xdr:rowOff>270000</xdr:rowOff>
    </xdr:to>
    <xdr:pic>
      <xdr:nvPicPr>
        <xdr:cNvPr id="382" name="Picture 183"/>
        <xdr:cNvPicPr>
          <a:picLocks noChangeAspect="1"/>
        </xdr:cNvPicPr>
      </xdr:nvPicPr>
      <xdr:blipFill>
        <a:blip r:embed="rId378" cstate="print"/>
        <a:stretch>
          <a:fillRect/>
        </a:stretch>
      </xdr:blipFill>
      <xdr:spPr>
        <a:xfrm>
          <a:off x="191770" y="55860950"/>
          <a:ext cx="236855" cy="225425"/>
        </a:xfrm>
        <a:prstGeom prst="rect">
          <a:avLst/>
        </a:prstGeom>
      </xdr:spPr>
    </xdr:pic>
    <xdr:clientData/>
  </xdr:twoCellAnchor>
  <xdr:twoCellAnchor>
    <xdr:from>
      <xdr:col>0</xdr:col>
      <xdr:colOff>192000</xdr:colOff>
      <xdr:row>184</xdr:row>
      <xdr:rowOff>45000</xdr:rowOff>
    </xdr:from>
    <xdr:to>
      <xdr:col>0</xdr:col>
      <xdr:colOff>428800</xdr:colOff>
      <xdr:row>184</xdr:row>
      <xdr:rowOff>270000</xdr:rowOff>
    </xdr:to>
    <xdr:pic>
      <xdr:nvPicPr>
        <xdr:cNvPr id="383" name="Picture 184"/>
        <xdr:cNvPicPr>
          <a:picLocks noChangeAspect="1"/>
        </xdr:cNvPicPr>
      </xdr:nvPicPr>
      <xdr:blipFill>
        <a:blip r:embed="rId379" cstate="print"/>
        <a:stretch>
          <a:fillRect/>
        </a:stretch>
      </xdr:blipFill>
      <xdr:spPr>
        <a:xfrm>
          <a:off x="191770" y="56165750"/>
          <a:ext cx="236855" cy="225425"/>
        </a:xfrm>
        <a:prstGeom prst="rect">
          <a:avLst/>
        </a:prstGeom>
      </xdr:spPr>
    </xdr:pic>
    <xdr:clientData/>
  </xdr:twoCellAnchor>
  <xdr:twoCellAnchor>
    <xdr:from>
      <xdr:col>0</xdr:col>
      <xdr:colOff>192000</xdr:colOff>
      <xdr:row>185</xdr:row>
      <xdr:rowOff>45000</xdr:rowOff>
    </xdr:from>
    <xdr:to>
      <xdr:col>0</xdr:col>
      <xdr:colOff>428800</xdr:colOff>
      <xdr:row>185</xdr:row>
      <xdr:rowOff>270000</xdr:rowOff>
    </xdr:to>
    <xdr:pic>
      <xdr:nvPicPr>
        <xdr:cNvPr id="384" name="Picture 185"/>
        <xdr:cNvPicPr>
          <a:picLocks noChangeAspect="1"/>
        </xdr:cNvPicPr>
      </xdr:nvPicPr>
      <xdr:blipFill>
        <a:blip r:embed="rId380" cstate="print"/>
        <a:stretch>
          <a:fillRect/>
        </a:stretch>
      </xdr:blipFill>
      <xdr:spPr>
        <a:xfrm>
          <a:off x="191770" y="56470550"/>
          <a:ext cx="236855" cy="225425"/>
        </a:xfrm>
        <a:prstGeom prst="rect">
          <a:avLst/>
        </a:prstGeom>
      </xdr:spPr>
    </xdr:pic>
    <xdr:clientData/>
  </xdr:twoCellAnchor>
  <xdr:twoCellAnchor>
    <xdr:from>
      <xdr:col>0</xdr:col>
      <xdr:colOff>192000</xdr:colOff>
      <xdr:row>186</xdr:row>
      <xdr:rowOff>45000</xdr:rowOff>
    </xdr:from>
    <xdr:to>
      <xdr:col>0</xdr:col>
      <xdr:colOff>428800</xdr:colOff>
      <xdr:row>186</xdr:row>
      <xdr:rowOff>270000</xdr:rowOff>
    </xdr:to>
    <xdr:pic>
      <xdr:nvPicPr>
        <xdr:cNvPr id="385" name="Picture 186"/>
        <xdr:cNvPicPr>
          <a:picLocks noChangeAspect="1"/>
        </xdr:cNvPicPr>
      </xdr:nvPicPr>
      <xdr:blipFill>
        <a:blip r:embed="rId381" cstate="print"/>
        <a:stretch>
          <a:fillRect/>
        </a:stretch>
      </xdr:blipFill>
      <xdr:spPr>
        <a:xfrm>
          <a:off x="191770" y="56775350"/>
          <a:ext cx="236855" cy="225425"/>
        </a:xfrm>
        <a:prstGeom prst="rect">
          <a:avLst/>
        </a:prstGeom>
      </xdr:spPr>
    </xdr:pic>
    <xdr:clientData/>
  </xdr:twoCellAnchor>
  <xdr:twoCellAnchor>
    <xdr:from>
      <xdr:col>0</xdr:col>
      <xdr:colOff>192000</xdr:colOff>
      <xdr:row>187</xdr:row>
      <xdr:rowOff>45000</xdr:rowOff>
    </xdr:from>
    <xdr:to>
      <xdr:col>0</xdr:col>
      <xdr:colOff>428800</xdr:colOff>
      <xdr:row>187</xdr:row>
      <xdr:rowOff>270000</xdr:rowOff>
    </xdr:to>
    <xdr:pic>
      <xdr:nvPicPr>
        <xdr:cNvPr id="386" name="Picture 187"/>
        <xdr:cNvPicPr>
          <a:picLocks noChangeAspect="1"/>
        </xdr:cNvPicPr>
      </xdr:nvPicPr>
      <xdr:blipFill>
        <a:blip r:embed="rId382" cstate="print"/>
        <a:stretch>
          <a:fillRect/>
        </a:stretch>
      </xdr:blipFill>
      <xdr:spPr>
        <a:xfrm>
          <a:off x="191770" y="57080150"/>
          <a:ext cx="236855" cy="225425"/>
        </a:xfrm>
        <a:prstGeom prst="rect">
          <a:avLst/>
        </a:prstGeom>
      </xdr:spPr>
    </xdr:pic>
    <xdr:clientData/>
  </xdr:twoCellAnchor>
  <xdr:twoCellAnchor>
    <xdr:from>
      <xdr:col>0</xdr:col>
      <xdr:colOff>192000</xdr:colOff>
      <xdr:row>188</xdr:row>
      <xdr:rowOff>45000</xdr:rowOff>
    </xdr:from>
    <xdr:to>
      <xdr:col>0</xdr:col>
      <xdr:colOff>428800</xdr:colOff>
      <xdr:row>188</xdr:row>
      <xdr:rowOff>270000</xdr:rowOff>
    </xdr:to>
    <xdr:pic>
      <xdr:nvPicPr>
        <xdr:cNvPr id="387" name="Picture 188"/>
        <xdr:cNvPicPr>
          <a:picLocks noChangeAspect="1"/>
        </xdr:cNvPicPr>
      </xdr:nvPicPr>
      <xdr:blipFill>
        <a:blip r:embed="rId383" cstate="print"/>
        <a:stretch>
          <a:fillRect/>
        </a:stretch>
      </xdr:blipFill>
      <xdr:spPr>
        <a:xfrm>
          <a:off x="191770" y="57384950"/>
          <a:ext cx="236855" cy="225425"/>
        </a:xfrm>
        <a:prstGeom prst="rect">
          <a:avLst/>
        </a:prstGeom>
      </xdr:spPr>
    </xdr:pic>
    <xdr:clientData/>
  </xdr:twoCellAnchor>
  <xdr:twoCellAnchor>
    <xdr:from>
      <xdr:col>0</xdr:col>
      <xdr:colOff>192000</xdr:colOff>
      <xdr:row>189</xdr:row>
      <xdr:rowOff>45000</xdr:rowOff>
    </xdr:from>
    <xdr:to>
      <xdr:col>0</xdr:col>
      <xdr:colOff>428800</xdr:colOff>
      <xdr:row>189</xdr:row>
      <xdr:rowOff>270000</xdr:rowOff>
    </xdr:to>
    <xdr:pic>
      <xdr:nvPicPr>
        <xdr:cNvPr id="388" name="Picture 189"/>
        <xdr:cNvPicPr>
          <a:picLocks noChangeAspect="1"/>
        </xdr:cNvPicPr>
      </xdr:nvPicPr>
      <xdr:blipFill>
        <a:blip r:embed="rId384" cstate="print"/>
        <a:stretch>
          <a:fillRect/>
        </a:stretch>
      </xdr:blipFill>
      <xdr:spPr>
        <a:xfrm>
          <a:off x="191770" y="57689750"/>
          <a:ext cx="236855" cy="225425"/>
        </a:xfrm>
        <a:prstGeom prst="rect">
          <a:avLst/>
        </a:prstGeom>
      </xdr:spPr>
    </xdr:pic>
    <xdr:clientData/>
  </xdr:twoCellAnchor>
  <xdr:twoCellAnchor>
    <xdr:from>
      <xdr:col>0</xdr:col>
      <xdr:colOff>192000</xdr:colOff>
      <xdr:row>190</xdr:row>
      <xdr:rowOff>45000</xdr:rowOff>
    </xdr:from>
    <xdr:to>
      <xdr:col>0</xdr:col>
      <xdr:colOff>428800</xdr:colOff>
      <xdr:row>190</xdr:row>
      <xdr:rowOff>270000</xdr:rowOff>
    </xdr:to>
    <xdr:pic>
      <xdr:nvPicPr>
        <xdr:cNvPr id="389" name="Picture 190"/>
        <xdr:cNvPicPr>
          <a:picLocks noChangeAspect="1"/>
        </xdr:cNvPicPr>
      </xdr:nvPicPr>
      <xdr:blipFill>
        <a:blip r:embed="rId385" cstate="print"/>
        <a:stretch>
          <a:fillRect/>
        </a:stretch>
      </xdr:blipFill>
      <xdr:spPr>
        <a:xfrm>
          <a:off x="191770" y="57994550"/>
          <a:ext cx="236855" cy="225425"/>
        </a:xfrm>
        <a:prstGeom prst="rect">
          <a:avLst/>
        </a:prstGeom>
      </xdr:spPr>
    </xdr:pic>
    <xdr:clientData/>
  </xdr:twoCellAnchor>
  <xdr:twoCellAnchor>
    <xdr:from>
      <xdr:col>0</xdr:col>
      <xdr:colOff>192000</xdr:colOff>
      <xdr:row>191</xdr:row>
      <xdr:rowOff>45000</xdr:rowOff>
    </xdr:from>
    <xdr:to>
      <xdr:col>0</xdr:col>
      <xdr:colOff>428800</xdr:colOff>
      <xdr:row>191</xdr:row>
      <xdr:rowOff>270000</xdr:rowOff>
    </xdr:to>
    <xdr:pic>
      <xdr:nvPicPr>
        <xdr:cNvPr id="390" name="Picture 191"/>
        <xdr:cNvPicPr>
          <a:picLocks noChangeAspect="1"/>
        </xdr:cNvPicPr>
      </xdr:nvPicPr>
      <xdr:blipFill>
        <a:blip r:embed="rId386" cstate="print"/>
        <a:stretch>
          <a:fillRect/>
        </a:stretch>
      </xdr:blipFill>
      <xdr:spPr>
        <a:xfrm>
          <a:off x="191770" y="58299350"/>
          <a:ext cx="236855" cy="225425"/>
        </a:xfrm>
        <a:prstGeom prst="rect">
          <a:avLst/>
        </a:prstGeom>
      </xdr:spPr>
    </xdr:pic>
    <xdr:clientData/>
  </xdr:twoCellAnchor>
  <xdr:twoCellAnchor>
    <xdr:from>
      <xdr:col>0</xdr:col>
      <xdr:colOff>192000</xdr:colOff>
      <xdr:row>192</xdr:row>
      <xdr:rowOff>45000</xdr:rowOff>
    </xdr:from>
    <xdr:to>
      <xdr:col>0</xdr:col>
      <xdr:colOff>428800</xdr:colOff>
      <xdr:row>192</xdr:row>
      <xdr:rowOff>270000</xdr:rowOff>
    </xdr:to>
    <xdr:pic>
      <xdr:nvPicPr>
        <xdr:cNvPr id="391" name="Picture 192"/>
        <xdr:cNvPicPr>
          <a:picLocks noChangeAspect="1"/>
        </xdr:cNvPicPr>
      </xdr:nvPicPr>
      <xdr:blipFill>
        <a:blip r:embed="rId387" cstate="print"/>
        <a:stretch>
          <a:fillRect/>
        </a:stretch>
      </xdr:blipFill>
      <xdr:spPr>
        <a:xfrm>
          <a:off x="191770" y="58604150"/>
          <a:ext cx="236855" cy="225425"/>
        </a:xfrm>
        <a:prstGeom prst="rect">
          <a:avLst/>
        </a:prstGeom>
      </xdr:spPr>
    </xdr:pic>
    <xdr:clientData/>
  </xdr:twoCellAnchor>
  <xdr:twoCellAnchor>
    <xdr:from>
      <xdr:col>0</xdr:col>
      <xdr:colOff>192000</xdr:colOff>
      <xdr:row>193</xdr:row>
      <xdr:rowOff>45000</xdr:rowOff>
    </xdr:from>
    <xdr:to>
      <xdr:col>0</xdr:col>
      <xdr:colOff>428800</xdr:colOff>
      <xdr:row>193</xdr:row>
      <xdr:rowOff>270000</xdr:rowOff>
    </xdr:to>
    <xdr:pic>
      <xdr:nvPicPr>
        <xdr:cNvPr id="392" name="Picture 193"/>
        <xdr:cNvPicPr>
          <a:picLocks noChangeAspect="1"/>
        </xdr:cNvPicPr>
      </xdr:nvPicPr>
      <xdr:blipFill>
        <a:blip r:embed="rId388" cstate="print"/>
        <a:stretch>
          <a:fillRect/>
        </a:stretch>
      </xdr:blipFill>
      <xdr:spPr>
        <a:xfrm>
          <a:off x="191770" y="58908950"/>
          <a:ext cx="236855" cy="225425"/>
        </a:xfrm>
        <a:prstGeom prst="rect">
          <a:avLst/>
        </a:prstGeom>
      </xdr:spPr>
    </xdr:pic>
    <xdr:clientData/>
  </xdr:twoCellAnchor>
  <xdr:twoCellAnchor>
    <xdr:from>
      <xdr:col>0</xdr:col>
      <xdr:colOff>192000</xdr:colOff>
      <xdr:row>194</xdr:row>
      <xdr:rowOff>45000</xdr:rowOff>
    </xdr:from>
    <xdr:to>
      <xdr:col>0</xdr:col>
      <xdr:colOff>428800</xdr:colOff>
      <xdr:row>194</xdr:row>
      <xdr:rowOff>270000</xdr:rowOff>
    </xdr:to>
    <xdr:pic>
      <xdr:nvPicPr>
        <xdr:cNvPr id="393" name="Picture 194"/>
        <xdr:cNvPicPr>
          <a:picLocks noChangeAspect="1"/>
        </xdr:cNvPicPr>
      </xdr:nvPicPr>
      <xdr:blipFill>
        <a:blip r:embed="rId389" cstate="print"/>
        <a:stretch>
          <a:fillRect/>
        </a:stretch>
      </xdr:blipFill>
      <xdr:spPr>
        <a:xfrm>
          <a:off x="191770" y="59213750"/>
          <a:ext cx="236855" cy="225425"/>
        </a:xfrm>
        <a:prstGeom prst="rect">
          <a:avLst/>
        </a:prstGeom>
      </xdr:spPr>
    </xdr:pic>
    <xdr:clientData/>
  </xdr:twoCellAnchor>
  <xdr:twoCellAnchor>
    <xdr:from>
      <xdr:col>0</xdr:col>
      <xdr:colOff>192000</xdr:colOff>
      <xdr:row>195</xdr:row>
      <xdr:rowOff>45000</xdr:rowOff>
    </xdr:from>
    <xdr:to>
      <xdr:col>0</xdr:col>
      <xdr:colOff>428800</xdr:colOff>
      <xdr:row>195</xdr:row>
      <xdr:rowOff>270000</xdr:rowOff>
    </xdr:to>
    <xdr:pic>
      <xdr:nvPicPr>
        <xdr:cNvPr id="394" name="Picture 195"/>
        <xdr:cNvPicPr>
          <a:picLocks noChangeAspect="1"/>
        </xdr:cNvPicPr>
      </xdr:nvPicPr>
      <xdr:blipFill>
        <a:blip r:embed="rId390" cstate="print"/>
        <a:stretch>
          <a:fillRect/>
        </a:stretch>
      </xdr:blipFill>
      <xdr:spPr>
        <a:xfrm>
          <a:off x="191770" y="59518550"/>
          <a:ext cx="236855" cy="225425"/>
        </a:xfrm>
        <a:prstGeom prst="rect">
          <a:avLst/>
        </a:prstGeom>
      </xdr:spPr>
    </xdr:pic>
    <xdr:clientData/>
  </xdr:twoCellAnchor>
  <xdr:twoCellAnchor>
    <xdr:from>
      <xdr:col>0</xdr:col>
      <xdr:colOff>192000</xdr:colOff>
      <xdr:row>196</xdr:row>
      <xdr:rowOff>45000</xdr:rowOff>
    </xdr:from>
    <xdr:to>
      <xdr:col>0</xdr:col>
      <xdr:colOff>428800</xdr:colOff>
      <xdr:row>196</xdr:row>
      <xdr:rowOff>270000</xdr:rowOff>
    </xdr:to>
    <xdr:pic>
      <xdr:nvPicPr>
        <xdr:cNvPr id="395" name="Picture 196"/>
        <xdr:cNvPicPr>
          <a:picLocks noChangeAspect="1"/>
        </xdr:cNvPicPr>
      </xdr:nvPicPr>
      <xdr:blipFill>
        <a:blip r:embed="rId391" cstate="print"/>
        <a:stretch>
          <a:fillRect/>
        </a:stretch>
      </xdr:blipFill>
      <xdr:spPr>
        <a:xfrm>
          <a:off x="191770" y="59823350"/>
          <a:ext cx="236855" cy="225425"/>
        </a:xfrm>
        <a:prstGeom prst="rect">
          <a:avLst/>
        </a:prstGeom>
      </xdr:spPr>
    </xdr:pic>
    <xdr:clientData/>
  </xdr:twoCellAnchor>
  <xdr:twoCellAnchor>
    <xdr:from>
      <xdr:col>0</xdr:col>
      <xdr:colOff>192000</xdr:colOff>
      <xdr:row>197</xdr:row>
      <xdr:rowOff>45000</xdr:rowOff>
    </xdr:from>
    <xdr:to>
      <xdr:col>0</xdr:col>
      <xdr:colOff>428800</xdr:colOff>
      <xdr:row>197</xdr:row>
      <xdr:rowOff>270000</xdr:rowOff>
    </xdr:to>
    <xdr:pic>
      <xdr:nvPicPr>
        <xdr:cNvPr id="396" name="Picture 197"/>
        <xdr:cNvPicPr>
          <a:picLocks noChangeAspect="1"/>
        </xdr:cNvPicPr>
      </xdr:nvPicPr>
      <xdr:blipFill>
        <a:blip r:embed="rId392" cstate="print"/>
        <a:stretch>
          <a:fillRect/>
        </a:stretch>
      </xdr:blipFill>
      <xdr:spPr>
        <a:xfrm>
          <a:off x="191770" y="60128150"/>
          <a:ext cx="236855" cy="225425"/>
        </a:xfrm>
        <a:prstGeom prst="rect">
          <a:avLst/>
        </a:prstGeom>
      </xdr:spPr>
    </xdr:pic>
    <xdr:clientData/>
  </xdr:twoCellAnchor>
  <xdr:twoCellAnchor>
    <xdr:from>
      <xdr:col>0</xdr:col>
      <xdr:colOff>192000</xdr:colOff>
      <xdr:row>198</xdr:row>
      <xdr:rowOff>45000</xdr:rowOff>
    </xdr:from>
    <xdr:to>
      <xdr:col>0</xdr:col>
      <xdr:colOff>428800</xdr:colOff>
      <xdr:row>198</xdr:row>
      <xdr:rowOff>270000</xdr:rowOff>
    </xdr:to>
    <xdr:pic>
      <xdr:nvPicPr>
        <xdr:cNvPr id="397" name="Picture 198"/>
        <xdr:cNvPicPr>
          <a:picLocks noChangeAspect="1"/>
        </xdr:cNvPicPr>
      </xdr:nvPicPr>
      <xdr:blipFill>
        <a:blip r:embed="rId393" cstate="print"/>
        <a:stretch>
          <a:fillRect/>
        </a:stretch>
      </xdr:blipFill>
      <xdr:spPr>
        <a:xfrm>
          <a:off x="191770" y="60432950"/>
          <a:ext cx="236855" cy="225425"/>
        </a:xfrm>
        <a:prstGeom prst="rect">
          <a:avLst/>
        </a:prstGeom>
      </xdr:spPr>
    </xdr:pic>
    <xdr:clientData/>
  </xdr:twoCellAnchor>
  <xdr:twoCellAnchor>
    <xdr:from>
      <xdr:col>0</xdr:col>
      <xdr:colOff>192000</xdr:colOff>
      <xdr:row>199</xdr:row>
      <xdr:rowOff>45000</xdr:rowOff>
    </xdr:from>
    <xdr:to>
      <xdr:col>0</xdr:col>
      <xdr:colOff>428800</xdr:colOff>
      <xdr:row>199</xdr:row>
      <xdr:rowOff>270000</xdr:rowOff>
    </xdr:to>
    <xdr:pic>
      <xdr:nvPicPr>
        <xdr:cNvPr id="398" name="Picture 199"/>
        <xdr:cNvPicPr>
          <a:picLocks noChangeAspect="1"/>
        </xdr:cNvPicPr>
      </xdr:nvPicPr>
      <xdr:blipFill>
        <a:blip r:embed="rId394" cstate="print"/>
        <a:stretch>
          <a:fillRect/>
        </a:stretch>
      </xdr:blipFill>
      <xdr:spPr>
        <a:xfrm>
          <a:off x="191770" y="60737750"/>
          <a:ext cx="236855" cy="225425"/>
        </a:xfrm>
        <a:prstGeom prst="rect">
          <a:avLst/>
        </a:prstGeom>
      </xdr:spPr>
    </xdr:pic>
    <xdr:clientData/>
  </xdr:twoCellAnchor>
  <xdr:twoCellAnchor>
    <xdr:from>
      <xdr:col>0</xdr:col>
      <xdr:colOff>192000</xdr:colOff>
      <xdr:row>200</xdr:row>
      <xdr:rowOff>45000</xdr:rowOff>
    </xdr:from>
    <xdr:to>
      <xdr:col>0</xdr:col>
      <xdr:colOff>428800</xdr:colOff>
      <xdr:row>200</xdr:row>
      <xdr:rowOff>270000</xdr:rowOff>
    </xdr:to>
    <xdr:pic>
      <xdr:nvPicPr>
        <xdr:cNvPr id="399" name="Picture 200"/>
        <xdr:cNvPicPr>
          <a:picLocks noChangeAspect="1"/>
        </xdr:cNvPicPr>
      </xdr:nvPicPr>
      <xdr:blipFill>
        <a:blip r:embed="rId395" cstate="print"/>
        <a:stretch>
          <a:fillRect/>
        </a:stretch>
      </xdr:blipFill>
      <xdr:spPr>
        <a:xfrm>
          <a:off x="191770" y="61042550"/>
          <a:ext cx="236855" cy="2254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140970</xdr:colOff>
      <xdr:row>157</xdr:row>
      <xdr:rowOff>172085</xdr:rowOff>
    </xdr:from>
    <xdr:to>
      <xdr:col>19</xdr:col>
      <xdr:colOff>14605</xdr:colOff>
      <xdr:row>157</xdr:row>
      <xdr:rowOff>172085</xdr:rowOff>
    </xdr:to>
    <xdr:graphicFrame>
      <xdr:nvGraphicFramePr>
        <xdr:cNvPr id="20" name="图表 19"/>
        <xdr:cNvGraphicFramePr/>
      </xdr:nvGraphicFramePr>
      <xdr:xfrm>
        <a:off x="11737975" y="33185735"/>
        <a:ext cx="1230376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111125</xdr:colOff>
      <xdr:row>193</xdr:row>
      <xdr:rowOff>191770</xdr:rowOff>
    </xdr:from>
    <xdr:to>
      <xdr:col>18</xdr:col>
      <xdr:colOff>29845</xdr:colOff>
      <xdr:row>211</xdr:row>
      <xdr:rowOff>13335</xdr:rowOff>
    </xdr:to>
    <xdr:graphicFrame>
      <xdr:nvGraphicFramePr>
        <xdr:cNvPr id="6" name="图表 5"/>
        <xdr:cNvGraphicFramePr/>
      </xdr:nvGraphicFramePr>
      <xdr:xfrm>
        <a:off x="11708130" y="40758745"/>
        <a:ext cx="11463020" cy="36029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116840</xdr:colOff>
      <xdr:row>101</xdr:row>
      <xdr:rowOff>23495</xdr:rowOff>
    </xdr:from>
    <xdr:to>
      <xdr:col>20</xdr:col>
      <xdr:colOff>309245</xdr:colOff>
      <xdr:row>149</xdr:row>
      <xdr:rowOff>93345</xdr:rowOff>
    </xdr:to>
    <xdr:graphicFrame>
      <xdr:nvGraphicFramePr>
        <xdr:cNvPr id="2" name="图表 1"/>
        <xdr:cNvGraphicFramePr/>
      </xdr:nvGraphicFramePr>
      <xdr:xfrm>
        <a:off x="11713845" y="21254720"/>
        <a:ext cx="13594080" cy="101377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130810</xdr:colOff>
      <xdr:row>156</xdr:row>
      <xdr:rowOff>210185</xdr:rowOff>
    </xdr:from>
    <xdr:to>
      <xdr:col>18</xdr:col>
      <xdr:colOff>81915</xdr:colOff>
      <xdr:row>192</xdr:row>
      <xdr:rowOff>159385</xdr:rowOff>
    </xdr:to>
    <xdr:graphicFrame>
      <xdr:nvGraphicFramePr>
        <xdr:cNvPr id="3" name="图表 2"/>
        <xdr:cNvGraphicFramePr/>
      </xdr:nvGraphicFramePr>
      <xdr:xfrm>
        <a:off x="11727815" y="33013650"/>
        <a:ext cx="11495405" cy="7503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325120</xdr:colOff>
      <xdr:row>70</xdr:row>
      <xdr:rowOff>95250</xdr:rowOff>
    </xdr:from>
    <xdr:to>
      <xdr:col>27</xdr:col>
      <xdr:colOff>681990</xdr:colOff>
      <xdr:row>99</xdr:row>
      <xdr:rowOff>78105</xdr:rowOff>
    </xdr:to>
    <xdr:graphicFrame>
      <xdr:nvGraphicFramePr>
        <xdr:cNvPr id="4" name="图表 3"/>
        <xdr:cNvGraphicFramePr/>
      </xdr:nvGraphicFramePr>
      <xdr:xfrm>
        <a:off x="8079105" y="14820900"/>
        <a:ext cx="25299035" cy="60598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29845</xdr:colOff>
      <xdr:row>46</xdr:row>
      <xdr:rowOff>102870</xdr:rowOff>
    </xdr:from>
    <xdr:to>
      <xdr:col>27</xdr:col>
      <xdr:colOff>670560</xdr:colOff>
      <xdr:row>69</xdr:row>
      <xdr:rowOff>10795</xdr:rowOff>
    </xdr:to>
    <xdr:graphicFrame>
      <xdr:nvGraphicFramePr>
        <xdr:cNvPr id="7" name="图表 6"/>
        <xdr:cNvGraphicFramePr/>
      </xdr:nvGraphicFramePr>
      <xdr:xfrm>
        <a:off x="1430655" y="9789795"/>
        <a:ext cx="31936055" cy="47275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211455</xdr:colOff>
      <xdr:row>212</xdr:row>
      <xdr:rowOff>33655</xdr:rowOff>
    </xdr:from>
    <xdr:to>
      <xdr:col>32</xdr:col>
      <xdr:colOff>866140</xdr:colOff>
      <xdr:row>237</xdr:row>
      <xdr:rowOff>60960</xdr:rowOff>
    </xdr:to>
    <xdr:graphicFrame>
      <xdr:nvGraphicFramePr>
        <xdr:cNvPr id="16" name="图表 15"/>
        <xdr:cNvGraphicFramePr/>
      </xdr:nvGraphicFramePr>
      <xdr:xfrm>
        <a:off x="21847810" y="44591605"/>
        <a:ext cx="16048355" cy="52755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253365</xdr:colOff>
      <xdr:row>265</xdr:row>
      <xdr:rowOff>30480</xdr:rowOff>
    </xdr:from>
    <xdr:to>
      <xdr:col>16</xdr:col>
      <xdr:colOff>725170</xdr:colOff>
      <xdr:row>278</xdr:row>
      <xdr:rowOff>4445</xdr:rowOff>
    </xdr:to>
    <xdr:graphicFrame>
      <xdr:nvGraphicFramePr>
        <xdr:cNvPr id="17" name="图表 16"/>
        <xdr:cNvGraphicFramePr/>
      </xdr:nvGraphicFramePr>
      <xdr:xfrm>
        <a:off x="11850370" y="55704105"/>
        <a:ext cx="10511155" cy="2707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252095</xdr:colOff>
      <xdr:row>278</xdr:row>
      <xdr:rowOff>200660</xdr:rowOff>
    </xdr:from>
    <xdr:to>
      <xdr:col>17</xdr:col>
      <xdr:colOff>90805</xdr:colOff>
      <xdr:row>293</xdr:row>
      <xdr:rowOff>191770</xdr:rowOff>
    </xdr:to>
    <xdr:graphicFrame>
      <xdr:nvGraphicFramePr>
        <xdr:cNvPr id="18" name="图表 17"/>
        <xdr:cNvGraphicFramePr/>
      </xdr:nvGraphicFramePr>
      <xdr:xfrm>
        <a:off x="11849100" y="58607960"/>
        <a:ext cx="10630535" cy="3143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267970</xdr:colOff>
      <xdr:row>295</xdr:row>
      <xdr:rowOff>33655</xdr:rowOff>
    </xdr:from>
    <xdr:to>
      <xdr:col>17</xdr:col>
      <xdr:colOff>112395</xdr:colOff>
      <xdr:row>318</xdr:row>
      <xdr:rowOff>193675</xdr:rowOff>
    </xdr:to>
    <xdr:graphicFrame>
      <xdr:nvGraphicFramePr>
        <xdr:cNvPr id="19" name="图表 18"/>
        <xdr:cNvGraphicFramePr/>
      </xdr:nvGraphicFramePr>
      <xdr:xfrm>
        <a:off x="11864975" y="62012830"/>
        <a:ext cx="10636250" cy="498919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240665</xdr:colOff>
      <xdr:row>320</xdr:row>
      <xdr:rowOff>15875</xdr:rowOff>
    </xdr:from>
    <xdr:to>
      <xdr:col>17</xdr:col>
      <xdr:colOff>214630</xdr:colOff>
      <xdr:row>345</xdr:row>
      <xdr:rowOff>116205</xdr:rowOff>
    </xdr:to>
    <xdr:graphicFrame>
      <xdr:nvGraphicFramePr>
        <xdr:cNvPr id="21" name="图表 20"/>
        <xdr:cNvGraphicFramePr/>
      </xdr:nvGraphicFramePr>
      <xdr:xfrm>
        <a:off x="11837670" y="67243325"/>
        <a:ext cx="10765790" cy="5348605"/>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416560</xdr:colOff>
      <xdr:row>346</xdr:row>
      <xdr:rowOff>176530</xdr:rowOff>
    </xdr:from>
    <xdr:to>
      <xdr:col>17</xdr:col>
      <xdr:colOff>154305</xdr:colOff>
      <xdr:row>363</xdr:row>
      <xdr:rowOff>16510</xdr:rowOff>
    </xdr:to>
    <xdr:graphicFrame>
      <xdr:nvGraphicFramePr>
        <xdr:cNvPr id="22" name="图表 21"/>
        <xdr:cNvGraphicFramePr/>
      </xdr:nvGraphicFramePr>
      <xdr:xfrm>
        <a:off x="12013565" y="72861805"/>
        <a:ext cx="10529570" cy="3411855"/>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180975</xdr:colOff>
      <xdr:row>397</xdr:row>
      <xdr:rowOff>39370</xdr:rowOff>
    </xdr:from>
    <xdr:to>
      <xdr:col>18</xdr:col>
      <xdr:colOff>516255</xdr:colOff>
      <xdr:row>414</xdr:row>
      <xdr:rowOff>149860</xdr:rowOff>
    </xdr:to>
    <xdr:graphicFrame>
      <xdr:nvGraphicFramePr>
        <xdr:cNvPr id="27" name="图表 26"/>
        <xdr:cNvGraphicFramePr/>
      </xdr:nvGraphicFramePr>
      <xdr:xfrm>
        <a:off x="11777980" y="83440270"/>
        <a:ext cx="11879580" cy="3682365"/>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194945</xdr:colOff>
      <xdr:row>415</xdr:row>
      <xdr:rowOff>194310</xdr:rowOff>
    </xdr:from>
    <xdr:to>
      <xdr:col>18</xdr:col>
      <xdr:colOff>603250</xdr:colOff>
      <xdr:row>432</xdr:row>
      <xdr:rowOff>172720</xdr:rowOff>
    </xdr:to>
    <xdr:graphicFrame>
      <xdr:nvGraphicFramePr>
        <xdr:cNvPr id="28" name="图表 27"/>
        <xdr:cNvGraphicFramePr/>
      </xdr:nvGraphicFramePr>
      <xdr:xfrm>
        <a:off x="11791950" y="87376635"/>
        <a:ext cx="11952605" cy="355028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178435</xdr:colOff>
      <xdr:row>433</xdr:row>
      <xdr:rowOff>200660</xdr:rowOff>
    </xdr:from>
    <xdr:to>
      <xdr:col>18</xdr:col>
      <xdr:colOff>544830</xdr:colOff>
      <xdr:row>461</xdr:row>
      <xdr:rowOff>22860</xdr:rowOff>
    </xdr:to>
    <xdr:graphicFrame>
      <xdr:nvGraphicFramePr>
        <xdr:cNvPr id="29" name="图表 28"/>
        <xdr:cNvGraphicFramePr/>
      </xdr:nvGraphicFramePr>
      <xdr:xfrm>
        <a:off x="11775440" y="91164410"/>
        <a:ext cx="11910695" cy="5699125"/>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97</xdr:row>
      <xdr:rowOff>45000</xdr:rowOff>
    </xdr:from>
    <xdr:to>
      <xdr:col>0</xdr:col>
      <xdr:colOff>428800</xdr:colOff>
      <xdr:row>97</xdr:row>
      <xdr:rowOff>270000</xdr:rowOff>
    </xdr:to>
    <xdr:pic>
      <xdr:nvPicPr>
        <xdr:cNvPr id="6" name="Picture 110"/>
        <xdr:cNvPicPr>
          <a:picLocks noChangeAspect="1"/>
        </xdr:cNvPicPr>
      </xdr:nvPicPr>
      <xdr:blipFill>
        <a:blip r:embed="rId1" cstate="print"/>
        <a:stretch>
          <a:fillRect/>
        </a:stretch>
      </xdr:blipFill>
      <xdr:spPr>
        <a:xfrm>
          <a:off x="191770" y="29648150"/>
          <a:ext cx="236855" cy="225425"/>
        </a:xfrm>
        <a:prstGeom prst="rect">
          <a:avLst/>
        </a:prstGeom>
      </xdr:spPr>
    </xdr:pic>
    <xdr:clientData/>
  </xdr:twoCellAnchor>
  <xdr:twoCellAnchor>
    <xdr:from>
      <xdr:col>0</xdr:col>
      <xdr:colOff>192000</xdr:colOff>
      <xdr:row>99</xdr:row>
      <xdr:rowOff>45000</xdr:rowOff>
    </xdr:from>
    <xdr:to>
      <xdr:col>0</xdr:col>
      <xdr:colOff>428800</xdr:colOff>
      <xdr:row>99</xdr:row>
      <xdr:rowOff>270000</xdr:rowOff>
    </xdr:to>
    <xdr:pic>
      <xdr:nvPicPr>
        <xdr:cNvPr id="7" name="Picture 107"/>
        <xdr:cNvPicPr>
          <a:picLocks noChangeAspect="1"/>
        </xdr:cNvPicPr>
      </xdr:nvPicPr>
      <xdr:blipFill>
        <a:blip r:embed="rId2" cstate="print"/>
        <a:stretch>
          <a:fillRect/>
        </a:stretch>
      </xdr:blipFill>
      <xdr:spPr>
        <a:xfrm>
          <a:off x="191770" y="30257750"/>
          <a:ext cx="236855" cy="225425"/>
        </a:xfrm>
        <a:prstGeom prst="rect">
          <a:avLst/>
        </a:prstGeom>
      </xdr:spPr>
    </xdr:pic>
    <xdr:clientData/>
  </xdr:twoCellAnchor>
  <xdr:twoCellAnchor>
    <xdr:from>
      <xdr:col>0</xdr:col>
      <xdr:colOff>192000</xdr:colOff>
      <xdr:row>98</xdr:row>
      <xdr:rowOff>45000</xdr:rowOff>
    </xdr:from>
    <xdr:to>
      <xdr:col>0</xdr:col>
      <xdr:colOff>428800</xdr:colOff>
      <xdr:row>98</xdr:row>
      <xdr:rowOff>270000</xdr:rowOff>
    </xdr:to>
    <xdr:pic>
      <xdr:nvPicPr>
        <xdr:cNvPr id="8" name="Picture 111"/>
        <xdr:cNvPicPr>
          <a:picLocks noChangeAspect="1"/>
        </xdr:cNvPicPr>
      </xdr:nvPicPr>
      <xdr:blipFill>
        <a:blip r:embed="rId3" cstate="print"/>
        <a:stretch>
          <a:fillRect/>
        </a:stretch>
      </xdr:blipFill>
      <xdr:spPr>
        <a:xfrm>
          <a:off x="191770" y="29952950"/>
          <a:ext cx="236855" cy="225425"/>
        </a:xfrm>
        <a:prstGeom prst="rect">
          <a:avLst/>
        </a:prstGeom>
      </xdr:spPr>
    </xdr:pic>
    <xdr:clientData/>
  </xdr:twoCellAnchor>
  <xdr:twoCellAnchor>
    <xdr:from>
      <xdr:col>0</xdr:col>
      <xdr:colOff>192000</xdr:colOff>
      <xdr:row>100</xdr:row>
      <xdr:rowOff>45000</xdr:rowOff>
    </xdr:from>
    <xdr:to>
      <xdr:col>0</xdr:col>
      <xdr:colOff>428800</xdr:colOff>
      <xdr:row>100</xdr:row>
      <xdr:rowOff>270000</xdr:rowOff>
    </xdr:to>
    <xdr:pic>
      <xdr:nvPicPr>
        <xdr:cNvPr id="9" name="Picture 112"/>
        <xdr:cNvPicPr>
          <a:picLocks noChangeAspect="1"/>
        </xdr:cNvPicPr>
      </xdr:nvPicPr>
      <xdr:blipFill>
        <a:blip r:embed="rId4" cstate="print"/>
        <a:stretch>
          <a:fillRect/>
        </a:stretch>
      </xdr:blipFill>
      <xdr:spPr>
        <a:xfrm>
          <a:off x="191770" y="30562550"/>
          <a:ext cx="236855" cy="22542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157480</xdr:colOff>
      <xdr:row>14</xdr:row>
      <xdr:rowOff>61595</xdr:rowOff>
    </xdr:from>
    <xdr:to>
      <xdr:col>3</xdr:col>
      <xdr:colOff>0</xdr:colOff>
      <xdr:row>18</xdr:row>
      <xdr:rowOff>262890</xdr:rowOff>
    </xdr:to>
    <xdr:pic>
      <xdr:nvPicPr>
        <xdr:cNvPr id="16" name="图片 15"/>
        <xdr:cNvPicPr>
          <a:picLocks noChangeAspect="1"/>
        </xdr:cNvPicPr>
      </xdr:nvPicPr>
      <xdr:blipFill>
        <a:blip r:embed="rId1"/>
        <a:stretch>
          <a:fillRect/>
        </a:stretch>
      </xdr:blipFill>
      <xdr:spPr>
        <a:xfrm>
          <a:off x="2138680" y="6243320"/>
          <a:ext cx="1758950" cy="1725295"/>
        </a:xfrm>
        <a:prstGeom prst="rect">
          <a:avLst/>
        </a:prstGeom>
        <a:noFill/>
        <a:ln w="9525">
          <a:noFill/>
        </a:ln>
      </xdr:spPr>
    </xdr:pic>
    <xdr:clientData/>
  </xdr:twoCellAnchor>
  <xdr:twoCellAnchor editAs="oneCell">
    <xdr:from>
      <xdr:col>2</xdr:col>
      <xdr:colOff>1938655</xdr:colOff>
      <xdr:row>14</xdr:row>
      <xdr:rowOff>75565</xdr:rowOff>
    </xdr:from>
    <xdr:to>
      <xdr:col>5</xdr:col>
      <xdr:colOff>0</xdr:colOff>
      <xdr:row>18</xdr:row>
      <xdr:rowOff>348615</xdr:rowOff>
    </xdr:to>
    <xdr:pic>
      <xdr:nvPicPr>
        <xdr:cNvPr id="19" name="图片 18"/>
        <xdr:cNvPicPr>
          <a:picLocks noChangeAspect="1"/>
        </xdr:cNvPicPr>
      </xdr:nvPicPr>
      <xdr:blipFill>
        <a:blip r:embed="rId2"/>
        <a:stretch>
          <a:fillRect/>
        </a:stretch>
      </xdr:blipFill>
      <xdr:spPr>
        <a:xfrm>
          <a:off x="3897630" y="6257290"/>
          <a:ext cx="1859280" cy="1797050"/>
        </a:xfrm>
        <a:prstGeom prst="rect">
          <a:avLst/>
        </a:prstGeom>
        <a:noFill/>
        <a:ln w="9525">
          <a:noFill/>
        </a:ln>
      </xdr:spPr>
    </xdr:pic>
    <xdr:clientData/>
  </xdr:twoCellAnchor>
  <xdr:twoCellAnchor editAs="oneCell">
    <xdr:from>
      <xdr:col>5</xdr:col>
      <xdr:colOff>21590</xdr:colOff>
      <xdr:row>14</xdr:row>
      <xdr:rowOff>64135</xdr:rowOff>
    </xdr:from>
    <xdr:to>
      <xdr:col>5</xdr:col>
      <xdr:colOff>1782445</xdr:colOff>
      <xdr:row>18</xdr:row>
      <xdr:rowOff>297815</xdr:rowOff>
    </xdr:to>
    <xdr:pic>
      <xdr:nvPicPr>
        <xdr:cNvPr id="20" name="图片 19"/>
        <xdr:cNvPicPr>
          <a:picLocks noChangeAspect="1"/>
        </xdr:cNvPicPr>
      </xdr:nvPicPr>
      <xdr:blipFill>
        <a:blip r:embed="rId3"/>
        <a:stretch>
          <a:fillRect/>
        </a:stretch>
      </xdr:blipFill>
      <xdr:spPr>
        <a:xfrm>
          <a:off x="5778500" y="6245860"/>
          <a:ext cx="1760855" cy="1757680"/>
        </a:xfrm>
        <a:prstGeom prst="rect">
          <a:avLst/>
        </a:prstGeom>
        <a:noFill/>
        <a:ln w="9525">
          <a:noFill/>
        </a:ln>
      </xdr:spPr>
    </xdr:pic>
    <xdr:clientData/>
  </xdr:twoCellAnchor>
  <xdr:twoCellAnchor editAs="oneCell">
    <xdr:from>
      <xdr:col>5</xdr:col>
      <xdr:colOff>1849120</xdr:colOff>
      <xdr:row>14</xdr:row>
      <xdr:rowOff>52705</xdr:rowOff>
    </xdr:from>
    <xdr:to>
      <xdr:col>7</xdr:col>
      <xdr:colOff>189230</xdr:colOff>
      <xdr:row>18</xdr:row>
      <xdr:rowOff>316865</xdr:rowOff>
    </xdr:to>
    <xdr:pic>
      <xdr:nvPicPr>
        <xdr:cNvPr id="21" name="图片 20"/>
        <xdr:cNvPicPr>
          <a:picLocks noChangeAspect="1"/>
        </xdr:cNvPicPr>
      </xdr:nvPicPr>
      <xdr:blipFill>
        <a:blip r:embed="rId4"/>
        <a:stretch>
          <a:fillRect/>
        </a:stretch>
      </xdr:blipFill>
      <xdr:spPr>
        <a:xfrm>
          <a:off x="7606030" y="6234430"/>
          <a:ext cx="1781810" cy="1788160"/>
        </a:xfrm>
        <a:prstGeom prst="rect">
          <a:avLst/>
        </a:prstGeom>
        <a:noFill/>
        <a:ln w="9525">
          <a:noFill/>
        </a:ln>
      </xdr:spPr>
    </xdr:pic>
    <xdr:clientData/>
  </xdr:twoCellAnchor>
  <xdr:twoCellAnchor editAs="oneCell">
    <xdr:from>
      <xdr:col>7</xdr:col>
      <xdr:colOff>254000</xdr:colOff>
      <xdr:row>14</xdr:row>
      <xdr:rowOff>50800</xdr:rowOff>
    </xdr:from>
    <xdr:to>
      <xdr:col>8</xdr:col>
      <xdr:colOff>701040</xdr:colOff>
      <xdr:row>18</xdr:row>
      <xdr:rowOff>321310</xdr:rowOff>
    </xdr:to>
    <xdr:pic>
      <xdr:nvPicPr>
        <xdr:cNvPr id="22" name="图片 21"/>
        <xdr:cNvPicPr>
          <a:picLocks noChangeAspect="1"/>
        </xdr:cNvPicPr>
      </xdr:nvPicPr>
      <xdr:blipFill>
        <a:blip r:embed="rId5"/>
        <a:stretch>
          <a:fillRect/>
        </a:stretch>
      </xdr:blipFill>
      <xdr:spPr>
        <a:xfrm>
          <a:off x="9452610" y="6232525"/>
          <a:ext cx="1780540" cy="1794510"/>
        </a:xfrm>
        <a:prstGeom prst="rect">
          <a:avLst/>
        </a:prstGeom>
        <a:noFill/>
        <a:ln w="9525">
          <a:noFill/>
        </a:ln>
      </xdr:spPr>
    </xdr:pic>
    <xdr:clientData/>
  </xdr:twoCellAnchor>
  <xdr:twoCellAnchor editAs="oneCell">
    <xdr:from>
      <xdr:col>8</xdr:col>
      <xdr:colOff>794385</xdr:colOff>
      <xdr:row>14</xdr:row>
      <xdr:rowOff>41275</xdr:rowOff>
    </xdr:from>
    <xdr:to>
      <xdr:col>9</xdr:col>
      <xdr:colOff>459105</xdr:colOff>
      <xdr:row>18</xdr:row>
      <xdr:rowOff>309245</xdr:rowOff>
    </xdr:to>
    <xdr:pic>
      <xdr:nvPicPr>
        <xdr:cNvPr id="23" name="图片 22"/>
        <xdr:cNvPicPr>
          <a:picLocks noChangeAspect="1"/>
        </xdr:cNvPicPr>
      </xdr:nvPicPr>
      <xdr:blipFill>
        <a:blip r:embed="rId6"/>
        <a:stretch>
          <a:fillRect/>
        </a:stretch>
      </xdr:blipFill>
      <xdr:spPr>
        <a:xfrm>
          <a:off x="11326495" y="6223000"/>
          <a:ext cx="1772920" cy="1791970"/>
        </a:xfrm>
        <a:prstGeom prst="rect">
          <a:avLst/>
        </a:prstGeom>
        <a:noFill/>
        <a:ln w="9525">
          <a:noFill/>
        </a:ln>
      </xdr:spPr>
    </xdr:pic>
    <xdr:clientData/>
  </xdr:twoCellAnchor>
  <xdr:twoCellAnchor editAs="oneCell">
    <xdr:from>
      <xdr:col>9</xdr:col>
      <xdr:colOff>571500</xdr:colOff>
      <xdr:row>14</xdr:row>
      <xdr:rowOff>75565</xdr:rowOff>
    </xdr:from>
    <xdr:to>
      <xdr:col>11</xdr:col>
      <xdr:colOff>248285</xdr:colOff>
      <xdr:row>18</xdr:row>
      <xdr:rowOff>345440</xdr:rowOff>
    </xdr:to>
    <xdr:pic>
      <xdr:nvPicPr>
        <xdr:cNvPr id="24" name="图片 23"/>
        <xdr:cNvPicPr>
          <a:picLocks noChangeAspect="1"/>
        </xdr:cNvPicPr>
      </xdr:nvPicPr>
      <xdr:blipFill>
        <a:blip r:embed="rId7"/>
        <a:stretch>
          <a:fillRect/>
        </a:stretch>
      </xdr:blipFill>
      <xdr:spPr>
        <a:xfrm>
          <a:off x="13211810" y="6257290"/>
          <a:ext cx="1783715" cy="1793875"/>
        </a:xfrm>
        <a:prstGeom prst="rect">
          <a:avLst/>
        </a:prstGeom>
        <a:noFill/>
        <a:ln w="9525">
          <a:noFill/>
        </a:ln>
      </xdr:spPr>
    </xdr:pic>
    <xdr:clientData/>
  </xdr:twoCellAnchor>
  <xdr:twoCellAnchor editAs="oneCell">
    <xdr:from>
      <xdr:col>11</xdr:col>
      <xdr:colOff>301625</xdr:colOff>
      <xdr:row>14</xdr:row>
      <xdr:rowOff>86360</xdr:rowOff>
    </xdr:from>
    <xdr:to>
      <xdr:col>12</xdr:col>
      <xdr:colOff>0</xdr:colOff>
      <xdr:row>18</xdr:row>
      <xdr:rowOff>322580</xdr:rowOff>
    </xdr:to>
    <xdr:pic>
      <xdr:nvPicPr>
        <xdr:cNvPr id="25" name="图片 24"/>
        <xdr:cNvPicPr>
          <a:picLocks noChangeAspect="1"/>
        </xdr:cNvPicPr>
      </xdr:nvPicPr>
      <xdr:blipFill>
        <a:blip r:embed="rId8"/>
        <a:stretch>
          <a:fillRect/>
        </a:stretch>
      </xdr:blipFill>
      <xdr:spPr>
        <a:xfrm>
          <a:off x="15048865" y="6268085"/>
          <a:ext cx="1806575" cy="1760220"/>
        </a:xfrm>
        <a:prstGeom prst="rect">
          <a:avLst/>
        </a:prstGeom>
        <a:noFill/>
        <a:ln w="9525">
          <a:noFill/>
        </a:ln>
      </xdr:spPr>
    </xdr:pic>
    <xdr:clientData/>
  </xdr:twoCellAnchor>
  <xdr:twoCellAnchor editAs="oneCell">
    <xdr:from>
      <xdr:col>12</xdr:col>
      <xdr:colOff>41275</xdr:colOff>
      <xdr:row>14</xdr:row>
      <xdr:rowOff>94615</xdr:rowOff>
    </xdr:from>
    <xdr:to>
      <xdr:col>13</xdr:col>
      <xdr:colOff>757555</xdr:colOff>
      <xdr:row>18</xdr:row>
      <xdr:rowOff>340360</xdr:rowOff>
    </xdr:to>
    <xdr:pic>
      <xdr:nvPicPr>
        <xdr:cNvPr id="26" name="图片 25"/>
        <xdr:cNvPicPr>
          <a:picLocks noChangeAspect="1"/>
        </xdr:cNvPicPr>
      </xdr:nvPicPr>
      <xdr:blipFill>
        <a:blip r:embed="rId9"/>
        <a:stretch>
          <a:fillRect/>
        </a:stretch>
      </xdr:blipFill>
      <xdr:spPr>
        <a:xfrm>
          <a:off x="16896715" y="6276340"/>
          <a:ext cx="1769745" cy="176974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37</xdr:col>
      <xdr:colOff>686435</xdr:colOff>
      <xdr:row>78</xdr:row>
      <xdr:rowOff>149225</xdr:rowOff>
    </xdr:from>
    <xdr:to>
      <xdr:col>39</xdr:col>
      <xdr:colOff>449580</xdr:colOff>
      <xdr:row>78</xdr:row>
      <xdr:rowOff>149225</xdr:rowOff>
    </xdr:to>
    <xdr:pic>
      <xdr:nvPicPr>
        <xdr:cNvPr id="27" name="图片"/>
        <xdr:cNvPicPr>
          <a:picLocks noChangeAspect="1"/>
        </xdr:cNvPicPr>
      </xdr:nvPicPr>
      <xdr:blipFill>
        <a:blip r:embed="rId1" cstate="print"/>
        <a:stretch>
          <a:fillRect/>
        </a:stretch>
      </xdr:blipFill>
      <xdr:spPr>
        <a:xfrm>
          <a:off x="23723600" y="24003000"/>
          <a:ext cx="1135380" cy="0"/>
        </a:xfrm>
        <a:prstGeom prst="rect">
          <a:avLst/>
        </a:prstGeom>
        <a:noFill/>
        <a:ln w="9525" cap="flat" cmpd="sng">
          <a:noFill/>
          <a:prstDash val="solid"/>
          <a:miter/>
        </a:ln>
      </xdr:spPr>
    </xdr:pic>
    <xdr:clientData/>
  </xdr:twoCellAnchor>
  <xdr:twoCellAnchor editAs="oneCell">
    <xdr:from>
      <xdr:col>32</xdr:col>
      <xdr:colOff>382270</xdr:colOff>
      <xdr:row>0</xdr:row>
      <xdr:rowOff>635</xdr:rowOff>
    </xdr:from>
    <xdr:to>
      <xdr:col>33</xdr:col>
      <xdr:colOff>504825</xdr:colOff>
      <xdr:row>4</xdr:row>
      <xdr:rowOff>300990</xdr:rowOff>
    </xdr:to>
    <xdr:pic>
      <xdr:nvPicPr>
        <xdr:cNvPr id="6" name="图片 2" descr="可视角度"/>
        <xdr:cNvPicPr>
          <a:picLocks noChangeAspect="1"/>
        </xdr:cNvPicPr>
      </xdr:nvPicPr>
      <xdr:blipFill>
        <a:blip r:embed="rId2"/>
        <a:stretch>
          <a:fillRect/>
        </a:stretch>
      </xdr:blipFill>
      <xdr:spPr>
        <a:xfrm>
          <a:off x="19619595" y="635"/>
          <a:ext cx="970280" cy="1529080"/>
        </a:xfrm>
        <a:prstGeom prst="rect">
          <a:avLst/>
        </a:prstGeom>
        <a:noFill/>
        <a:ln w="9525">
          <a:noFill/>
        </a:ln>
      </xdr:spPr>
    </xdr:pic>
    <xdr:clientData/>
  </xdr:twoCellAnchor>
  <xdr:twoCellAnchor editAs="oneCell">
    <xdr:from>
      <xdr:col>32</xdr:col>
      <xdr:colOff>471805</xdr:colOff>
      <xdr:row>10</xdr:row>
      <xdr:rowOff>100965</xdr:rowOff>
    </xdr:from>
    <xdr:to>
      <xdr:col>34</xdr:col>
      <xdr:colOff>0</xdr:colOff>
      <xdr:row>15</xdr:row>
      <xdr:rowOff>220345</xdr:rowOff>
    </xdr:to>
    <xdr:pic>
      <xdr:nvPicPr>
        <xdr:cNvPr id="9" name="图片 2" descr="可视角度"/>
        <xdr:cNvPicPr>
          <a:picLocks noChangeAspect="1"/>
        </xdr:cNvPicPr>
      </xdr:nvPicPr>
      <xdr:blipFill>
        <a:blip r:embed="rId2"/>
        <a:stretch>
          <a:fillRect/>
        </a:stretch>
      </xdr:blipFill>
      <xdr:spPr>
        <a:xfrm>
          <a:off x="19709130" y="3298190"/>
          <a:ext cx="1061720" cy="1529080"/>
        </a:xfrm>
        <a:prstGeom prst="rect">
          <a:avLst/>
        </a:prstGeom>
        <a:noFill/>
        <a:ln w="9525">
          <a:noFill/>
        </a:ln>
      </xdr:spPr>
    </xdr:pic>
    <xdr:clientData/>
  </xdr:twoCellAnchor>
  <xdr:twoCellAnchor>
    <xdr:from>
      <xdr:col>37</xdr:col>
      <xdr:colOff>686435</xdr:colOff>
      <xdr:row>89</xdr:row>
      <xdr:rowOff>149225</xdr:rowOff>
    </xdr:from>
    <xdr:to>
      <xdr:col>39</xdr:col>
      <xdr:colOff>449580</xdr:colOff>
      <xdr:row>89</xdr:row>
      <xdr:rowOff>149225</xdr:rowOff>
    </xdr:to>
    <xdr:pic>
      <xdr:nvPicPr>
        <xdr:cNvPr id="8" name="图片"/>
        <xdr:cNvPicPr>
          <a:picLocks noChangeAspect="1"/>
        </xdr:cNvPicPr>
      </xdr:nvPicPr>
      <xdr:blipFill>
        <a:blip r:embed="rId1" cstate="print"/>
        <a:stretch>
          <a:fillRect/>
        </a:stretch>
      </xdr:blipFill>
      <xdr:spPr>
        <a:xfrm>
          <a:off x="23723600" y="27381200"/>
          <a:ext cx="1135380" cy="0"/>
        </a:xfrm>
        <a:prstGeom prst="rect">
          <a:avLst/>
        </a:prstGeom>
        <a:noFill/>
        <a:ln w="9525" cap="flat" cmpd="sng">
          <a:noFill/>
          <a:prstDash val="solid"/>
          <a:miter/>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1054100</xdr:colOff>
      <xdr:row>3</xdr:row>
      <xdr:rowOff>364490</xdr:rowOff>
    </xdr:from>
    <xdr:to>
      <xdr:col>7</xdr:col>
      <xdr:colOff>647065</xdr:colOff>
      <xdr:row>11</xdr:row>
      <xdr:rowOff>64135</xdr:rowOff>
    </xdr:to>
    <xdr:pic>
      <xdr:nvPicPr>
        <xdr:cNvPr id="2" name="图片 1"/>
        <xdr:cNvPicPr>
          <a:picLocks noChangeAspect="1"/>
        </xdr:cNvPicPr>
      </xdr:nvPicPr>
      <xdr:blipFill>
        <a:blip r:embed="rId1"/>
        <a:stretch>
          <a:fillRect/>
        </a:stretch>
      </xdr:blipFill>
      <xdr:spPr>
        <a:xfrm>
          <a:off x="10394950" y="1421765"/>
          <a:ext cx="1768475" cy="208089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1167130</xdr:colOff>
      <xdr:row>5</xdr:row>
      <xdr:rowOff>6350</xdr:rowOff>
    </xdr:from>
    <xdr:to>
      <xdr:col>8</xdr:col>
      <xdr:colOff>0</xdr:colOff>
      <xdr:row>13</xdr:row>
      <xdr:rowOff>118110</xdr:rowOff>
    </xdr:to>
    <xdr:pic>
      <xdr:nvPicPr>
        <xdr:cNvPr id="2" name="图片 1"/>
        <xdr:cNvPicPr>
          <a:picLocks noChangeAspect="1"/>
        </xdr:cNvPicPr>
      </xdr:nvPicPr>
      <xdr:blipFill>
        <a:blip r:embed="rId1"/>
        <a:stretch>
          <a:fillRect/>
        </a:stretch>
      </xdr:blipFill>
      <xdr:spPr>
        <a:xfrm>
          <a:off x="10041255" y="1825625"/>
          <a:ext cx="2538095" cy="240728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2</xdr:row>
      <xdr:rowOff>114300</xdr:rowOff>
    </xdr:from>
    <xdr:to>
      <xdr:col>12</xdr:col>
      <xdr:colOff>114300</xdr:colOff>
      <xdr:row>26</xdr:row>
      <xdr:rowOff>52705</xdr:rowOff>
    </xdr:to>
    <xdr:pic>
      <xdr:nvPicPr>
        <xdr:cNvPr id="2" name="图片 1"/>
        <xdr:cNvPicPr>
          <a:picLocks noChangeAspect="1"/>
        </xdr:cNvPicPr>
      </xdr:nvPicPr>
      <xdr:blipFill>
        <a:blip r:embed="rId1"/>
        <a:stretch>
          <a:fillRect/>
        </a:stretch>
      </xdr:blipFill>
      <xdr:spPr>
        <a:xfrm>
          <a:off x="704850" y="495300"/>
          <a:ext cx="7934325" cy="4053205"/>
        </a:xfrm>
        <a:prstGeom prst="rect">
          <a:avLst/>
        </a:prstGeom>
        <a:noFill/>
        <a:ln w="9525">
          <a:noFill/>
        </a:ln>
      </xdr:spPr>
    </xdr:pic>
    <xdr:clientData/>
  </xdr:twoCellAnchor>
  <xdr:twoCellAnchor editAs="oneCell">
    <xdr:from>
      <xdr:col>13</xdr:col>
      <xdr:colOff>0</xdr:colOff>
      <xdr:row>3</xdr:row>
      <xdr:rowOff>0</xdr:rowOff>
    </xdr:from>
    <xdr:to>
      <xdr:col>25</xdr:col>
      <xdr:colOff>577850</xdr:colOff>
      <xdr:row>25</xdr:row>
      <xdr:rowOff>152400</xdr:rowOff>
    </xdr:to>
    <xdr:pic>
      <xdr:nvPicPr>
        <xdr:cNvPr id="3" name="图片 2"/>
        <xdr:cNvPicPr>
          <a:picLocks noChangeAspect="1"/>
        </xdr:cNvPicPr>
      </xdr:nvPicPr>
      <xdr:blipFill>
        <a:blip r:embed="rId2"/>
        <a:stretch>
          <a:fillRect/>
        </a:stretch>
      </xdr:blipFill>
      <xdr:spPr>
        <a:xfrm>
          <a:off x="9210675" y="552450"/>
          <a:ext cx="8807450" cy="3924300"/>
        </a:xfrm>
        <a:prstGeom prst="rect">
          <a:avLst/>
        </a:prstGeom>
        <a:noFill/>
        <a:ln w="9525">
          <a:noFill/>
        </a:ln>
      </xdr:spPr>
    </xdr:pic>
    <xdr:clientData/>
  </xdr:twoCellAnchor>
  <xdr:twoCellAnchor editAs="oneCell">
    <xdr:from>
      <xdr:col>1</xdr:col>
      <xdr:colOff>76200</xdr:colOff>
      <xdr:row>28</xdr:row>
      <xdr:rowOff>47625</xdr:rowOff>
    </xdr:from>
    <xdr:to>
      <xdr:col>13</xdr:col>
      <xdr:colOff>193040</xdr:colOff>
      <xdr:row>66</xdr:row>
      <xdr:rowOff>76200</xdr:rowOff>
    </xdr:to>
    <xdr:pic>
      <xdr:nvPicPr>
        <xdr:cNvPr id="4" name="图片 3"/>
        <xdr:cNvPicPr>
          <a:picLocks noChangeAspect="1"/>
        </xdr:cNvPicPr>
      </xdr:nvPicPr>
      <xdr:blipFill>
        <a:blip r:embed="rId3"/>
        <a:stretch>
          <a:fillRect/>
        </a:stretch>
      </xdr:blipFill>
      <xdr:spPr>
        <a:xfrm>
          <a:off x="762000" y="4924425"/>
          <a:ext cx="8641715" cy="6543675"/>
        </a:xfrm>
        <a:prstGeom prst="rect">
          <a:avLst/>
        </a:prstGeom>
        <a:noFill/>
        <a:ln w="9525">
          <a:noFill/>
        </a:ln>
      </xdr:spPr>
    </xdr:pic>
    <xdr:clientData/>
  </xdr:twoCellAnchor>
  <xdr:twoCellAnchor editAs="oneCell">
    <xdr:from>
      <xdr:col>14</xdr:col>
      <xdr:colOff>0</xdr:colOff>
      <xdr:row>28</xdr:row>
      <xdr:rowOff>0</xdr:rowOff>
    </xdr:from>
    <xdr:to>
      <xdr:col>28</xdr:col>
      <xdr:colOff>381000</xdr:colOff>
      <xdr:row>66</xdr:row>
      <xdr:rowOff>19050</xdr:rowOff>
    </xdr:to>
    <xdr:pic>
      <xdr:nvPicPr>
        <xdr:cNvPr id="5" name="图片 4"/>
        <xdr:cNvPicPr>
          <a:picLocks noChangeAspect="1"/>
        </xdr:cNvPicPr>
      </xdr:nvPicPr>
      <xdr:blipFill>
        <a:blip r:embed="rId4"/>
        <a:stretch>
          <a:fillRect/>
        </a:stretch>
      </xdr:blipFill>
      <xdr:spPr>
        <a:xfrm>
          <a:off x="9896475" y="4876800"/>
          <a:ext cx="9982200" cy="6534150"/>
        </a:xfrm>
        <a:prstGeom prst="rect">
          <a:avLst/>
        </a:prstGeom>
        <a:noFill/>
        <a:ln w="9525">
          <a:noFill/>
        </a:ln>
      </xdr:spPr>
    </xdr:pic>
    <xdr:clientData/>
  </xdr:twoCellAnchor>
  <xdr:twoCellAnchor editAs="oneCell">
    <xdr:from>
      <xdr:col>1</xdr:col>
      <xdr:colOff>0</xdr:colOff>
      <xdr:row>67</xdr:row>
      <xdr:rowOff>0</xdr:rowOff>
    </xdr:from>
    <xdr:to>
      <xdr:col>15</xdr:col>
      <xdr:colOff>0</xdr:colOff>
      <xdr:row>104</xdr:row>
      <xdr:rowOff>161925</xdr:rowOff>
    </xdr:to>
    <xdr:pic>
      <xdr:nvPicPr>
        <xdr:cNvPr id="6" name="图片 5"/>
        <xdr:cNvPicPr>
          <a:picLocks noChangeAspect="1"/>
        </xdr:cNvPicPr>
      </xdr:nvPicPr>
      <xdr:blipFill>
        <a:blip r:embed="rId5"/>
        <a:stretch>
          <a:fillRect/>
        </a:stretch>
      </xdr:blipFill>
      <xdr:spPr>
        <a:xfrm>
          <a:off x="685800" y="11563350"/>
          <a:ext cx="9896475" cy="6505575"/>
        </a:xfrm>
        <a:prstGeom prst="rect">
          <a:avLst/>
        </a:prstGeom>
        <a:noFill/>
        <a:ln w="9525">
          <a:noFill/>
        </a:ln>
      </xdr:spPr>
    </xdr:pic>
    <xdr:clientData/>
  </xdr:twoCellAnchor>
  <xdr:twoCellAnchor editAs="oneCell">
    <xdr:from>
      <xdr:col>16</xdr:col>
      <xdr:colOff>0</xdr:colOff>
      <xdr:row>67</xdr:row>
      <xdr:rowOff>0</xdr:rowOff>
    </xdr:from>
    <xdr:to>
      <xdr:col>30</xdr:col>
      <xdr:colOff>247650</xdr:colOff>
      <xdr:row>104</xdr:row>
      <xdr:rowOff>142875</xdr:rowOff>
    </xdr:to>
    <xdr:pic>
      <xdr:nvPicPr>
        <xdr:cNvPr id="7" name="图片 6"/>
        <xdr:cNvPicPr>
          <a:picLocks noChangeAspect="1"/>
        </xdr:cNvPicPr>
      </xdr:nvPicPr>
      <xdr:blipFill>
        <a:blip r:embed="rId6"/>
        <a:stretch>
          <a:fillRect/>
        </a:stretch>
      </xdr:blipFill>
      <xdr:spPr>
        <a:xfrm>
          <a:off x="11268075" y="11563350"/>
          <a:ext cx="9848850" cy="6486525"/>
        </a:xfrm>
        <a:prstGeom prst="rect">
          <a:avLst/>
        </a:prstGeom>
        <a:noFill/>
        <a:ln w="9525">
          <a:noFill/>
        </a:ln>
      </xdr:spPr>
    </xdr:pic>
    <xdr:clientData/>
  </xdr:twoCellAnchor>
  <xdr:twoCellAnchor editAs="oneCell">
    <xdr:from>
      <xdr:col>1</xdr:col>
      <xdr:colOff>0</xdr:colOff>
      <xdr:row>106</xdr:row>
      <xdr:rowOff>0</xdr:rowOff>
    </xdr:from>
    <xdr:to>
      <xdr:col>15</xdr:col>
      <xdr:colOff>0</xdr:colOff>
      <xdr:row>143</xdr:row>
      <xdr:rowOff>38100</xdr:rowOff>
    </xdr:to>
    <xdr:pic>
      <xdr:nvPicPr>
        <xdr:cNvPr id="8" name="图片 7"/>
        <xdr:cNvPicPr>
          <a:picLocks noChangeAspect="1"/>
        </xdr:cNvPicPr>
      </xdr:nvPicPr>
      <xdr:blipFill>
        <a:blip r:embed="rId7"/>
        <a:stretch>
          <a:fillRect/>
        </a:stretch>
      </xdr:blipFill>
      <xdr:spPr>
        <a:xfrm>
          <a:off x="685800" y="18249900"/>
          <a:ext cx="9896475" cy="6381750"/>
        </a:xfrm>
        <a:prstGeom prst="rect">
          <a:avLst/>
        </a:prstGeom>
        <a:noFill/>
        <a:ln w="9525">
          <a:noFill/>
        </a:ln>
      </xdr:spPr>
    </xdr:pic>
    <xdr:clientData/>
  </xdr:twoCellAnchor>
  <xdr:twoCellAnchor editAs="oneCell">
    <xdr:from>
      <xdr:col>16</xdr:col>
      <xdr:colOff>0</xdr:colOff>
      <xdr:row>106</xdr:row>
      <xdr:rowOff>0</xdr:rowOff>
    </xdr:from>
    <xdr:to>
      <xdr:col>30</xdr:col>
      <xdr:colOff>142875</xdr:colOff>
      <xdr:row>141</xdr:row>
      <xdr:rowOff>57150</xdr:rowOff>
    </xdr:to>
    <xdr:pic>
      <xdr:nvPicPr>
        <xdr:cNvPr id="9" name="图片 8"/>
        <xdr:cNvPicPr>
          <a:picLocks noChangeAspect="1"/>
        </xdr:cNvPicPr>
      </xdr:nvPicPr>
      <xdr:blipFill>
        <a:blip r:embed="rId8"/>
        <a:stretch>
          <a:fillRect/>
        </a:stretch>
      </xdr:blipFill>
      <xdr:spPr>
        <a:xfrm>
          <a:off x="11268075" y="18249900"/>
          <a:ext cx="9744075" cy="6057900"/>
        </a:xfrm>
        <a:prstGeom prst="rect">
          <a:avLst/>
        </a:prstGeom>
        <a:noFill/>
        <a:ln w="9525">
          <a:noFill/>
        </a:ln>
      </xdr:spPr>
    </xdr:pic>
    <xdr:clientData/>
  </xdr:twoCellAnchor>
  <xdr:twoCellAnchor editAs="oneCell">
    <xdr:from>
      <xdr:col>1</xdr:col>
      <xdr:colOff>0</xdr:colOff>
      <xdr:row>144</xdr:row>
      <xdr:rowOff>0</xdr:rowOff>
    </xdr:from>
    <xdr:to>
      <xdr:col>15</xdr:col>
      <xdr:colOff>0</xdr:colOff>
      <xdr:row>173</xdr:row>
      <xdr:rowOff>19050</xdr:rowOff>
    </xdr:to>
    <xdr:pic>
      <xdr:nvPicPr>
        <xdr:cNvPr id="10" name="图片 9"/>
        <xdr:cNvPicPr>
          <a:picLocks noChangeAspect="1"/>
        </xdr:cNvPicPr>
      </xdr:nvPicPr>
      <xdr:blipFill>
        <a:blip r:embed="rId9"/>
        <a:stretch>
          <a:fillRect/>
        </a:stretch>
      </xdr:blipFill>
      <xdr:spPr>
        <a:xfrm>
          <a:off x="685800" y="24765000"/>
          <a:ext cx="9896475" cy="4991100"/>
        </a:xfrm>
        <a:prstGeom prst="rect">
          <a:avLst/>
        </a:prstGeom>
        <a:noFill/>
        <a:ln w="9525">
          <a:noFill/>
        </a:ln>
      </xdr:spPr>
    </xdr:pic>
    <xdr:clientData/>
  </xdr:twoCellAnchor>
  <xdr:twoCellAnchor editAs="oneCell">
    <xdr:from>
      <xdr:col>16</xdr:col>
      <xdr:colOff>55880</xdr:colOff>
      <xdr:row>143</xdr:row>
      <xdr:rowOff>95250</xdr:rowOff>
    </xdr:from>
    <xdr:to>
      <xdr:col>29</xdr:col>
      <xdr:colOff>85725</xdr:colOff>
      <xdr:row>176</xdr:row>
      <xdr:rowOff>158750</xdr:rowOff>
    </xdr:to>
    <xdr:pic>
      <xdr:nvPicPr>
        <xdr:cNvPr id="11" name="图片 10"/>
        <xdr:cNvPicPr>
          <a:picLocks noChangeAspect="1"/>
        </xdr:cNvPicPr>
      </xdr:nvPicPr>
      <xdr:blipFill>
        <a:blip r:embed="rId10"/>
        <a:stretch>
          <a:fillRect/>
        </a:stretch>
      </xdr:blipFill>
      <xdr:spPr>
        <a:xfrm>
          <a:off x="11323955" y="24688800"/>
          <a:ext cx="8945245" cy="5721350"/>
        </a:xfrm>
        <a:prstGeom prst="rect">
          <a:avLst/>
        </a:prstGeom>
        <a:noFill/>
        <a:ln w="9525">
          <a:noFill/>
        </a:ln>
      </xdr:spPr>
    </xdr:pic>
    <xdr:clientData/>
  </xdr:twoCellAnchor>
  <xdr:twoCellAnchor editAs="oneCell">
    <xdr:from>
      <xdr:col>1</xdr:col>
      <xdr:colOff>0</xdr:colOff>
      <xdr:row>180</xdr:row>
      <xdr:rowOff>0</xdr:rowOff>
    </xdr:from>
    <xdr:to>
      <xdr:col>15</xdr:col>
      <xdr:colOff>0</xdr:colOff>
      <xdr:row>213</xdr:row>
      <xdr:rowOff>47625</xdr:rowOff>
    </xdr:to>
    <xdr:pic>
      <xdr:nvPicPr>
        <xdr:cNvPr id="12" name="图片 11"/>
        <xdr:cNvPicPr>
          <a:picLocks noChangeAspect="1"/>
        </xdr:cNvPicPr>
      </xdr:nvPicPr>
      <xdr:blipFill>
        <a:blip r:embed="rId11"/>
        <a:stretch>
          <a:fillRect/>
        </a:stretch>
      </xdr:blipFill>
      <xdr:spPr>
        <a:xfrm>
          <a:off x="685800" y="30937200"/>
          <a:ext cx="9896475" cy="5705475"/>
        </a:xfrm>
        <a:prstGeom prst="rect">
          <a:avLst/>
        </a:prstGeom>
        <a:noFill/>
        <a:ln w="9525">
          <a:noFill/>
        </a:ln>
      </xdr:spPr>
    </xdr:pic>
    <xdr:clientData/>
  </xdr:twoCellAnchor>
  <xdr:twoCellAnchor editAs="oneCell">
    <xdr:from>
      <xdr:col>16</xdr:col>
      <xdr:colOff>0</xdr:colOff>
      <xdr:row>180</xdr:row>
      <xdr:rowOff>0</xdr:rowOff>
    </xdr:from>
    <xdr:to>
      <xdr:col>30</xdr:col>
      <xdr:colOff>152400</xdr:colOff>
      <xdr:row>215</xdr:row>
      <xdr:rowOff>19050</xdr:rowOff>
    </xdr:to>
    <xdr:pic>
      <xdr:nvPicPr>
        <xdr:cNvPr id="13" name="图片 12"/>
        <xdr:cNvPicPr>
          <a:picLocks noChangeAspect="1"/>
        </xdr:cNvPicPr>
      </xdr:nvPicPr>
      <xdr:blipFill>
        <a:blip r:embed="rId12"/>
        <a:stretch>
          <a:fillRect/>
        </a:stretch>
      </xdr:blipFill>
      <xdr:spPr>
        <a:xfrm>
          <a:off x="11268075" y="30937200"/>
          <a:ext cx="9753600" cy="6019800"/>
        </a:xfrm>
        <a:prstGeom prst="rect">
          <a:avLst/>
        </a:prstGeom>
        <a:noFill/>
        <a:ln w="9525">
          <a:noFill/>
        </a:ln>
      </xdr:spPr>
    </xdr:pic>
    <xdr:clientData/>
  </xdr:twoCellAnchor>
  <xdr:twoCellAnchor editAs="oneCell">
    <xdr:from>
      <xdr:col>1</xdr:col>
      <xdr:colOff>0</xdr:colOff>
      <xdr:row>215</xdr:row>
      <xdr:rowOff>0</xdr:rowOff>
    </xdr:from>
    <xdr:to>
      <xdr:col>15</xdr:col>
      <xdr:colOff>114300</xdr:colOff>
      <xdr:row>250</xdr:row>
      <xdr:rowOff>76200</xdr:rowOff>
    </xdr:to>
    <xdr:pic>
      <xdr:nvPicPr>
        <xdr:cNvPr id="14" name="图片 13"/>
        <xdr:cNvPicPr>
          <a:picLocks noChangeAspect="1"/>
        </xdr:cNvPicPr>
      </xdr:nvPicPr>
      <xdr:blipFill>
        <a:blip r:embed="rId13"/>
        <a:stretch>
          <a:fillRect/>
        </a:stretch>
      </xdr:blipFill>
      <xdr:spPr>
        <a:xfrm>
          <a:off x="685800" y="36937950"/>
          <a:ext cx="10010775" cy="6076950"/>
        </a:xfrm>
        <a:prstGeom prst="rect">
          <a:avLst/>
        </a:prstGeom>
        <a:noFill/>
        <a:ln w="9525">
          <a:noFill/>
        </a:ln>
      </xdr:spPr>
    </xdr:pic>
    <xdr:clientData/>
  </xdr:twoCellAnchor>
  <xdr:twoCellAnchor editAs="oneCell">
    <xdr:from>
      <xdr:col>16</xdr:col>
      <xdr:colOff>0</xdr:colOff>
      <xdr:row>216</xdr:row>
      <xdr:rowOff>0</xdr:rowOff>
    </xdr:from>
    <xdr:to>
      <xdr:col>30</xdr:col>
      <xdr:colOff>142875</xdr:colOff>
      <xdr:row>252</xdr:row>
      <xdr:rowOff>133350</xdr:rowOff>
    </xdr:to>
    <xdr:pic>
      <xdr:nvPicPr>
        <xdr:cNvPr id="15" name="图片 14"/>
        <xdr:cNvPicPr>
          <a:picLocks noChangeAspect="1"/>
        </xdr:cNvPicPr>
      </xdr:nvPicPr>
      <xdr:blipFill>
        <a:blip r:embed="rId14"/>
        <a:stretch>
          <a:fillRect/>
        </a:stretch>
      </xdr:blipFill>
      <xdr:spPr>
        <a:xfrm>
          <a:off x="11268075" y="37109400"/>
          <a:ext cx="9744075" cy="6305550"/>
        </a:xfrm>
        <a:prstGeom prst="rect">
          <a:avLst/>
        </a:prstGeom>
        <a:noFill/>
        <a:ln w="9525">
          <a:noFill/>
        </a:ln>
      </xdr:spPr>
    </xdr:pic>
    <xdr:clientData/>
  </xdr:twoCellAnchor>
  <xdr:twoCellAnchor editAs="oneCell">
    <xdr:from>
      <xdr:col>1</xdr:col>
      <xdr:colOff>0</xdr:colOff>
      <xdr:row>252</xdr:row>
      <xdr:rowOff>0</xdr:rowOff>
    </xdr:from>
    <xdr:to>
      <xdr:col>15</xdr:col>
      <xdr:colOff>0</xdr:colOff>
      <xdr:row>284</xdr:row>
      <xdr:rowOff>66675</xdr:rowOff>
    </xdr:to>
    <xdr:pic>
      <xdr:nvPicPr>
        <xdr:cNvPr id="16" name="图片 15"/>
        <xdr:cNvPicPr>
          <a:picLocks noChangeAspect="1"/>
        </xdr:cNvPicPr>
      </xdr:nvPicPr>
      <xdr:blipFill>
        <a:blip r:embed="rId15"/>
        <a:stretch>
          <a:fillRect/>
        </a:stretch>
      </xdr:blipFill>
      <xdr:spPr>
        <a:xfrm>
          <a:off x="685800" y="43281600"/>
          <a:ext cx="9896475" cy="555307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3558.6784606481" refreshedBy="Administrator" recordCount="0">
  <cacheSource type="worksheet">
    <worksheetSource ref="A1:BD101" sheet="④top100打标数据"/>
  </cacheSource>
  <cacheFields count="56">
    <cacheField name="图片" numFmtId="0">
      <sharedItems count="100">
        <s v="=DISPIMG(&quot;ID_E0974D9A1FCC43279697EF5DA1D7B2F2&quot;,1)"/>
        <s v="=DISPIMG(&quot;ID_71FF25F32A744E84959B0B003BC2C8C1&quot;,1)"/>
        <s v="=DISPIMG(&quot;ID_4C62F3F8ADD24D7582300B8B29ADAAD1&quot;,1)"/>
        <s v="=DISPIMG(&quot;ID_27679D12F3624D4794A370A5AAD2B62A&quot;,1)"/>
        <s v="=DISPIMG(&quot;ID_C156E7C83B994759A5327CB523DCF8AC&quot;,1)"/>
        <s v="=DISPIMG(&quot;ID_8F917ED4503546348C30EDAA7D45FADF&quot;,1)"/>
        <s v="=DISPIMG(&quot;ID_6893492369324F0F99BB94004415008C&quot;,1)"/>
        <s v="=DISPIMG(&quot;ID_A4F2CA3BA9DE447E882F7F047A09CE2C&quot;,1)"/>
        <s v="=DISPIMG(&quot;ID_57D3D300B19F47BF96510083017D4F61&quot;,1)"/>
        <s v="=DISPIMG(&quot;ID_F3B5588D37C54F9EBCEAA5C85D490498&quot;,1)"/>
        <s v="=DISPIMG(&quot;ID_D867FF3B6F984EF9B9A521B60372147C&quot;,1)"/>
        <s v="=DISPIMG(&quot;ID_5081BD8DF7104B418782487A028CDCFD&quot;,1)"/>
        <s v="=DISPIMG(&quot;ID_D3ECA348966449D08D28C7515248DDFA&quot;,1)"/>
        <s v="=DISPIMG(&quot;ID_8F526F5171E649F6861FFFB079CAC276&quot;,1)"/>
        <s v="=DISPIMG(&quot;ID_EFD05E987FC244FC8974B30F1238A284&quot;,1)"/>
        <s v="=DISPIMG(&quot;ID_5446CDB133D04700B667BAED4B259405&quot;,1)"/>
        <s v="=DISPIMG(&quot;ID_BF719436269342C39120D5BF56B8BEC7&quot;,1)"/>
        <s v="=DISPIMG(&quot;ID_BA29F564E8A7433287A2991E08F24C7A&quot;,1)"/>
        <s v="=DISPIMG(&quot;ID_3F732B098A8F4924ADB7473A50C75507&quot;,1)"/>
        <s v="=DISPIMG(&quot;ID_6D805549D46F4147BB727A2EE17E2C42&quot;,1)"/>
        <s v="=DISPIMG(&quot;ID_2586E579DE7440F294699E86D562FB05&quot;,1)"/>
        <s v="=DISPIMG(&quot;ID_BF11A2B6EF6748E79B80B28F745B707C&quot;,1)"/>
        <s v="=DISPIMG(&quot;ID_EB1704935DA846C3A75C121E51387F9F&quot;,1)"/>
        <s v="=DISPIMG(&quot;ID_5CBE838777C640E0BE71973DFED62FB4&quot;,1)"/>
        <s v="=DISPIMG(&quot;ID_FEB60C90BA9940408FA73B1AA52588A7&quot;,1)"/>
        <s v="=DISPIMG(&quot;ID_655B8479D0FA49AC8940B053D0F4B56C&quot;,1)"/>
        <s v="=DISPIMG(&quot;ID_5F705A5FDC144044AABB34A2F402B40B&quot;,1)"/>
        <s v="=DISPIMG(&quot;ID_A56FAFEB25634B9FB769A1E7444FBCA9&quot;,1)"/>
        <s v="=DISPIMG(&quot;ID_2B121DD4114D4409B3077D94682C9E9A&quot;,1)"/>
        <s v="=DISPIMG(&quot;ID_EC5715FDE44E423DA2407A8C8149F902&quot;,1)"/>
        <s v="=DISPIMG(&quot;ID_57C5254188594DADA615573EE730EDB8&quot;,1)"/>
        <s v="=DISPIMG(&quot;ID_30AF9FE10AEA414CBF2D799A8F97B6E1&quot;,1)"/>
        <s v="=DISPIMG(&quot;ID_3FE23FCA5B2E49C3844336FD61124FED&quot;,1)"/>
        <s v="=DISPIMG(&quot;ID_326E9FDB3B4845F0A5722189EAC9E480&quot;,1)"/>
        <s v="=DISPIMG(&quot;ID_AAE88E8E58E24127872CEF24C45B9937&quot;,1)"/>
        <s v="=DISPIMG(&quot;ID_EC8F5E1D8B5E43A7A8E6C0EC276E9523&quot;,1)"/>
        <s v="=DISPIMG(&quot;ID_EFBFC06B2CA34CBEAE3BA64CC3E478CB&quot;,1)"/>
        <s v="=DISPIMG(&quot;ID_D74B9A3072A84714B66CE5C87FFCBA80&quot;,1)"/>
        <s v="=DISPIMG(&quot;ID_C4420D497CEE439CB44B54C9CDCD1365&quot;,1)"/>
        <s v="=DISPIMG(&quot;ID_5EF4F8B41D6F4D8D941029966DCF7200&quot;,1)"/>
        <s v="=DISPIMG(&quot;ID_14E7B489EDAE46A0A68C009239BF162A&quot;,1)"/>
        <s v="=DISPIMG(&quot;ID_FFEEF59C9E28452A81B58E12345A3D91&quot;,1)"/>
        <s v="=DISPIMG(&quot;ID_8B9E104DF27F4DD8830F9911E91369FC&quot;,1)"/>
        <s v="=DISPIMG(&quot;ID_1DC3B922AC8C44E1AED1D10E68582928&quot;,1)"/>
        <s v="=DISPIMG(&quot;ID_14C66A68CCD44D66B23E9F77B6546631&quot;,1)"/>
        <s v="=DISPIMG(&quot;ID_A5C88BD34EDF4F8F84ED339150119AA7&quot;,1)"/>
        <s v="=DISPIMG(&quot;ID_DF255A0C652948E2806FD4AAEF1D7897&quot;,1)"/>
        <s v="=DISPIMG(&quot;ID_54E0AFE17F184E5990F96C254B254664&quot;,1)"/>
        <s v="=DISPIMG(&quot;ID_CF4CFA9B4BA044A4B75C7FB917181C2E&quot;,1)"/>
        <s v="=DISPIMG(&quot;ID_ABB6A3F814174AC4B033F51D49C7DE64&quot;,1)"/>
        <s v="=DISPIMG(&quot;ID_5562B5F163DB48C39AF88CF6C6DB9CA7&quot;,1)"/>
        <s v="=DISPIMG(&quot;ID_DE2B348AB1E54ACAB5026EC97FE64D1A&quot;,1)"/>
        <s v="=DISPIMG(&quot;ID_1CC8A60928EC4830A6791E0B1D53306D&quot;,1)"/>
        <s v="=DISPIMG(&quot;ID_D5F7F4B1288C463CB4FBAB7A63B33D08&quot;,1)"/>
        <s v="=DISPIMG(&quot;ID_F156718E2A894CB5961DE06C24ED3617&quot;,1)"/>
        <s v="=DISPIMG(&quot;ID_B1C8BB44B25043D4A886C115934DB689&quot;,1)"/>
        <s v="=DISPIMG(&quot;ID_695D1CCC4CA045139C4ABF47E1CCACBF&quot;,1)"/>
        <s v="=DISPIMG(&quot;ID_1F02B86715A94ABAB5EED5849E66B5FD&quot;,1)"/>
        <s v="=DISPIMG(&quot;ID_8C83148C43504D86A1DB58E8CCDF7309&quot;,1)"/>
        <s v="=DISPIMG(&quot;ID_888A755A882D4513BC9D8F5FC20B3AC9&quot;,1)"/>
        <s v="=DISPIMG(&quot;ID_CB4B079C03484E1FABD66C3A8EE5DBCA&quot;,1)"/>
        <s v="=DISPIMG(&quot;ID_17D2559E86F44A54A0A9006016AB2DA9&quot;,1)"/>
        <s v="=DISPIMG(&quot;ID_E72CFFF1B748493989220C334F229A7A&quot;,1)"/>
        <s v="=DISPIMG(&quot;ID_09D48146F971440D80F2FC5359F757BB&quot;,1)"/>
        <s v="=DISPIMG(&quot;ID_69D8304B4C734971B5962BEF265D5C42&quot;,1)"/>
        <s v="=DISPIMG(&quot;ID_00011A14DD764057925EAB93B1C32B51&quot;,1)"/>
        <s v="=DISPIMG(&quot;ID_31DC207AD3C44AAD8B67DA009FFB8A3D&quot;,1)"/>
        <s v="=DISPIMG(&quot;ID_073D25E4DD884F82A44918BB058A6FA0&quot;,1)"/>
        <s v="=DISPIMG(&quot;ID_3DBAE646C8CB4B5D9BF1F3F01226FC3F&quot;,1)"/>
        <s v="=DISPIMG(&quot;ID_C6D17E1139C940D4A05554BC8126AF0D&quot;,1)"/>
        <s v="=DISPIMG(&quot;ID_C67D11E027814CBC9628DC0F72391987&quot;,1)"/>
        <s v="=DISPIMG(&quot;ID_C649D54E3BEE4596A94D41E76DEB3E83&quot;,1)"/>
        <s v="=DISPIMG(&quot;ID_483305CF252249D1AC3FAAE06499E4E2&quot;,1)"/>
        <s v="=DISPIMG(&quot;ID_2795715DC5D74671AD3CB580CAED5E6A&quot;,1)"/>
        <s v="=DISPIMG(&quot;ID_35B0A37ECC2647E99C4330092C5B67A9&quot;,1)"/>
        <s v="=DISPIMG(&quot;ID_BB253EF55B6C4CAC9D7887F594953095&quot;,1)"/>
        <s v="=DISPIMG(&quot;ID_B039124550CD4981B557EE255393115B&quot;,1)"/>
        <s v="=DISPIMG(&quot;ID_879CF2E30A904DAFA7C2843A597570A3&quot;,1)"/>
        <s v="=DISPIMG(&quot;ID_B36370CE9DE24B8A8FBAB44B1FB4C28F&quot;,1)"/>
        <s v="=DISPIMG(&quot;ID_72B4040D07174C6A87D1E8DBFE9FF175&quot;,1)"/>
        <s v="=DISPIMG(&quot;ID_969655FD644345AB81031DDDED4C2B1D&quot;,1)"/>
        <s v="=DISPIMG(&quot;ID_F217E099E8CF428AA89D30A138B55E1A&quot;,1)"/>
        <s v="=DISPIMG(&quot;ID_464ED34DBB5B474FAA9ABB287749C488&quot;,1)"/>
        <s v="=DISPIMG(&quot;ID_5C0C6AB0FB064505A0A3A4249472B177&quot;,1)"/>
        <s v="=DISPIMG(&quot;ID_CB0487FB602744618A7F91CD508B1A11&quot;,1)"/>
        <s v="=DISPIMG(&quot;ID_CC1202716ADD48108E8CA742BBC48881&quot;,1)"/>
        <s v="=DISPIMG(&quot;ID_9572C02FFE664DA5B1B4E2E84F048994&quot;,1)"/>
        <s v="=DISPIMG(&quot;ID_73E1886387174503B4B3E5EFA3C065D9&quot;,1)"/>
        <s v="=DISPIMG(&quot;ID_8DB36B4766DF4617B57CCA29E23B4451&quot;,1)"/>
        <s v="=DISPIMG(&quot;ID_F98384A16BC64D7BA97CBA86855B88C3&quot;,1)"/>
        <s v="=DISPIMG(&quot;ID_2352E1B134914D12BF01409D0D810953&quot;,1)"/>
        <s v="=DISPIMG(&quot;ID_3868C3AA8AB74668B4C622B8CE1F41E2&quot;,1)"/>
        <s v="=DISPIMG(&quot;ID_A032B38D857046A3BD39D6C51FA809AC&quot;,1)"/>
        <s v="=DISPIMG(&quot;ID_14325EF052B64C239526A059D2F20F7F&quot;,1)"/>
        <s v="=DISPIMG(&quot;ID_CAFA875542924B7C8C1FF07E87DC82F6&quot;,1)"/>
        <s v="=DISPIMG(&quot;ID_F9B083DFE5154E15A17EC7936B463F2F&quot;,1)"/>
        <s v="=DISPIMG(&quot;ID_C84511F9722846388FB698BCF9E760FB&quot;,1)"/>
        <s v="=DISPIMG(&quot;ID_41B0691D1D0044738862DF6167707F7F&quot;,1)"/>
        <s v="=DISPIMG(&quot;ID_3211C43D397B4A3EAF999BDB4C1D6252&quot;,1)"/>
        <s v="=DISPIMG(&quot;ID_A7D8F3B098D14F84B7383CC735E1FCBE&quot;,1)"/>
      </sharedItems>
    </cacheField>
    <cacheField name="ASIN" numFmtId="0">
      <sharedItems count="100">
        <s v="B07FDJMC9Q"/>
        <s v="B0936FGLQS"/>
        <s v="B07VM28XTR"/>
        <s v="B096N3FTZP"/>
        <s v="B085W3GN5J"/>
        <s v="B08R6KMBQT"/>
        <s v="B096X9LGJ1"/>
        <s v="B0815KJCM1"/>
        <s v="B09MR49K1D"/>
        <s v="B089TQWJKK"/>
        <s v="B075X3287P"/>
        <s v="B07SCGY2H6"/>
        <s v="B0B6ZXKNJN"/>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95Y6ZF5Q"/>
        <s v="B08FMT6N24"/>
        <s v="B07VM9SDMH"/>
        <s v="B0BGBMW9G5"/>
        <s v="B075BDY5WR"/>
        <s v="B07X1VXQMS"/>
        <s v="B087T8LKNC"/>
        <s v="B0BBFTPTKH"/>
        <s v="B09YS1RQ8J"/>
        <s v="B08X24LS5V"/>
        <s v="B08T9FBB68"/>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PASIN" numFmtId="0">
      <sharedItems count="100">
        <s v="B07FDJMC9Q"/>
        <s v="B0936FGLQS"/>
        <s v="B07VM28XTR"/>
        <s v="B096N3FTZP"/>
        <s v="B085W3GN5J"/>
        <s v="B08R6KMBQT"/>
        <s v="B096X9LGJ1"/>
        <s v="B0815KJCM1"/>
        <s v="B09MR49K1D"/>
        <s v="B089TQWJKK"/>
        <s v="B075X3287P"/>
        <s v="B07SCGY2H6"/>
        <s v="B0BKZZZ7J2"/>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BJDDN65L"/>
        <s v="B08FMT6N24"/>
        <s v="B07VM9SDMH"/>
        <s v="B0BGBMW9G5"/>
        <s v="B075BDY5WR"/>
        <s v="B07X1VXQMS"/>
        <s v="B087T8LKNC"/>
        <s v="B0BBFTPTKH"/>
        <s v="B09YS1RQ8J"/>
        <s v="B08X24LS5V"/>
        <s v="B0BKNJYC1T"/>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SKU" numFmtId="0">
      <sharedItems count="4">
        <s v=""/>
        <s v="Color: Sage Green"/>
        <s v="Color: Blue"/>
        <s v="Style: 6 Slice Air Fry"/>
      </sharedItems>
    </cacheField>
    <cacheField name="URL" numFmtId="0">
      <sharedItems count="100">
        <s v="https://www.amazon.com/dp/B07FDJMC9Q?psc=1"/>
        <s v="https://www.amazon.com/dp/B0936FGLQS?psc=1"/>
        <s v="https://www.amazon.com/dp/B07VM28XTR?psc=1"/>
        <s v="https://www.amazon.com/dp/B096N3FTZP?psc=1"/>
        <s v="https://www.amazon.com/dp/B085W3GN5J?psc=1"/>
        <s v="https://www.amazon.com/dp/B08R6KMBQT?psc=1"/>
        <s v="https://www.amazon.com/dp/B096X9LGJ1?psc=1"/>
        <s v="https://www.amazon.com/dp/B0815KJCM1?psc=1"/>
        <s v="https://www.amazon.com/dp/B09MR49K1D?psc=1"/>
        <s v="https://www.amazon.com/dp/B089TQWJKK?psc=1"/>
        <s v="https://www.amazon.com/dp/B075X3287P?psc=1"/>
        <s v="https://www.amazon.com/dp/B07SCGY2H6?psc=1"/>
        <s v="https://www.amazon.com/dp/B0B6ZXKNJN?psc=1"/>
        <s v="https://www.amazon.com/dp/B07S6529ZZ?psc=1"/>
        <s v="https://www.amazon.com/dp/B0B59D1J98?psc=1"/>
        <s v="https://www.amazon.com/dp/B096N28SZP?psc=1"/>
        <s v="https://www.amazon.com/dp/B09B7SB46R?psc=1"/>
        <s v="https://www.amazon.com/dp/B0BGM4JY9G?psc=1"/>
        <s v="https://www.amazon.com/dp/B08DKYBTPH?psc=1"/>
        <s v="https://www.amazon.com/dp/B082JWBBXB?psc=1"/>
        <s v="https://www.amazon.com/dp/B08DL8WH9V?psc=1"/>
        <s v="https://www.amazon.com/dp/B07S85TPLG?psc=1"/>
        <s v="https://www.amazon.com/dp/B09HKM5SVD?psc=1"/>
        <s v="https://www.amazon.com/dp/B07NLHMYH4?psc=1"/>
        <s v="https://www.amazon.com/dp/B07NBQX8HS?psc=1"/>
        <s v="https://www.amazon.com/dp/B0BDFRZX3F?psc=1"/>
        <s v="https://www.amazon.com/dp/B08SJ6L9MT?psc=1"/>
        <s v="https://www.amazon.com/dp/B0872DQV7Z?psc=1"/>
        <s v="https://www.amazon.com/dp/B07FF117K7?psc=1"/>
        <s v="https://www.amazon.com/dp/B0777RJG6D?psc=1"/>
        <s v="https://www.amazon.com/dp/B08QQRH2Z9?psc=1"/>
        <s v="https://www.amazon.com/dp/B08CW95ZFR?psc=1"/>
        <s v="https://www.amazon.com/dp/B0BX71WBK5?psc=1"/>
        <s v="https://www.amazon.com/dp/B09GL56L4T?psc=1"/>
        <s v="https://www.amazon.com/dp/B08KFNK3QH?psc=1"/>
        <s v="https://www.amazon.com/dp/B0BG5635Z7?psc=1"/>
        <s v="https://www.amazon.com/dp/B07G3V9K17?psc=1"/>
        <s v="https://www.amazon.com/dp/B08YP4NHQM?psc=1"/>
        <s v="https://www.amazon.com/dp/B085GN68LC?psc=1"/>
        <s v="https://www.amazon.com/dp/B09TZZS2GJ?psc=1"/>
        <s v="https://www.amazon.com/dp/B08K8T3W2V?psc=1"/>
        <s v="https://www.amazon.com/dp/B092PY8F5J?psc=1"/>
        <s v="https://www.amazon.com/dp/B09XWJ19YS?psc=1"/>
        <s v="https://www.amazon.com/dp/B07W67NQMN?psc=1"/>
        <s v="https://www.amazon.com/dp/B07ZWG619F?psc=1"/>
        <s v="https://www.amazon.com/dp/B089NKT312?psc=1"/>
        <s v="https://www.amazon.com/dp/B0978M8136?psc=1"/>
        <s v="https://www.amazon.com/dp/B08R12QZS1?psc=1"/>
        <s v="https://www.amazon.com/dp/B095Y6ZF5Q?psc=1"/>
        <s v="https://www.amazon.com/dp/B08FMT6N24?psc=1"/>
        <s v="https://www.amazon.com/dp/B07VM9SDMH?psc=1"/>
        <s v="https://www.amazon.com/dp/B0BGBMW9G5?psc=1"/>
        <s v="https://www.amazon.com/dp/B075BDY5WR?psc=1"/>
        <s v="https://www.amazon.com/dp/B07X1VXQMS?psc=1"/>
        <s v="https://www.amazon.com/dp/B087T8LKNC?psc=1"/>
        <s v="https://www.amazon.com/dp/B0BBFTPTKH?psc=1"/>
        <s v="https://www.amazon.com/dp/B09YS1RQ8J?psc=1"/>
        <s v="https://www.amazon.com/dp/B08X24LS5V?psc=1"/>
        <s v="https://www.amazon.com/dp/B08T9FBB68?psc=1"/>
        <s v="https://www.amazon.com/dp/B07Z6RHKFV?psc=1"/>
        <s v="https://www.amazon.com/dp/B07LBZGD97?psc=1"/>
        <s v="https://www.amazon.com/dp/B08R6GZ2KP?psc=1"/>
        <s v="https://www.amazon.com/dp/B08N3F9PRJ?psc=1"/>
        <s v="https://www.amazon.com/dp/B0853CR7LG?psc=1"/>
        <s v="https://www.amazon.com/dp/B09BZVQNTC?psc=1"/>
        <s v="https://www.amazon.com/dp/B0B7C28KPT?psc=1"/>
        <s v="https://www.amazon.com/dp/B07XF4HW8G?psc=1"/>
        <s v="https://www.amazon.com/dp/B01L7TOZJO?psc=1"/>
        <s v="https://www.amazon.com/dp/B08NCHMH1L?psc=1"/>
        <s v="https://www.amazon.com/dp/B0BF4TCX6J?psc=1"/>
        <s v="https://www.amazon.com/dp/B08PNHBCTL?psc=1"/>
        <s v="https://www.amazon.com/dp/B083TGW7DN?psc=1"/>
        <s v="https://www.amazon.com/dp/B0BG2MGDXN?psc=1"/>
        <s v="https://www.amazon.com/dp/B07GNSHPBQ?psc=1"/>
        <s v="https://www.amazon.com/dp/B0BD4BYR11?psc=1"/>
        <s v="https://www.amazon.com/dp/B081PGHZGR?psc=1"/>
        <s v="https://www.amazon.com/dp/B0BR4ZYSRF?psc=1"/>
        <s v="https://www.amazon.com/dp/B08L3SW8DZ?psc=1"/>
        <s v="https://www.amazon.com/dp/B08G5CH2HR?psc=1"/>
        <s v="https://www.amazon.com/dp/B09DYPNPV4?psc=1"/>
        <s v="https://www.amazon.com/dp/B0B3G8V6MV?psc=1"/>
        <s v="https://www.amazon.com/dp/B076FPT78K?psc=1"/>
        <s v="https://www.amazon.com/dp/B08KXTDBQC?psc=1"/>
        <s v="https://www.amazon.com/dp/B01LX9T6HF?psc=1"/>
        <s v="https://www.amazon.com/dp/B086K1T4JJ?psc=1"/>
        <s v="https://www.amazon.com/dp/B084B7PF4K?psc=1"/>
        <s v="https://www.amazon.com/dp/B0B3SHYNBG?psc=1"/>
        <s v="https://www.amazon.com/dp/B08TWB9L5P?psc=1"/>
        <s v="https://www.amazon.com/dp/B086GWG6BG?psc=1"/>
        <s v="https://www.amazon.com/dp/B09Y12NVC2?psc=1"/>
        <s v="https://www.amazon.com/dp/B08739L374?psc=1"/>
        <s v="https://www.amazon.com/dp/B087WW1W78?psc=1"/>
        <s v="https://www.amazon.com/dp/B09B9K9552?psc=1"/>
        <s v="https://www.amazon.com/dp/B08P27RFLB?psc=1"/>
        <s v="https://www.amazon.com/dp/B0B94K541Q?psc=1"/>
        <s v="https://www.amazon.com/dp/B08HPQ384Y?psc=1"/>
        <s v="https://www.amazon.com/dp/B0B52885M9?psc=1"/>
        <s v="https://www.amazon.com/dp/B06XYKVPLS?psc=1"/>
        <s v="https://www.amazon.com/dp/B09871GCN1?psc=1"/>
        <s v="https://www.amazon.com/dp/B09696JZVR?psc=1"/>
      </sharedItems>
    </cacheField>
    <cacheField name="商品主图" numFmtId="0">
      <sharedItems count="100">
        <s v="https://images-na.ssl-images-amazon.com/images/I/31MBSKiZOPL._AC_US600_.jpg"/>
        <s v="https://images-na.ssl-images-amazon.com/images/I/4148pXjT5JL._AC_US600_.jpg"/>
        <s v="https://images-na.ssl-images-amazon.com/images/I/517ZDIeX2AL._AC_US600_.jpg"/>
        <s v="https://images-na.ssl-images-amazon.com/images/I/411xmojvHOL._AC_US600_.jpg"/>
        <s v="https://images-na.ssl-images-amazon.com/images/I/41sxpx4irVL._AC_US600_.jpg"/>
        <s v="https://images-na.ssl-images-amazon.com/images/I/41WAoH5H6NL._AC_US600_.jpg"/>
        <s v="https://images-na.ssl-images-amazon.com/images/I/31VZzB+Y2+L._AC_US600_.jpg"/>
        <s v="https://images-na.ssl-images-amazon.com/images/I/41ZQmtXww2L._AC_US600_.jpg"/>
        <s v="https://images-na.ssl-images-amazon.com/images/I/4176C1ZTLJL._AC_US600_.jpg"/>
        <s v="https://images-na.ssl-images-amazon.com/images/I/31rlJFuHaWL._AC_US600_.jpg"/>
        <s v="https://images-na.ssl-images-amazon.com/images/I/41kv0O2RO5L._AC_US600_.jpg"/>
        <s v="https://images-na.ssl-images-amazon.com/images/I/51lqoRxpKAL._AC_US600_.jpg"/>
        <s v="https://images-na.ssl-images-amazon.com/images/I/41FSF9nXbwL._AC_US600_.jpg"/>
        <s v="https://images-na.ssl-images-amazon.com/images/I/31LS4+++HlL._AC_US600_.jpg"/>
        <s v="https://images-na.ssl-images-amazon.com/images/I/41R9UEekBML._AC_US600_.jpg"/>
        <s v="https://images-na.ssl-images-amazon.com/images/I/41Tiw9rl9aL._AC_US600_.jpg"/>
        <s v="https://images-na.ssl-images-amazon.com/images/I/511xSzv8yRL._AC_US600_.jpg"/>
        <s v="https://images-na.ssl-images-amazon.com/images/I/51m3RCjOtoL._AC_US600_.jpg"/>
        <s v="https://images-na.ssl-images-amazon.com/images/I/41qabW46GoL._AC_US600_.jpg"/>
        <s v="https://images-na.ssl-images-amazon.com/images/I/415CVTfKbfL._AC_US600_.jpg"/>
        <s v="https://images-na.ssl-images-amazon.com/images/I/51LYB9lQdLL._AC_US600_.jpg"/>
        <s v="https://images-na.ssl-images-amazon.com/images/I/41hLUQwvoaL._AC_US600_.jpg"/>
        <s v="https://images-na.ssl-images-amazon.com/images/I/41nAgEWFdGL._AC_US600_.jpg"/>
        <s v="https://images-na.ssl-images-amazon.com/images/I/51DUgyoMOhL._AC_US600_.jpg"/>
        <s v="https://images-na.ssl-images-amazon.com/images/I/415DRxbG3pL._AC_US600_.jpg"/>
        <s v="https://m.media-amazon.com/images/W/IMAGERENDERING_521856-T1/images/I/3196QeAvkXL._AC_US600_.jpg"/>
        <s v="https://images-na.ssl-images-amazon.com/images/I/31HerJYQxzL._AC_US600_.jpg"/>
        <s v="https://images-na.ssl-images-amazon.com/images/I/51RjObEKN4L._AC_US600_.jpg"/>
        <s v="https://images-na.ssl-images-amazon.com/images/I/41OVlRD-CtL._AC_US600_.jpg"/>
        <s v="https://images-na.ssl-images-amazon.com/images/I/413QzyJkOQL._AC_US600_.jpg"/>
        <s v="https://images-na.ssl-images-amazon.com/images/I/31EAxEEMbVL._AC_US600_.jpg"/>
        <s v="https://images-na.ssl-images-amazon.com/images/I/41xKS3OoclL._AC_US600_.jpg"/>
        <s v="https://images-na.ssl-images-amazon.com/images/I/41ELapobmZL._AC_US600_.jpg"/>
        <s v="https://images-na.ssl-images-amazon.com/images/I/41fJQ2R4N-L._AC_US600_.jpg"/>
        <s v="https://images-na.ssl-images-amazon.com/images/I/41NWjD1CuNL._AC_US600_.jpg"/>
        <s v="https://m.media-amazon.com/images/I/51yODvXRBGL._AC_US600_.jpg"/>
        <s v="https://images-na.ssl-images-amazon.com/images/I/31VXHjBfcfL._AC_US600_.jpg"/>
        <s v="https://images-na.ssl-images-amazon.com/images/I/41RnifaGGML._AC_US600_.jpg"/>
        <s v="https://images-na.ssl-images-amazon.com/images/I/41EfD0xmTgL._AC_US600_.jpg"/>
        <s v="https://images-na.ssl-images-amazon.com/images/I/41YlA3PVYBL._AC_US600_.jpg"/>
        <s v="https://images-na.ssl-images-amazon.com/images/I/5135MRrXWrL._AC_US600_.jpg"/>
        <s v="https://m.media-amazon.com/images/W/IMAGERENDERING_521856-T2/images/I/41RjVllXMiL._AC_US600_.jpg"/>
        <s v="https://m.media-amazon.com/images/I/51hOezlAX+L._AC_US600_.jpg"/>
        <s v="https://images-na.ssl-images-amazon.com/images/I/51wK1gMNZLL._AC_US600_.jpg"/>
        <s v="https://images-na.ssl-images-amazon.com/images/I/41M1ysVClKL._AC_US600_.jpg"/>
        <s v="https://images-na.ssl-images-amazon.com/images/I/41xJrOGz4aL._AC_US600_.jpg"/>
        <s v="https://images-na.ssl-images-amazon.com/images/I/41xI07RSgBL._AC_US600_.jpg"/>
        <s v="https://images-na.ssl-images-amazon.com/images/I/41019YXde4L._AC_US600_.jpg"/>
        <s v="https://images-na.ssl-images-amazon.com/images/I/31mEyFByQOL._AC_US600_.jpg"/>
        <s v="https://images-na.ssl-images-amazon.com/images/I/319fwckxydL._AC_US600_.jpg"/>
        <s v="https://images-na.ssl-images-amazon.com/images/I/51chJ-m0ftL._AC_US600_.jpg"/>
        <s v="https://images-na.ssl-images-amazon.com/images/I/51qTgjsG+jL._AC_US600_.jpg"/>
        <s v="https://m.media-amazon.com/images/I/31FWlEg5fqL._AC_US600_.jpg"/>
        <s v="https://images-na.ssl-images-amazon.com/images/I/41+QhGCYlnL._AC_US600_.jpg"/>
        <s v="https://images-na.ssl-images-amazon.com/images/I/41i41ZJLGcL._AC_US600_.jpg"/>
        <s v="https://images-na.ssl-images-amazon.com/images/I/41x1QmekmBL._AC_US600_.jpg"/>
        <s v="https://images-na.ssl-images-amazon.com/images/I/5135qxoHciL._AC_US600_.jpg"/>
        <s v="https://images-na.ssl-images-amazon.com/images/I/41jZv9IQKtL._AC_US600_.jpg"/>
        <s v="https://m.media-amazon.com/images/W/IMAGERENDERING_521856-T2/images/I/414P2GL4cAL._AC_US600_.jpg"/>
        <s v="https://m.media-amazon.com/images/W/IMAGERENDERING_521856-T1/images/I/41Jkp816TuL._AC_US600_.jpg"/>
        <s v="https://images-na.ssl-images-amazon.com/images/I/51sGLLlmj8L._AC_US600_.jpg"/>
        <s v="https://images-na.ssl-images-amazon.com/images/I/41ctRPisslL._AC_US600_.jpg"/>
        <s v="https://images-na.ssl-images-amazon.com/images/I/41CU7z7y-ML._AC_US600_.jpg"/>
        <s v="https://images-na.ssl-images-amazon.com/images/I/41-nj5fRENL._AC_US600_.jpg"/>
        <s v="https://images-na.ssl-images-amazon.com/images/I/416HZaiHMcL._AC_US600_.jpg"/>
        <s v="https://images-na.ssl-images-amazon.com/images/I/41xpc1obGyL._AC_US600_.jpg"/>
        <s v="https://images-na.ssl-images-amazon.com/images/I/51e2Fp15xnL._AC_US600_.jpg"/>
        <s v="https://images-na.ssl-images-amazon.com/images/I/51B7UIiB95L._AC_US600_.jpg"/>
        <s v="https://m.media-amazon.com/images/I/31nldc5I5qL._AC_US600_.jpg"/>
        <s v="https://images-na.ssl-images-amazon.com/images/I/41nnl0IYwmL._AC_US600_.jpg"/>
        <s v="https://images-na.ssl-images-amazon.com/images/I/41EXcFBZ2uL._AC_US600_.jpg"/>
        <s v="https://images-na.ssl-images-amazon.com/images/I/41gnPXQ60DL._AC_US600_.jpg"/>
        <s v="https://images-na.ssl-images-amazon.com/images/I/51DFrKWE3+L._AC_US600_.jpg"/>
        <s v="https://images-na.ssl-images-amazon.com/images/I/41Ie-5jgNBL._AC_US600_.jpg"/>
        <s v="https://images-na.ssl-images-amazon.com/images/I/41WjXoD4znL._AC_US600_.jpg"/>
        <s v="https://m.media-amazon.com/images/W/IMAGERENDERING_521856-T1/images/I/41VVyif1syL._AC_US600_.jpg"/>
        <s v="https://images-na.ssl-images-amazon.com/images/I/51DaREWGV9L._AC_US600_.jpg"/>
        <s v="https://images-na.ssl-images-amazon.com/images/I/419w5-1jmOL._AC_US600_.jpg"/>
        <s v="https://images-na.ssl-images-amazon.com/images/I/516+29sy+uL._AC_US600_.jpg"/>
        <s v="https://images-na.ssl-images-amazon.com/images/I/41RUxUeb1SL._AC_US600_.jpg"/>
        <s v="https://images-na.ssl-images-amazon.com/images/I/41kb9+9AjPL._AC_US600_.jpg"/>
        <s v="https://images-na.ssl-images-amazon.com/images/I/41Q4s94S0uL._AC_US600_.jpg"/>
        <s v="https://images-na.ssl-images-amazon.com/images/I/41UTCIgF3RL._AC_US600_.jpg"/>
        <s v="https://images-na.ssl-images-amazon.com/images/I/418+jnE43GL._AC_US600_.jpg"/>
        <s v="https://images-na.ssl-images-amazon.com/images/I/41Kx73WvRML._AC_US600_.jpg"/>
        <s v="https://images-na.ssl-images-amazon.com/images/I/31hes0z4e1L._AC_US600_.jpg"/>
        <s v="https://m.media-amazon.com/images/I/61PY7xJYKRL._AC_US600_.jpg"/>
        <s v="https://images-na.ssl-images-amazon.com/images/I/51BtVuritGL._AC_US600_.jpg"/>
        <s v="https://images-na.ssl-images-amazon.com/images/I/41Bh+8iMurL._AC_US600_.jpg"/>
        <s v="https://m.media-amazon.com/images/I/41MMVnAeq+L._AC_US600_.jpg"/>
        <s v="https://images-na.ssl-images-amazon.com/images/I/51cjHLNNdfL._AC_US600_.jpg"/>
        <s v="https://images-na.ssl-images-amazon.com/images/I/41XooFogX3S._AC_US600_.jpg"/>
        <s v="https://images-na.ssl-images-amazon.com/images/I/41itlVcI-8L._AC_US600_.jpg"/>
        <s v="https://images-na.ssl-images-amazon.com/images/I/31oBMRVPbJS._AC_US600_.jpg"/>
        <s v="https://images-na.ssl-images-amazon.com/images/I/514XT9luXRL._AC_US600_.jpg"/>
        <s v="https://images-na.ssl-images-amazon.com/images/I/51Pp7HEnMDL._AC_US600_.jpg"/>
        <s v="https://m.media-amazon.com/images/W/IMAGERENDERING_521856-T1/images/I/41uMb4vYYiL._AC_US600_.jpg"/>
        <s v="https://images-na.ssl-images-amazon.com/images/I/41zlAqz5EQS._AC_US600_.jpg"/>
        <s v="https://images-na.ssl-images-amazon.com/images/I/41Eimf3muML._AC_US600_.jpg"/>
        <s v="https://m.media-amazon.com/images/I/41K7k9nX6sL._AC_US600_.jpg"/>
      </sharedItems>
    </cacheField>
    <cacheField name="品牌" numFmtId="0">
      <sharedItems count="47">
        <s v="Ninja"/>
        <s v="COSORI"/>
        <s v="Instant Pot"/>
        <s v="DASH"/>
        <s v="Gourmia"/>
        <s v="Nuwave"/>
        <s v="FABULETTA"/>
        <s v="Emeril Everyday"/>
        <s v="Chefman"/>
        <s v="Elite Gourmet"/>
        <s v="Toshiba"/>
        <s v="Emeril Lagasse"/>
        <s v="PHILIPS"/>
        <s v="Kalorik"/>
        <s v="Ultrean"/>
        <s v="GoWISE USA"/>
        <s v="Hamilton Beach"/>
        <s v="NutriChef"/>
        <s v="Cuisinart"/>
        <s v="Oster"/>
        <s v="Geek Chef"/>
        <s v="LATURE"/>
        <s v="CROWNFUL"/>
        <s v="Amazon Renewed"/>
        <s v="Dreo"/>
        <s v="VILIWIN"/>
        <s v="PowerXL"/>
        <s v="Uten"/>
        <s v="Gluck"/>
        <s v="DEIME"/>
        <s v="COMFEE'"/>
        <s v="whall"/>
        <s v="Paula Deen"/>
        <s v="CUSIMAX"/>
        <s v="Aeitto"/>
        <s v="ICONITESUE"/>
        <s v="Secura"/>
        <s v="Ninja Foodi"/>
        <s v="Breville"/>
        <s v="Gevi"/>
        <s v="QINQIWD"/>
        <s v="Simple Deluxe"/>
        <s v="KOOC"/>
        <s v="BELLA"/>
        <s v="PHKOK"/>
        <s v="Beelicious"/>
        <s v="ALLcool"/>
      </sharedItems>
    </cacheField>
    <cacheField name="商品标题" numFmtId="0">
      <sharedItems count="100">
        <s v="Ninja AF101 Air Fryer that Crisps, Roasts, Reheats, &amp; Dehydrates, for Quick, Easy Meals, 4 Quart Capacity, &amp; High Gloss Finis"/>
        <s v="COSORI Air Fryer Pro LE 5-Quart, 9 Functions in 1 with Shake Reminder, UP to 450℉ for Oil-Free Crispy Results, Tempered Glass"/>
        <s v="Instant Vortex Plus 10-Quart Air Fryer, From the Makers of Instant Pot, 7-in-10 Functions, with EvenCrisp Technology, App wit"/>
        <s v="Instant Vortex Plus 6-Quart Air Fryer Oven, From the Makers of Instant Pot with ClearCook Cooking Window, Digital Touchscreen"/>
        <s v="COSORI Pro II Air Fryer Oven Combo, 5.8QT Max Xl Large Cooker with 12 One-Touch Savable Custom Functions, Cookbook and Online"/>
        <s v="Instant Vortex Plus 6-in-1, 4QT Air Fryer Oven, From the Makers of Instant Pot with Customizable Smart Cooking Programs, Nons"/>
        <s v="Ninja DZ401 Foodi 10 Quart 6-in-1 DualZone XL 2-Basket Air Fryer with 2 Independent Frying Baskets, Match Cook &amp; Smart Finish"/>
        <s v="DASH Tasti-Crisp™ Electric Air Fryer Oven Cooker with Temperature Control, Non-Stick Fry Basket, Recipe Guide + Auto Shut Off"/>
        <s v="Gourmia Air Fryer Oven Digital Display 6 Quart Large AirFryer Cooker 12 1-Touch Cooking Presets, XL Air Fryer Basket 1500w Po"/>
        <s v="Ninja DZ201 Foodi 8 Quart 6-in-1 DualZone 2-Basket Air Fryer with 2 Independent Frying Baskets, Match Cook &amp; Smart Finish to"/>
        <s v="Nuwave Brio 7-in-1 Air Fryer Oven, 7.25-Qt with One-Touch Digital Controls, 50°- 400°F Temperature Controls in 5° Increments,"/>
        <s v="Ninja SP101 Digital Air Fry Countertop Oven with 8-in-1 Functionality, Flip Up &amp; Away Capability for Storage Space, with Air"/>
        <s v="Air Fryer, Fabuletta 9 Customizable Smart Cooking Programs Compact 4QT Air Fryers, Shake Reminder, 450°F Digital Airfryer,Tempered Glass Display, Dishwasher-Safe &amp; Nonstick, Fit for 2-4 People"/>
        <s v="Ninja AF161 Max XL Air Fryer that Cooks, Crisps, Roasts, Bakes, Reheats and Dehydrates, with 5.5 Quart Capacity, and a High G"/>
        <s v="COSORI Air Fryer Toaster Oven Combo, 10 Qt Family Size 14-in-1 Functions (1000+ APP Recipes), Dishwasher-Safe Accessories wit"/>
        <s v="Instant Vortex Plus 6-Quart Air Fryer Oven, From the Makers of Instant Pot with Odor Erase Technology, ClearCook Cooking Wind"/>
        <s v="Emeril Lagasse 26 QT Extra Large Air Fryer, Convection Toaster Oven with French Doors, Stainless Steel"/>
        <s v="COSORI Air Fryer Toaster Oven Combo, 12-in-1 Convection Ovens Countertop, Stainless Steel, Smart, 6-Slice Toast, 12-inch Pizz"/>
        <s v="CHEFMAN Large Air Fryer Max XL 8 Qt, Healthy Cooking, User Friendly, Nonstick Stainless Steel, Digital Touch Screen with 4 Co"/>
        <s v="Elite Gourmet EAF-0201 Personal 2.1 Qt. Compact Space Saving Electric Hot Air Fryer Oil-Less Healthy Cooker, Timer &amp; Temperat"/>
        <s v="CHEFMAN Multifunctional Digital Air Fryer+ Rotisserie, Dehydrator, Convection Oven, 17 Touch Screen Presets Fry, Roast, Dehyd"/>
        <s v="Ninja FD401 Foodi 12-in-1 Deluxe XL 8 qt. Pressure Cooker &amp; Air Fryer that Steams, Slow Cooks, Sears, Sautés, Dehydrates &amp; Mo"/>
        <s v="TOSHIBA 6-in-1 Inverter Microwave Oven Air Fryer Combo, Countertop Microwave, Healthy Air Fryer, Broil, Convection, Speedy Co"/>
        <s v="Emeril Lagasse Power Air Fryer 360 Better Than Convection Ovens Hot Air Fryer Oven, Toaster Oven, Bake, Broil, Slow Cook and"/>
        <s v="CHEFMAN Small, Compact Air Fryer Healthy Cooking, 2 Qt, Nonstick, User Friendly and Adjustable Temperature Control w/ 60 Minu"/>
        <s v="COSORI Small Air Fryer Oven 2.1 Qt, 4-in-1 Mini Airfryer, Bake, Roast, Reheat, Space-saving &amp; Low-noise, Nonstick and Dishwas"/>
        <s v="Philips 3000 Series Air Fryer Essential Compact with Rapid Air Technology, 13-in-1 Cooking Functions to Fry, Bake, Grill, Roa"/>
        <s v="Kalorik® MAXX® Digital Air Fryer Oven, 26 Quart, 10-in-1 Countertop Toaster Oven &amp; Air Fryer Combo-21 Presets up to 500 degre"/>
        <s v="Ultrean Air Fryer, 4.2 Quart (4 Liter) Electric Hot Airfryer Oven Oilless Cooker with LCD Digital Screen and Nonstick Frying"/>
        <s v="GoWISE USA 1700-Watt 5.8-QT 8-in-1 Digital Air Fryer with Recipe Book, Black"/>
        <s v="DASH Tasti-Crisp™ Digital Air Fryer with AirCrisp Technology, Custom Presets, Temperature Control, and Auto Shut Off Feature,"/>
        <s v="Hamilton Beach Sure-Crisp Air Fryer Countertop Toaster Oven, Fits 9” Pizza, 4 Slice Capacity, Powerful Circulation, Auto Shut"/>
        <s v="Hot Air Fryer Oven - Oilless Convection Power Multi Cooker with Digital Display and 3.7 Qt Capacity - Perfect for Baking, Gri"/>
        <s v="Cuisinart TOA-26 Compact Airfryer Toaster Oven, 1800-Watt Motor with 6-in-1 Functions and Wide Temperature Range, Large Capac"/>
        <s v="Oster Compact Countertop Oven With Air Fryer, Stainless Steel"/>
        <s v="Geek Chef Air Fryer Toaster Oven, 10QT Toaster Ovens Countertop, 4 Slice Toaster, 6 Inch Pizza, Warm, Broil, Toast, Bake, Air"/>
        <s v="Philips Premium Airfryer XXL with Fat Removal Technology, 3lb/7qt, Black, HD9650/96"/>
        <s v="Ninja FD302 Foodi 11-in-1 Pro 6.5 qt. Pressure Cooker &amp; Air Fryer that Steams, Slow Cooks, Sears, Sautés, Dehydrates &amp; More,"/>
        <s v="Chefman Small Compact Air Fryer Healthy Cooking, 2 Qt Nonstick, User Friendly and Adjustable Temperature Control w/ 60 Minute"/>
        <s v="LATURE 4.2 QT Air Fryer Oven Cooker with Temperature and Time Control Dishwasher Non-stick Basket 6 Cook Presets CE Certified"/>
        <s v="COSORI Air Fryer Toaster Oven 26.4QT, 12-in-1 Convection Ovens Countertop Combo, 6-Slice Toast, 12-inch Pizza, Basket, Tray,"/>
        <s v="CROWNFUL 7 Quart Air Fryer, Oilless Electric Cooker with 12 Cooking Functions, LCD Touch Digital Screen with Precise Temperat"/>
        <s v="Cuisinart Air Fryer (Renewed)"/>
        <s v="COSORI Air Fryer Toaster Oven, 12-in-1 Convection Oven Countertop with Rotisserie, Stainless Steel 32QT/32L, 6-Slice Toast, 1"/>
        <s v="GoWISE USA GW22956 7-Quart Electric Air Fryer with Dehydrator &amp; 3 Stackable Racks, Led Digital Touchscreen with 8 Functions +"/>
        <s v="Nuwave Brio 8-Qt Air Fryer, Powerful 1800W, Easy-to-Read Cool White Display, 50°-400°F Temp Controls, 100 Pre-Programmed Pres"/>
        <s v="Dreo Air Fryer Pro Max, 11-in-1 Digital Air Fryer Oven Cooker with 100 Recipes, Visible Window, Supports Customerizable Cooki"/>
        <s v="Ninja SP351 Foodi Smart 13-in-1 Dual Heat Air Fry Countertop Oven, Dehydrate, Reheat, Smart Thermometer, 1800-watts, Silver"/>
        <s v="VILIWIN Air Fryer 4.5 QT Digital Upgraded Air Fryers Cooker 8 Preset Menus AirFryer Hot Air Fryer with Auto Shut Off 30 Minute Timer Adjustable Temperature Control Nonstick Tray 1400W Air Fryer Blue"/>
        <s v="PowerXL Air Fryer 7 QT Maxx Classic, Extra Hot Air Fry, Cook, Crisp, Broil, Roast, Bake, High Gloss Finish, Black (7 Quart)"/>
        <s v="Air Fryer 5.8QT/5.5L, Uten 1700W AirFryer High-Power Electric Hot Temperature Control &amp; Timer Knob, Non Stick Fry Basket, Dis"/>
        <s v="GLUCK Air Fryer Oven,10-in-1 20 QT Airfryer Toaster Oven with Visible Cooking Window,Large Air Fryer Toaster Oven Combo with"/>
        <s v="DASH Compact Air Fryer Oven Cooker with Temperature Control, Non-stick Fry Basket, Recipe Guide + Auto Shut off Feature, 2 Qu"/>
        <s v="ULTREAN 5.8 Quart Air Fryer, Electric Hot Air Fryers Oilless Cooker with 10 Presets, Digital LCD Touch Screen, Nonstick Baske"/>
        <s v="Elite Gourmet EAF-3218R Personal 1.1Qt Compact Space Saving Electric Hot Air Fryer Oil-Less Healthy Cooker, Timer &amp; Temperatu"/>
        <s v="Air Fryer 6.2 QT Oilless AirFryer 1500W Electric Healthy Oven Cooker Large Capacity with Visible Cooking Window, 10 Presets i"/>
        <s v="Air Fryer 12 QT 1700W Large Capacity Oilless Hot Air Fryers Oven Healthy Cooker with 10 Presets, Visible Cooking Window, LCD"/>
        <s v="PowerXL Air Fryer Steamer 7 QT 10-in-1 XL Vegetable Steamer and Air Fryer Combo, Toast, Bake, Roast, Broil, Dough Proofing, W"/>
        <s v="COMFEE' Retro Air Fry Toaster Oven, 7-in-1, 1500W, 19QT Capacity, 6 Slice, Air Fry, Rotisseries, Warm, Broil, Toast, Bake, Convection Bake, Black, Perfect for Countertop"/>
        <s v="Nuwave Brio 6-Quart Healthy Digital Smart Air Fryer with Probe One-Touch Digital Controls, Advanced Cooking Functions, Removable Divider Insert &amp; Grill Pan (NEW ACCESSORY)"/>
        <s v="GoWISE USA GW44800-O Deluxe 12.7-Quarts 15-in-1 Electric Air Fryer Oven with Rotisserie and Dehydrator + 50 Recipes QT, Black"/>
        <s v="Gourmia Air Fryer Oven Digital Display 7 Quart Large AirFryer Cooker 12 Touch Cooking Presets, XL Air Fryer Basket 1700w Powe"/>
        <s v="Gourmia Air Fryer Oven Digital Display 8 Quart Large AirFryer Cooker 12 Touch Cooking Presets, XL Air Fryer Basket 1700w Powe"/>
        <s v="NUWAVE Brio Air Fryer Smart Oven, 15.5-Qt X-Large Family Size, Countertop Convection Rotisserie Grill Combo, Non-Stick Drip T"/>
        <s v="Chefman TurboFry Touch Dual Air Fryer, Maximize The Healthiest Meals With Double Basket Capacity, One-Touch Digital Controls"/>
        <s v="CHEFMAN 5-Quart Digital Air Fryer with Temperature Probe, 8 Customizable Cooking Presets, Large Easy-View Window, Give Your F"/>
        <s v="Ninja Foodi SP101/FT102CO Digital Fry, Convection Oven, Toaster, Air Fryer, Flip-Away for Storage, with XL Capacity, and a St"/>
        <s v="NutriChef Air Fryer, Halogen Infrared Convection Oven - Large 13 Quart Glass Air Fryer, Oil-Free Quick Healthy Meals Multicoo"/>
        <s v="Elite Gourmet EAF1121 Personal 1.1 Qt. Compact Space Saving Electric Hot Air Fryer Oil-Less Healthy Cooker, Timer &amp; Temperatu"/>
        <s v="Air Fryer Oven,whall 12QT 12-in-1 Air Fryer Convection Oven,Rotisserie,Roast,Bake,Dehydrate,12 Cooking Presets,Digital Touchs"/>
        <s v="Paula Deen Stainless Steel 10 QT Digital Air Fryer (1700 Watts), LED Display, 10 Preset Cooking Functions, Ceramic Non-Stick"/>
        <s v="PowerXL Air Fryer Vortex - Multi Cooker with Roast, Bake, Food Dehydrator, Reheat Non Stick Coated Basket, Cookbook (7 QT, Bl"/>
        <s v="CUSIMAX Air Fryer Oven, 10-in-1 Convection Oven, 24QT Air Fryer Combo, Countertop Air Fryer Toaster Oven with Rotisserie &amp; De"/>
        <s v="DASH Deluxe Electric Air Fryer + Oven Cooker with Temperature Control, Non-stick Fry Basket, Recipe Guide + Auto Shut Off Fea"/>
        <s v="COSORI Pro Gen 2 Air Fryer 5.8QT, Upgraded Version with Stable Performance &amp; Sleek New Look, 13 One Touch Functions, 100 Pape"/>
        <s v="Ultrean Air Fryer oven, 12.5 Quart Airfryer Toaster Oven with Rotisserie,Bake,Dehydrator,Auto Shutoff and 8 Touch Screen Pres"/>
        <s v="Aeitto 30L Large Air Fryer Toaster Oven Combo,with Rotisserie and Dehydrator, 19-In-1 Digital Convection Oven Countertop Airf"/>
        <s v="PowerXL Grill Air Fryer Combo 6 QT 12-in-1 Indoor Grill, Air Fryer, Slow Cooker, Roast, Bake, 1550-Watts, Stainless Steel Fin"/>
        <s v="Chefman Air Fryer Toaster Oven Combo, 7-In-1 Convection Oven Countertop 20 Qt Oven Air fryer, Cook a 10 Inch Pizza, Air Fry 2"/>
        <s v="6-in-1 Air Fryer, 7-Quart/6.5L Smart Electric Hot Airfryer Combo Oven Oilless Cooker, 1800W Large Capacity Multifunction Heal"/>
        <s v="Air Fryer Toaster Oven Combo - Fabuletta 10-in-1 Countertop Convection Oven 1800W, Flip Up &amp; Away Capability for Storage Spac"/>
        <s v="Secura Air Fryer XL 5.3 Quart 1700-Watt Electric Hot Air Fryers Oven Oil Free Nonstick Cooker w/Recipes for Frying, Roasting,"/>
        <s v="PowerXL Vortex Air Fryer, Vortex Rapid Air Technology, SmartSync, Broil, Bake, Roast, Reheat, Dehydrate (10 QT Single Basket)"/>
        <s v="GoWISE USA 3.7-Quart Programmable Air Fryer with 8 Cook Presets, GW22638 - Black"/>
        <s v="PowerXL Air Fryer Grill 8 in 1 Roast, Bake, Rotisserie, Electric Indoor Grill (Black Deluxe)"/>
        <s v="Ninja Foodi Ninja Foodi 4-in-1 Indoor Grill (Renewed)"/>
        <s v="Breville Smart Oven Air Fryer Toaster Oven, Black Truffle, BOV860"/>
        <s v="Gevi Air Fryer Toaster Oven Combo, Large Digital LED Screen Convection Oven with Rotisserie and Dehydrator, Extra Large Capac"/>
        <s v="QINQIWD-Air Fryers 2.5L Air Fryer with Rapid Air Circulation System, for Home Smart No Frying Low Fat Healthy Oven 1200W, (Co"/>
        <s v="Simple Deluxe Air Fryer Oven, Toaster Oven Air Fryer Combo, Family Size Air Fryer Oven, 6 Accessories Included , 25L Large Ca"/>
        <s v="CROWNFUL Air Fryer, 10.6 Quart Large Convection Toaster Oven with Digital LCD Touch Screen, 10 in 1 Oilless Cooker with Rotis"/>
        <s v="CROWNFUL 19 Quart Air Fryer Toaster Oven, Convection Roaster with Rotisserie &amp; Dehydrator, 10-in-1 Countertop Oven, Original"/>
        <s v="[NEW] KOOC Large Air Fryer, 4.5-Quart Electric Hot Oven Cooker, Free Cheat Sheet for Quick Reference Guide, LED Touch Digital"/>
        <s v="BELLA 2.9QT Touchscreen Air Fryer, No Pre-Heat Needed, No-Oil Frying, Fast Healthy Evenly Cooked Meal Every Time, Dishwasher"/>
        <s v="PHKOK 7 Quarts Air Fryer, 1700W 360°Large Electric Hot Oilless Oven Cooker with 2-24 HRS Appointment Function,14-in-1 Airfrye"/>
        <s v="CHEFMAN Air Fryer Toaster Oven XL 20L, Healthy Cooking &amp; User Friendly, Countertop Convection Bake &amp; Broil, 9 Cooking Functio"/>
        <s v="Chefman TurboFry 2-Quart Air Fryer, Dishwasher Safe Basket &amp; Tray, Use Little to No Oil For Healthy Food, 60 Minute Timer, Fr"/>
        <s v="Secura Air Fryer 3.4Qt / 3.2L 1500-Watt Electric Hot XL Air Fryers Oven Oil Free Nonstick Cooker with/Recipes for Frying, Roa"/>
        <s v="Beelicious 32QT Extra Large Air Fryer, 19-In-1 Air Fryer Toaster Oven Combo with Rotisserie and Dehydrator, Digital Convectio"/>
        <s v="Air Fryer, Airfryer Oven Large Air Fryer 1700W 8-in-1 with Touch Screen Air Fryers Detachable Dishwasher Safe Nonstick Basket"/>
      </sharedItems>
    </cacheField>
    <cacheField name="标题(翻译)" numFmtId="0">
      <sharedItems count="100">
        <s v="Ninja AF101 空气炸锅，可脆化、烘烤、再加热和脱水，可快速、轻松地进餐，容量为 4 夸脱，表面光洁度高"/>
        <s v="COSORI 空气炸锅 Pro LE 5 夸脱，9 种功能合一，带摇动提醒，高达 450 华氏度以获得无油酥脆效果，钢化玻璃"/>
        <s v="Instant Vortex Plus 10 夸脱空气炸锅，来自 Instant Pot 制造商，7 合 10 功能，采用 EvenCrisp 技术，App wit"/>
        <s v="Instant Vortex Plus 6 夸脱空气炸锅烤箱，来自带 ClearCook 烹饪窗口、数字触摸屏的 Instant Pot 制造商"/>
        <s v="COSORI Pro II 空气炸锅烤箱组合，5.8QT Max Xl 大型炊具，带 12 种一键式可保存自定义功能、食谱和在线"/>
        <s v="Instant Vortex Plus 6 合 1、4QT 空气炸锅烤箱，来自具有可定制智能烹饪程序的 Instant Pot 制造商，非"/>
        <s v="Ninja DZ401 Foodi 10 夸脱 6 合 1 DualZone XL 2 篮空气炸锅带 2 个独立炸篮、Match Cook 和 Smart Finish"/>
        <s v="DASH Tasti-Crisp™ 电动空气炸锅烤箱炊具带温度控制、不粘炸篮、食谱指南 + 自动关闭"/>
        <s v="Gourmia 空气炸锅烤箱数字显示 6 夸脱大型空气炸锅炊具 12 一键式烹饪预设，XL 空气炸锅篮 1500w Po"/>
        <s v="Ninja DZ201 Foodi 8 夸脱 6 合 1 DualZone 2 篮式空气炸锅，带 2 个独立炸篮，Match Cook &amp;amp; Smart Finish"/>
        <s v="Nuwave Brio 7 合 1 空气炸锅烤箱，7.25 夸脱，带一键式数字控制，50°- 400°F 温度控制，增量为 5°，"/>
        <s v="Ninja SP101 数字气炸台面烤箱，具有 8 合 1 功能，可翻转存储空间，带空气"/>
        <s v="空气炸锅，Fabuletta 9 种可定制的智能烹饪程序紧凑型 4 夸脱空气炸锅，摇动提醒，450°F 数字空气炸锅，钢化玻璃显示屏，可用洗碗机清洗且不粘锅，适合 2-4 人"/>
        <s v="Ninja AF161 Max XL 空气炸锅，可烹饪、薯片、烘烤、烘烤、再加热和脱水，具有 5.5 夸脱容量和高 G"/>
        <s v="COSORI 空气炸锅烤箱组合，10 夸脱家庭装 14 合 1 功能（1000 多种应用程序食谱），可放入洗碗机清洗的配件"/>
        <s v="Instant Vortex Plus 6 夸脱空气炸锅烤箱，来自具有除臭技术的 Instant Pot 制造商，ClearCook Cooking Wind"/>
        <s v="Emeril Lagasse 26 QT 超大空气炸锅，带法式门的对流烤箱，不锈钢"/>
        <s v="COSORI 空气炸锅烤箱组合，12 合 1 对流烤箱台面，不锈钢，智能，6 片吐司，12 英寸披萨"/>
        <s v="CHEFMAN 大型空气炸锅 Max XL 8 Qt，健康烹饪，用户友好，不粘不锈钢，带 4 Co 的数字触摸屏"/>
        <s v="精英美食 EAF-0201 个人 2.1 夸脱。 紧凑型节省空间的电热空气炸锅无油健康炊具、定时器和温度"/>
        <s v="CHEFMAN 多功能数字空气炸锅 + 烤肉店、脱水机、对流烤箱、17 种触摸屏预设油炸、烤、脱水"/>
        <s v=" Ninja FD401 Foodi 12 合 1 Deluxe XL 8 夸脱。 高压锅和空气炸锅，可蒸、慢煮、西尔斯、炒、脱水和 Mo"/>
        <s v="东芝 6 合 1 变频微波炉空气炸锅组合、台面微波炉、健康空气炸锅、烤、对流、Speedy Co"/>
        <s v="Emeril Lagasse Power Air Fryer 360 比对流烤箱更好"/>
        <s v="CHEFMAN 小型紧凑型空气炸锅健康烹饪，2 夸脱，不粘锅，用户友好且可调节温度控制，带 60 分钟"/>
        <s v="COSORI 小型空气炸锅烤箱 2.1 夸脱、4 合 1 迷你空气炸锅、烘烤、烘烤、再加热、节省空间和低噪音、不粘锅和洗碗机"/>
        <s v="飞利浦 3000 系列空气炸锅 Essential Compact 采用 Rapid Air 技术，13 合 1 烹饪功能，可煎、烤、烤、烤"/>
        <s v="Kalorik® MAXX® 数字空气炸锅烤箱，26 夸脱，10 合 1 工作台面烤面包机烤箱和空气炸锅组合 21 预设高达 500 度"/>
        <s v="Ultrean 空气炸锅，4.2​​ 夸脱（4 升）电热空气炸锅烤箱无油炊具​​带 LCD 数字屏幕和不粘锅油炸"/>
        <s v="GoWISE USA 1700 瓦 5.8 夸脱 8 合 1 数字空气炸锅带食谱，黑色"/>
        <s v="DASH Tasti-Crisp™ 数字空气炸锅采用 AirCrisp 技术、自定义预设、温度控制和自动关闭功能，"/>
        <s v="Hamilton Beach Sure-Crisp 空气炸锅台面烤箱，适合 9 英寸披萨，4 片容量，强大的循环，自动关闭"/>
        <s v="热风炸锅 - 无油对流动力多功能炊具，带数字显示屏和 3.7 夸脱容量 - 非常适合烘焙、Gri"/>
        <s v="Cuisinart TOA-26 紧凑型空气炸锅烤箱，1800 瓦电机，具有 6 合 1 功能和宽温度范围，大容量"/>
        <s v="Oster 紧凑型台面烤箱，带空气炸锅，不锈钢"/>
        <s v="Geek Chef 空气炸锅烤箱，10 夸脱烤箱台面，4 片烤面包机，6 英寸披萨，热、烤、吐司、烘烤、空气"/>
        <s v="飞利浦 Premium Airfryer XXL 采用除脂技术，3 磅/7 夸脱，黑色，HD9650/96"/>
        <s v=" Ninja FD302 Foodi 11 合 1 Pro 6.5 夸脱。 高压锅和空气炸锅，可蒸、慢煮、西尔斯、炒、脱水等，"/>
        <s v="Chefman 小型紧凑型空气炸锅健康烹饪，2 夸脱不粘锅，用户友好且可调节温度控制，带 60 分钟"/>
        <s v="LATURE 4.2 QT 空气炸锅烤箱炊具带温度和时间控制洗碗机不粘篮 6 种烹饪预设 CE 认证"/>
        <s v="COSORI 空气炸锅烤箱 26.4 夸脱、12 合 1 对流烤箱台面组合、6 片吐司、12 英寸披萨、篮子、托盘、"/>
        <s v="CROWNFUL 7 夸脱空气炸锅，带 12 种烹饪功能的无油电饭锅，带精确温度的 LCD 触摸数字屏幕"/>
        <s v="Cuisinart 空气炸锅（更新）"/>
        <s v="COSORI 空气炸锅烤箱，带烤肉架的 12 合 1 对流烤箱台面，不锈钢 32QT/32L，6 片吐司，1"/>
        <s v="GoWISE USA GW22956 7 夸脱电空气炸锅带脱水器和 3 个可堆叠架，带 8 种功能的 LED 数字触摸屏 +"/>
        <s v="Nuwave Brio 8 夸脱空气炸锅，强大的 1800 瓦，易于阅读的冷白色显示屏，50°-400°F 温度控制，100 个预编程压力"/>
        <s v="Dreo Air Fryer Pro Max，带 100 个食谱的 11 合 1 数字空气炸锅烤箱炊具，可见窗口，支持可定制的 Cooki"/>
        <s v="Ninja SP351 Foodi Smart 13 合 1 双热气炸台面烤箱，脱水，再加热，智能温度计，1800 瓦，银色"/>
        <s v="VILIWIN 空气炸锅 4.5 QT 数字升级空气炸锅炊具 8 预设菜单空气炸锅热空气炸锅自动关闭 30 分钟定时器可调温度控制不粘托盘 1400W 空气炸锅蓝色"/>
        <s v="PowerXL 空气炸锅 7 QT Maxx 经典，超热风炸，烹调，酥脆，烤，烤，烘烤，高光饰面，黑色（7 夸脱）"/>
        <s v="空气炸锅 5.8QT/5.5L，Uten 1700W AirFryer 大功率电热温度控制和定时器旋钮，不粘炸篮，Dis"/>
        <s v="GLUCK 空气炸锅烤箱，10 合 1 20 QT 空气炸锅烤箱带可见烹饪窗口，大型空气炸锅烤箱组合"/>
        <s v="DASH 紧凑型空气炸锅烤箱炊具带温度控制，不粘炸篮，食谱指南 + 自动关闭功能，2 曲"/>
        <s v="ULTREAN 5.8 夸脱空气炸锅、电热空气炸锅无油炊具带 10 个预设、数字 LCD 触摸屏、不粘烤盘"/>
        <s v="Elite Gourmet EAF-3218R 个人 1.1 夸脱紧凑型节省空间电热空气炸锅无油健康炊具、定时器和温度"/>
        <s v="Air Fryer 6.2 QT 无油 AirFryer 1500W 电健康烤箱炊具大容量带可见烹饪窗口，10 个预设 i"/>
        <s v="空气炸锅 12 QT 1700W 大容量无油热空气炸锅烤箱健康炊具带 10 个预设，可见烹饪窗口，LCD"/>
        <s v="PowerXL 空气炸锅蒸锅 7 QT 10 合 1 XL 蔬菜蒸锅和空气炸锅组合，吐司、烘烤、烘烤、烤、面团打样，W"/>
        <s v="COMFEE&amp;#39; Retro Air Fry 烤箱，7 合 1，1500 瓦，19 夸脱容量，6 片，空气炸，烤肉系列，暖，烤，吐司，烘烤，对流烘烤，黑色，非常适合工作台面"/>
        <s v="Nuwave Brio 6 夸脱健康数字智能空气炸锅，带探针一键式数字控制、高级烹饪功能、可拆卸隔板插入件和烤盘（新配件）"/>
        <s v="GoWISE USA GW44800-O Deluxe 12.7 夸脱 15 合 1 电动空气炸锅烤箱带烤肉店和脱水机 + 50 份食谱 QT，黑色"/>
        <s v="Gourmia 空气炸锅烤箱数字显示 7 夸脱大型空气炸锅炊具 12 触摸烹饪预设，XL 空气炸锅篮 1700 瓦功率"/>
        <s v="Gourmia 空气炸锅烤箱数字显示 8 夸脱大型空气炸锅炊具 12 触摸烹饪预设，XL 空气炸锅篮 1700 瓦功率"/>
        <s v="NUWAVE Brio 空气炸锅智能烤箱，15.5 夸脱特大号家庭装，台面对流烤肉店烧烤组合，不粘滴漏式 T"/>
        <s v="Chefman TurboFry Touch 双空气炸锅，双篮容量，一键式数字控制，最大限度地提供最健康的膳食"/>
        <s v="CHEFMAN 5 夸脱数字空气炸锅，带温度探头，8 种可定制的烹饪预设，易于查看的大窗口，让您的 F"/>
        <s v="Ninja Foodi SP101/FT102CO 数字油炸机、对流烤箱、烤面包机、空气炸锅、可翻盖式存储、超大容量和 St"/>
        <s v="NutriChef 空气炸锅，卤素红外线对流烤箱 - 大型 13 夸脱玻璃空气炸锅，无油快速健康膳食 Multicoo"/>
        <s v="精英美食 EAF1121 个人 1.1 夸脱。 紧凑型节省空间电热空气炸锅无油健康炊具、定时器和温度"/>
        <s v="Air Fryer Oven,whall 12QT 12-in-1 Air Fryer Convection Oven,Rotisserie,Roast,Bake,Dehydrate,12 烹饪预设,Digital Touchs"/>
        <s v="Paula Deen 不锈钢 10 QT 数字空气炸锅（1700 瓦）、LED 显示屏、10 种预设烹饪功能、陶瓷不粘锅"/>
        <s v="PowerXL 空气炸锅 Vortex - 多功能炊具，带烘烤、烘烤、食品脱水机、再热不粘涂层篮子、食谱（7 夸脱，Bl"/>
        <s v="CUSIMAX 空气炸锅烤箱、10 合 1 对流烤箱、24 夸脱空气炸锅组合、带 Rotisserie &amp;amp; De 的台面式空气炸锅烤箱"/>
        <s v="DASH Deluxe Electric Air Fryer + Oven Cooker with Temperature Control, 不粘炸篮, Recipe Guide + Auto Shut Off Fea"/>
        <s v="COSORI Pro Gen 2 空气炸锅 5.8QT 升级版性能稳定 外观时尚 13 项一键式功能 100 帕"/>
        <s v="Ultrean Air Fryer 烤箱、12.5 夸脱 Airfryer 烤箱带烤肉架、烘焙、脱水器、自动关闭和 8 个触摸屏压力"/>
        <s v="Aeitto 30 升大型空气炸锅烤面包机烤箱组合，带烤肉架和脱水机，19 合 1 数字对流烤箱台面 Airf"/>
        <s v="PowerXL 烧烤空气炸锅组合 6 QT 12 合 1 室内烧烤、空气炸锅、慢炖锅、烤、烘烤、1550 瓦、不锈钢翅片"/>
        <s v="Chefman 空气炸锅烤面包机烤箱组合，7 合 1 对流烤箱台面 20 夸脱烤箱空气炸锅，烹饪 10 英寸披萨，空气炸锅 2"/>
        <s v="6 合 1 空气炸锅，7 夸脱/6.5 升智能电热空气炸锅组合烤箱无油锅，1800 瓦大容量多功能 Heal"/>
        <s v="空气炸锅烤面包机烤箱组合 - Fabuletta 10 合 1 台面对流烤箱 1800 瓦，可翻转存储空间"/>
        <s v="Secura 空气炸锅 XL 5.3 夸脱 1700 瓦电热空气炸锅烤箱无油不粘锅带食谱，用于煎炸、烘烤、"/>
        <s v="PowerXL Vortex 空气炸锅、Vortex Rapid Air 技术、SmartSync、烤、烘、烤、再热、脱水（10 QT 单篮）"/>
        <s v="GoWISE USA 3.7 夸脱可编程空气炸锅，带 8 个烹饪预设，GW22638 - 黑色"/>
        <s v="PowerXL 空气炸锅烤架 8 合 1 烤、烤、烤肉店、电动室内烤架（黑色豪华版）"/>
        <s v="Ninja Foodi Ninja Foodi 4 合 1 室内烧烤炉（已更新）"/>
        <s v="Breville 智能烤箱空气炸锅烤箱，黑松露，BOV860"/>
        <s v="Gevi 空气炸锅烤箱组合，大型数字 LED 屏幕对流烤箱，带烤肉架和脱水机，超大容量"/>
        <s v="QINQIWD-空气炸锅 2.5L空气炸锅带快速空气循环系统，适用于家庭智能免油炸低脂健康烤箱1200W，（Co"/>
        <s v="简单豪华空气炸锅烤箱，烤箱空气炸锅组合，家庭尺寸空气炸锅烤箱，包括 6 个配件，25 升大容量"/>
        <s v="CROWNFUL 空气炸锅，10.6 夸脱大型对流烤箱，带数字 LCD 触摸屏，10 合 1 无油炊具，带 Rotis"/>
        <s v="CROWNFUL 19 夸脱空气炸锅烤面包机烤箱，带烤肉架和脱水机的对流烤炉，10 合 1 台面烤箱，原装"/>
        <s v="[新] KOOC 大型空气炸锅、4.5 夸脱电热烤箱炊具、免费快速参考指南备忘单、LED Touch Digital"/>
        <s v="BELLA 2.9QT 触摸屏空气炸锅，无需预热，无油煎炸，每次都能快速健康均匀地烹饪食物，洗碗机"/>
        <s v="PHKOK 7 夸脱空气炸锅，1700 瓦 360° 大型电热无油烤箱炊具，具有 2-24 小时预约功能，14 合 1 Airfrye"/>
        <s v="CHEFMAN 空气炸锅烤箱 XL 20L，健康烹饪和用户友好型，台面对流烘烤和烧烤，9 种烹饪功能"/>
        <s v="Chefman TurboFry 2 夸脱空气炸锅，可放入洗碗机清洗的篮子和托盘，少用油或不用油制作健康食品，60 分钟定时器，法国"/>
        <s v="Secura 空气炸锅 3.4 夸脱 / 3.2 升 1500 瓦电热 XL 空气炸锅烤箱无油不粘锅带/煎炸食谱，Roa"/>
        <s v="Beelicious 32QT 超大空气炸锅，19 合 1 空气炸锅烤箱组合，带烤肉店和脱水机，数字对流"/>
        <s v="空气炸锅、空气炸锅烤箱大型空气炸锅 1700 瓦 8 合 1 带触摸屏空气炸锅可拆卸洗碗机安全不粘篮"/>
      </sharedItems>
    </cacheField>
    <cacheField name="亚马逊标识" numFmtId="0">
      <sharedItems count="12">
        <s v="BS"/>
        <s v="BS A+"/>
        <s v="AC BS A+"/>
        <s v="AC A+"/>
        <s v="A+"/>
        <s v=""/>
        <s v="AC"/>
        <s v="AC BS NR A+"/>
        <s v="NR"/>
        <s v="AC BS"/>
        <s v="AC NR A+"/>
        <s v="NR A+"/>
      </sharedItems>
    </cacheField>
    <cacheField name="类目路径" numFmtId="0">
      <sharedItems count="4">
        <s v="Home &amp; Kitchen:Kitchen &amp; Dining:Small Appliances:Fryers:Air Fryers"/>
        <s v="Home &amp; Kitchen:Kitchen &amp; Dining:Small Appliances:Fryers:Deep Fryers"/>
        <s v="Home &amp; Kitchen:Kitchen &amp; Dining:Small Appliances:Ovens &amp; Toasters:Toaster Ovens"/>
        <s v="Home &amp; Kitchen:Kitchen &amp; Dining:Small Appliances:Ovens &amp; Toasters:Convection Ovens"/>
      </sharedItems>
    </cacheField>
    <cacheField name="大类目" numFmtId="0">
      <sharedItems count="1">
        <s v="Kitchen &amp; Dining"/>
      </sharedItems>
    </cacheField>
    <cacheField name="大类BSR" numFmtId="3">
      <sharedItems containsSemiMixedTypes="0" containsString="0" containsNumber="1" containsInteger="1" minValue="0" maxValue="32907" count="100">
        <n v="16"/>
        <n v="131"/>
        <n v="192"/>
        <n v="176"/>
        <n v="193"/>
        <n v="277"/>
        <n v="320"/>
        <n v="494"/>
        <n v="603"/>
        <n v="958"/>
        <n v="1189"/>
        <n v="1009"/>
        <n v="1488"/>
        <n v="1041"/>
        <n v="1367"/>
        <n v="1263"/>
        <n v="1974"/>
        <n v="1787"/>
        <n v="2031"/>
        <n v="2398"/>
        <n v="2256"/>
        <n v="2635"/>
        <n v="2469"/>
        <n v="3010"/>
        <n v="2720"/>
        <n v="2922"/>
        <n v="3655"/>
        <n v="3139"/>
        <n v="2724"/>
        <n v="3310"/>
        <n v="3846"/>
        <n v="3738"/>
        <n v="3701"/>
        <n v="5110"/>
        <n v="6368"/>
        <n v="4417"/>
        <n v="6767"/>
        <n v="5911"/>
        <n v="5206"/>
        <n v="7484"/>
        <n v="4518"/>
        <n v="4762"/>
        <n v="6666"/>
        <n v="6184"/>
        <n v="6281"/>
        <n v="6440"/>
        <n v="6473"/>
        <n v="6834"/>
        <n v="3421"/>
        <n v="9111"/>
        <n v="8292"/>
        <n v="9571"/>
        <n v="9177"/>
        <n v="8771"/>
        <n v="13651"/>
        <n v="13404"/>
        <n v="13357"/>
        <n v="9527"/>
        <n v="9943"/>
        <n v="12327"/>
        <n v="11099"/>
        <n v="12047"/>
        <n v="14264"/>
        <n v="10986"/>
        <n v="10598"/>
        <n v="8252"/>
        <n v="13660"/>
        <n v="13775"/>
        <n v="17711"/>
        <n v="30684"/>
        <n v="14037"/>
        <n v="16222"/>
        <n v="15808"/>
        <n v="11157"/>
        <n v="13280"/>
        <n v="15830"/>
        <n v="23256"/>
        <n v="17477"/>
        <n v="13708"/>
        <n v="17635"/>
        <n v="16129"/>
        <n v="15746"/>
        <n v="14217"/>
        <n v="21578"/>
        <n v="17956"/>
        <n v="20148"/>
        <n v="8604"/>
        <n v="28125"/>
        <n v="10397"/>
        <n v="17516"/>
        <n v="18419"/>
        <n v="14404"/>
        <n v="16717"/>
        <n v="19139"/>
        <n v="24418"/>
        <n v="22603"/>
        <n v="12961"/>
        <n v="32907"/>
        <n v="24313"/>
        <n v="24510"/>
      </sharedItems>
    </cacheField>
    <cacheField name="小类目" numFmtId="0">
      <sharedItems count="11">
        <s v="Air Fryers"/>
        <s v="Air Fryers_x000a_Baking Parchment"/>
        <s v="Deep Fryers_x000a_Air Fryers"/>
        <s v="Commercial Deep Fryers_x000a_Air Fryers_x000a_Kitchen Cookware"/>
        <s v="Air Fryers_x000a_Unique Kitchen"/>
        <s v="Rotisseries &amp; Roasters_x000a_Air Fryers"/>
        <s v="Toaster Ovens_x000a_Air Fryers"/>
        <s v="Air Fryers_x000a_Ovens &amp; Toasters"/>
        <s v="Convection Ovens"/>
        <s v="Commercial Ovens_x000a_Air Fryers"/>
        <s v="Dehydrators_x000a_Toaster Ovens_x000a_Air Fryers"/>
      </sharedItems>
    </cacheField>
    <cacheField name="小类BSR" numFmtId="3">
      <sharedItems count="80">
        <s v="1"/>
        <s v="2"/>
        <s v="4"/>
        <s v="3_x000a_5"/>
        <s v="1_x000a_5"/>
        <s v="1_x000a_6_x000a_19"/>
        <s v="7"/>
        <s v="9"/>
        <s v="10"/>
        <s v="11"/>
        <s v="13"/>
        <s v="17"/>
        <s v="16"/>
        <s v="15"/>
        <s v="20_x000a_20"/>
        <s v="1_x000a_19"/>
        <s v="22"/>
        <s v="23"/>
        <s v="25"/>
        <s v="24"/>
        <s v="27"/>
        <s v="32"/>
        <s v="29"/>
        <s v="26"/>
        <s v="33"/>
        <s v="39"/>
        <s v="43"/>
        <s v="36"/>
        <s v="44"/>
        <s v="38"/>
        <s v="56"/>
        <s v="40"/>
        <s v="41"/>
        <s v="17_x000a_50"/>
        <s v="47_x000a_70"/>
        <s v="51"/>
        <s v="58"/>
        <s v="50"/>
        <s v="55"/>
        <s v="59"/>
        <s v="57"/>
        <s v="61"/>
        <s v="68"/>
        <s v="80"/>
        <s v="77"/>
        <s v="55_x000a_56"/>
        <s v="23_x000a_62"/>
        <s v="76"/>
        <s v="63"/>
        <s v="70"/>
        <s v="88"/>
        <s v="73"/>
        <s v="82"/>
        <s v="105"/>
        <s v="161"/>
        <s v="108_x000a_113"/>
        <s v="124"/>
        <s v="67"/>
        <s v="78"/>
        <s v="89"/>
        <s v="132"/>
        <s v="96_x000a_112"/>
        <s v="81"/>
        <s v="93"/>
        <s v="83"/>
        <s v="87_x000a_98"/>
        <s v="108_x000a_117"/>
        <s v="116"/>
        <s v="1_x000a_152"/>
        <s v="66"/>
        <s v="23_x000a_35_x000a_102"/>
        <s v="101"/>
        <s v="100"/>
        <s v="107"/>
        <s v="135"/>
        <s v="130"/>
        <s v="79"/>
        <s v="176"/>
        <s v="140"/>
        <s v="142"/>
      </sharedItems>
    </cacheField>
    <cacheField name="产品颜色" numFmtId="3">
      <sharedItems count="9">
        <s v="黑色"/>
        <s v="灰色"/>
        <s v="银配黑"/>
        <s v="银色"/>
        <s v="绿色"/>
        <s v="蓝色"/>
        <s v="红色"/>
        <s v="白色"/>
        <s v="粉色"/>
      </sharedItems>
    </cacheField>
    <cacheField name="容量大小（夸脱）" numFmtId="0">
      <sharedItems containsSemiMixedTypes="0" containsString="0" containsNumber="1" minValue="0" maxValue="32" count="44">
        <n v="4"/>
        <n v="5.8"/>
        <n v="10"/>
        <n v="6"/>
        <n v="2.6"/>
        <n v="8"/>
        <n v="7.25"/>
        <n v="17"/>
        <n v="5.5"/>
        <n v="26"/>
        <n v="26.4"/>
        <n v="2.1"/>
        <n v="2"/>
        <n v="4.31578947368421"/>
        <n v="4.2"/>
        <n v="3.7"/>
        <n v="16"/>
        <n v="7"/>
        <n v="6.5"/>
        <n v="30"/>
        <n v="6.8"/>
        <n v="3.8"/>
        <n v="4.5"/>
        <n v="20"/>
        <n v="1.1"/>
        <n v="6.2"/>
        <n v="12"/>
        <n v="19"/>
        <n v="12.7"/>
        <n v="15.5"/>
        <n v="9"/>
        <n v="5"/>
        <n v="13"/>
        <n v="24"/>
        <n v="12.5"/>
        <n v="31.4"/>
        <n v="5.3"/>
        <n v="4.7"/>
        <n v="4.4"/>
        <n v="10.6"/>
        <n v="2.9"/>
        <n v="21"/>
        <n v="3.4"/>
        <n v="32"/>
      </sharedItems>
    </cacheField>
    <cacheField name="容量大小（Quarts）" numFmtId="201">
      <sharedItems count="44">
        <s v="4.0QT"/>
        <s v="5.8QT"/>
        <s v="10.0QT"/>
        <s v="6.0QT"/>
        <s v="2.6QT"/>
        <s v="8.0QT"/>
        <s v="7.25QT"/>
        <s v="17.0QT"/>
        <s v="5.5QT"/>
        <s v="26.0QT"/>
        <s v="26.4QT"/>
        <s v="2.1QT"/>
        <s v="2.0QT"/>
        <s v="4.3QT"/>
        <s v="4.2QT"/>
        <s v="3.7QT"/>
        <s v="16.0QT"/>
        <s v="7.0QT"/>
        <s v="6.5QT"/>
        <s v="30.0QT"/>
        <s v="6.8QT"/>
        <s v="3.8QT"/>
        <s v="4.5QT"/>
        <s v="20.0QT"/>
        <s v="1.1QT"/>
        <s v="6.2QT"/>
        <s v="12.0QT"/>
        <s v="19.0QT"/>
        <s v="12.7QT"/>
        <s v="15.5QT"/>
        <s v="9.0QT"/>
        <s v="5.0QT"/>
        <s v="13.0QT"/>
        <s v="24.0QT"/>
        <s v="12.5QT"/>
        <s v="31.4QT"/>
        <s v="5.3QT"/>
        <s v="4.7QT"/>
        <s v="4.4QT"/>
        <s v="10.6QT"/>
        <s v="2.9QT"/>
        <s v="21.0QT"/>
        <s v="3.4QT"/>
        <s v="32.0QT"/>
      </sharedItems>
    </cacheField>
    <cacheField name="容量大小（升）" numFmtId="201">
      <sharedItems containsSemiMixedTypes="0" containsString="0" containsNumber="1" minValue="0" maxValue="30.272" count="44">
        <n v="3.784"/>
        <n v="5.4868"/>
        <n v="9.46"/>
        <n v="5.676"/>
        <n v="2.4596"/>
        <n v="7.568"/>
        <n v="6.8585"/>
        <n v="16.082"/>
        <n v="5.203"/>
        <n v="24.596"/>
        <n v="24.9744"/>
        <n v="1.9866"/>
        <n v="1.892"/>
        <n v="4.08273684210526"/>
        <n v="3.9732"/>
        <n v="3.5002"/>
        <n v="15.136"/>
        <n v="6.622"/>
        <n v="6.149"/>
        <n v="28.38"/>
        <n v="6.4328"/>
        <n v="3.5948"/>
        <n v="4.257"/>
        <n v="18.92"/>
        <n v="1.0406"/>
        <n v="5.8652"/>
        <n v="11.352"/>
        <n v="17.974"/>
        <n v="12.0142"/>
        <n v="14.663"/>
        <n v="8.514"/>
        <n v="4.73"/>
        <n v="12.298"/>
        <n v="22.704"/>
        <n v="11.825"/>
        <n v="29.7044"/>
        <n v="5.0138"/>
        <n v="4.4462"/>
        <n v="4.1624"/>
        <n v="10.0276"/>
        <n v="2.7434"/>
        <n v="19.866"/>
        <n v="3.2164"/>
        <n v="30.272"/>
      </sharedItems>
    </cacheField>
    <cacheField name="容量大小（L）" numFmtId="201">
      <sharedItems count="44">
        <s v="3.8L"/>
        <s v="5.5L"/>
        <s v="9.5L"/>
        <s v="5.7L"/>
        <s v="2.5L"/>
        <s v="7.6L"/>
        <s v="6.9L"/>
        <s v="16.1L"/>
        <s v="5.2L"/>
        <s v="24.6L"/>
        <s v="25.0L"/>
        <s v="2.0L"/>
        <s v="1.9L"/>
        <s v="4.1L"/>
        <s v="4.0L"/>
        <s v="3.5L"/>
        <s v="15.1L"/>
        <s v="6.6L"/>
        <s v="6.1L"/>
        <s v="28.4L"/>
        <s v="6.4L"/>
        <s v="3.6L"/>
        <s v="4.3L"/>
        <s v="18.9L"/>
        <s v="1.0L"/>
        <s v="5.9L"/>
        <s v="11.4L"/>
        <s v="18.0L"/>
        <s v="12.0L"/>
        <s v="14.7L"/>
        <s v="8.5L"/>
        <s v="4.7L"/>
        <s v="12.3L"/>
        <s v="22.7L"/>
        <s v="11.8L"/>
        <s v="29.7L"/>
        <s v="5.0L"/>
        <s v="4.4L"/>
        <s v="4.2L"/>
        <s v="10.0L"/>
        <s v="2.7L"/>
        <s v="19.9L"/>
        <s v="3.2L"/>
        <s v="30.3L"/>
      </sharedItems>
    </cacheField>
    <cacheField name="产品类型" numFmtId="3">
      <sharedItems count="5">
        <s v="空气炸锅"/>
        <s v="空气炸锅+烤箱"/>
        <s v="空气炸锅+烤箱+烤面包机+脱水机"/>
        <s v="空气炸锅+压力锅"/>
        <s v="空气炸锅+蒸锅"/>
      </sharedItems>
    </cacheField>
    <cacheField name="结构类型" numFmtId="3">
      <sharedItems count="6">
        <s v="单腔"/>
        <s v="单腔双层"/>
        <s v="双腔"/>
        <s v="双腔双层"/>
        <s v="单腔三层"/>
        <s v="双腔三层"/>
      </sharedItems>
    </cacheField>
    <cacheField name="产品功能" numFmtId="3">
      <sharedItems count="15">
        <s v="4合一"/>
        <s v="9合一"/>
        <s v="7合一"/>
        <s v="6合一"/>
        <s v="12合一"/>
        <s v="单一"/>
        <s v="8合一"/>
        <s v="14合一"/>
        <s v="10合一"/>
        <s v="17合一"/>
        <s v="13合一"/>
        <s v="5合一"/>
        <s v="11合一"/>
        <s v="15合一"/>
        <s v="19合一"/>
      </sharedItems>
    </cacheField>
    <cacheField name="功率" numFmtId="0">
      <sharedItems count="17">
        <s v="1550W"/>
        <s v="1500W"/>
        <s v="850W"/>
        <s v="1700W"/>
        <s v="1600W"/>
        <s v="1690W"/>
        <s v="1000W"/>
        <s v="1800W"/>
        <s v="1750W"/>
        <s v="1760W"/>
        <s v="900W"/>
        <s v="1400W"/>
        <s v="1725W"/>
        <s v="1460W"/>
        <s v="1300W"/>
        <s v="700W"/>
        <s v="1200W"/>
      </sharedItems>
    </cacheField>
    <cacheField name="MAX温升" numFmtId="3">
      <sharedItems count="7">
        <s v="205℃"/>
        <s v="230℃"/>
        <s v="260℃"/>
        <s v="200℃"/>
        <s v="215℃"/>
        <s v="316℃"/>
        <s v="250℃"/>
      </sharedItems>
    </cacheField>
    <cacheField name="是否可视化" numFmtId="3">
      <sharedItems count="2">
        <s v="否"/>
        <s v="是"/>
      </sharedItems>
    </cacheField>
    <cacheField name="是否带显示屏" numFmtId="3">
      <sharedItems count="3">
        <s v="是"/>
        <s v="否"/>
        <s v="还"/>
      </sharedItems>
    </cacheField>
    <cacheField name="是否带app" numFmtId="3">
      <sharedItems count="2">
        <s v="否"/>
        <s v="是"/>
      </sharedItems>
    </cacheField>
    <cacheField name="控制方式" numFmtId="3">
      <sharedItems count="11">
        <s v="触控控制"/>
        <s v="触控+旋钮控制"/>
        <s v="触控按键+APP控制"/>
        <s v="旋钮控制"/>
        <s v="触控按键"/>
        <s v="按键控制+app控制"/>
        <s v="按键+旋钮控制"/>
        <s v="触控+app控制"/>
        <s v="按键控制"/>
        <s v="触控+旋钮+app控制"/>
        <s v="按键+旋钮+app控制"/>
      </sharedItems>
    </cacheField>
    <cacheField name="主要材质" numFmtId="3">
      <sharedItems count="9">
        <s v="不沾陶瓷+塑料"/>
        <s v="不锈钢+钢化玻璃+塑料"/>
        <s v="不沾陶瓷+钢化玻璃+塑料"/>
        <s v="不锈钢+不沾陶瓷+塑料"/>
        <s v="不锈钢+塑料"/>
        <s v="不锈钢"/>
        <s v="铬+塑料"/>
        <s v="钢化玻璃+塑料"/>
        <s v="铬+钢化玻璃+塑料"/>
      </sharedItems>
    </cacheField>
    <cacheField name="价格区间" numFmtId="0">
      <sharedItems count="19">
        <s v="80~90usd"/>
        <s v="90~100usd"/>
        <s v="100~110usd"/>
        <s v="≥200usd以上"/>
        <s v="30~40usd"/>
        <s v="50~60usd"/>
        <s v="190~200usd"/>
        <s v="180~190usd"/>
        <s v="60~70usd"/>
        <s v="140~150usd"/>
        <s v="150~160usd"/>
        <s v="110~120usd"/>
        <s v="160~170usd"/>
        <s v="40~50usd"/>
        <s v="170~180usd"/>
        <s v="120~130usd"/>
        <s v="70~80usd"/>
        <s v="130~140usd"/>
        <s v="0~10usd"/>
      </sharedItems>
    </cacheField>
    <cacheField name="上架时间" numFmtId="0">
      <sharedItems count="7">
        <s v="≥3年以上"/>
        <s v="1年半~2年"/>
        <s v="2年半~3年"/>
        <s v="1年~1年半"/>
        <s v="半年-1年"/>
        <s v="2年~2年半"/>
        <s v="半年"/>
      </sharedItems>
    </cacheField>
    <cacheField name="评分区间" numFmtId="0">
      <sharedItems count="6">
        <s v="4.5~4.8"/>
        <s v="4.2~4.5"/>
        <s v="4~4.2"/>
        <s v="4.8~5"/>
        <s v="3~4"/>
        <s v="1~2"/>
      </sharedItems>
    </cacheField>
    <cacheField name="评论数区间" numFmtId="0">
      <sharedItems count="7">
        <s v="≥1000"/>
        <s v="800-1000"/>
        <s v="300-500"/>
        <s v="500-800"/>
        <s v="0-50"/>
        <s v="100-300"/>
        <s v="50-100"/>
      </sharedItems>
    </cacheField>
    <cacheField name="计数" numFmtId="0">
      <sharedItems containsSemiMixedTypes="0" containsString="0" containsNumber="1" containsInteger="1" minValue="0" maxValue="1" count="1">
        <n v="1"/>
      </sharedItems>
    </cacheField>
    <cacheField name="近30天销量" numFmtId="3">
      <sharedItems containsSemiMixedTypes="0" containsString="0" containsNumber="1" containsInteger="1" minValue="0" maxValue="32023" count="100">
        <n v="32023"/>
        <n v="23043"/>
        <n v="11952"/>
        <n v="9323"/>
        <n v="20869"/>
        <n v="21741"/>
        <n v="11474"/>
        <n v="5301"/>
        <n v="8734"/>
        <n v="6319"/>
        <n v="5498"/>
        <n v="9972"/>
        <n v="4279"/>
        <n v="7579"/>
        <n v="1372"/>
        <n v="5320"/>
        <n v="2970"/>
        <n v="4224"/>
        <n v="2980"/>
        <n v="1574"/>
        <n v="3245"/>
        <n v="3280"/>
        <n v="2153"/>
        <n v="2205"/>
        <n v="2946"/>
        <n v="17432"/>
        <n v="1488"/>
        <n v="1034"/>
        <n v="3991"/>
        <n v="2695"/>
        <n v="2032"/>
        <n v="2305"/>
        <n v="622"/>
        <n v="1381"/>
        <n v="1341"/>
        <n v="985"/>
        <n v="922"/>
        <n v="1815"/>
        <n v="837"/>
        <n v="1962"/>
        <n v="1850"/>
        <n v="1583"/>
        <n v="936"/>
        <n v="1895"/>
        <n v="1535"/>
        <n v="1712"/>
        <n v="1757"/>
        <n v="702"/>
        <n v="1109"/>
        <n v="1487"/>
        <n v="452"/>
        <n v="872"/>
        <n v="1006"/>
        <n v="1104"/>
        <n v="1121"/>
        <n v="667"/>
        <n v="882"/>
        <n v="398"/>
        <n v="817"/>
        <n v="869"/>
        <n v="949"/>
        <n v="891"/>
        <n v="531"/>
        <n v="814"/>
        <n v="768"/>
        <n v="1180"/>
        <n v="704"/>
        <n v="532"/>
        <n v="492"/>
        <n v="1235"/>
        <n v="666"/>
        <n v="418"/>
        <n v="600"/>
        <n v="500"/>
        <n v="981"/>
        <n v="1010"/>
        <n v="231"/>
        <n v="540"/>
        <n v="585"/>
        <n v="372"/>
        <n v="815"/>
        <n v="3104"/>
        <n v="234"/>
        <n v="577"/>
        <n v="561"/>
        <n v="241"/>
        <n v="956"/>
        <n v="406"/>
        <n v="3836"/>
        <n v="510"/>
        <n v="589"/>
        <n v="555"/>
        <n v="851"/>
        <n v="309"/>
        <n v="578"/>
        <n v="365"/>
        <n v="610"/>
        <n v="216"/>
        <n v="490"/>
        <n v="363"/>
      </sharedItems>
    </cacheField>
    <cacheField name="近30天销售额($)" numFmtId="3">
      <sharedItems containsSemiMixedTypes="0" containsString="0" containsNumber="1" minValue="0" maxValue="2880468.8" count="100">
        <n v="2880468.8"/>
        <n v="1842979.2"/>
        <n v="1314122.4"/>
        <n v="1025063.8"/>
        <n v="2294964"/>
        <n v="1956472.5"/>
        <n v="2294685.2"/>
        <n v="211987"/>
        <n v="521681.8"/>
        <n v="1263484"/>
        <n v="489816.8"/>
        <n v="1994300.4"/>
        <n v="342277.2"/>
        <n v="1136774.2"/>
        <n v="150892.56"/>
        <n v="850934"/>
        <n v="858330"/>
        <n v="675797.8"/>
        <n v="297970.2"/>
        <n v="62409.1"/>
        <n v="389367.53"/>
        <n v="721436"/>
        <n v="516698.47"/>
        <n v="352777.97"/>
        <n v="117810.55"/>
        <n v="871425.7"/>
        <n v="133905.11"/>
        <n v="185086"/>
        <n v="279330.1"/>
        <n v="170485.7"/>
        <n v="132059.67"/>
        <n v="161326.94"/>
        <n v="33469.82"/>
        <n v="170097.77"/>
        <n v="107266.586"/>
        <n v="196990.16"/>
        <n v="166697.61"/>
        <n v="326681.88"/>
        <n v="40644.723"/>
        <n v="88074.18"/>
        <n v="277481.5"/>
        <n v="126624.164"/>
        <n v="93590.64"/>
        <n v="360031.06"/>
        <n v="184184.64"/>
        <n v="178048"/>
        <n v="208081.52"/>
        <n v="161452.98"/>
        <n v="70920.555"/>
        <n v="178425.12"/>
        <n v="24335.68"/>
        <n v="113351.28"/>
        <n v="48257.82"/>
        <n v="88308.96"/>
        <n v="40221.48"/>
        <n v="53353.33"/>
        <n v="88191.18"/>
        <n v="33833.98"/>
        <n v="81691.83"/>
        <n v="90376"/>
        <n v="81272.36"/>
        <n v="80635.5"/>
        <n v="43127.82"/>
        <n v="131452.86"/>
        <n v="107512.33"/>
        <n v="117988.195"/>
        <n v="111900.8"/>
        <n v="34968.363"/>
        <n v="18691.08"/>
        <n v="185237.66"/>
        <n v="126533.34"/>
        <n v="41540.84"/>
        <n v="71994"/>
        <n v="28425"/>
        <n v="117710.19"/>
        <n v="85829.805"/>
        <n v="43887.69"/>
        <n v="55614.598"/>
        <n v="76044.16"/>
        <n v="27505.682"/>
        <n v="122241.85"/>
        <n v="207129.94"/>
        <n v="21993.66"/>
        <n v="35623.98"/>
        <n v="72369"/>
        <n v="16867.59"/>
        <n v="334552.22"/>
        <n v="54805.94"/>
        <n v="22478.96"/>
        <n v="60894"/>
        <n v="53004.11"/>
        <n v="49944.45"/>
        <n v="93601.484"/>
        <n v="15357.3"/>
        <n v="35830.223"/>
        <n v="54746.35"/>
        <n v="30493.9"/>
        <n v="12627.359"/>
        <n v="112695.1"/>
        <n v="65321.848"/>
      </sharedItems>
    </cacheField>
    <cacheField name="价格($)" numFmtId="4">
      <sharedItems containsSemiMixedTypes="0" containsString="0" containsNumber="1" minValue="0" maxValue="329.99" count="72">
        <n v="89.95"/>
        <n v="99.99"/>
        <n v="109.95"/>
        <n v="109.97"/>
        <n v="89.99"/>
        <n v="225"/>
        <n v="39.99"/>
        <n v="59.77"/>
        <n v="199.95"/>
        <n v="89.09"/>
        <n v="187"/>
        <n v="67.99"/>
        <n v="149.99"/>
        <n v="109.98"/>
        <n v="159.95"/>
        <n v="289"/>
        <n v="159.99"/>
        <n v="39.65"/>
        <n v="119.99"/>
        <n v="219.95"/>
        <n v="329.99"/>
        <n v="163"/>
        <n v="49.99"/>
        <n v="149.95"/>
        <n v="179"/>
        <n v="69.99"/>
        <n v="63.26"/>
        <n v="64.99"/>
        <n v="53.81"/>
        <n v="123.17"/>
        <n v="79.99"/>
        <n v="199.99"/>
        <n v="180.8"/>
        <n v="179.99"/>
        <n v="48.56"/>
        <n v="44.89"/>
        <n v="189.99"/>
        <n v="104"/>
        <n v="118.43"/>
        <n v="229.99"/>
        <n v="79.95"/>
        <n v="73.72"/>
        <n v="169.99"/>
        <n v="47.97"/>
        <n v="35.88"/>
        <n v="84.99"/>
        <n v="85.01"/>
        <n v="85.66"/>
        <n v="90.5"/>
        <n v="81.22"/>
        <n v="161.49"/>
        <n v="139.99"/>
        <n v="158.95"/>
        <n v="65.73"/>
        <n v="37.99"/>
        <n v="56.85"/>
        <n v="239.99"/>
        <n v="102.99"/>
        <n v="129.99"/>
        <n v="66.73"/>
        <n v="93.99"/>
        <n v="61.74"/>
        <n v="129"/>
        <n v="279.95"/>
        <n v="134.99"/>
        <n v="5.86"/>
        <n v="119.4"/>
        <n v="109.99"/>
        <n v="49.7"/>
        <n v="61.99"/>
        <n v="58.46"/>
        <n v="179.95"/>
      </sharedItems>
    </cacheField>
    <cacheField name="毛利率" numFmtId="176">
      <sharedItems containsSemiMixedTypes="0" containsString="0" containsNumber="1" minValue="0" maxValue="0.85" count="97">
        <n v="0.6578"/>
        <n v="0.6128"/>
        <n v="0.6431"/>
        <n v="0.6698"/>
        <n v="0.666"/>
        <n v="0.6672"/>
        <n v="0.7194"/>
        <n v="0.5017"/>
        <n v="0.5535"/>
        <n v="0.7341"/>
        <n v="0.6229"/>
        <n v="0.7362"/>
        <n v="0.6391"/>
        <n v="0.7179"/>
        <n v="0.7262"/>
        <n v="0.7451"/>
        <n v="0.6684"/>
        <n v="0.6435"/>
        <n v="0.5093"/>
        <n v="0.6744"/>
        <n v="0.716"/>
        <n v="0.7342"/>
        <n v="0.6973"/>
        <n v="0.4807"/>
        <n v="0.5881"/>
        <n v="0.7018"/>
        <n v="0.615"/>
        <n v="0.5302"/>
        <n v="0.6357"/>
        <n v="0.5443"/>
        <n v="0.6789"/>
        <n v="0.5761"/>
        <n v="0.7677"/>
        <n v="0.7242"/>
        <n v="0.7096"/>
        <n v="0.5545"/>
        <n v="0.5023"/>
        <n v="0.6283"/>
        <n v="0.5919"/>
        <n v="0.5259"/>
        <n v="0.6772"/>
        <n v="0.6814"/>
        <n v="0.6555"/>
        <n v="0.665"/>
        <n v="0.7529"/>
        <n v="0.5928"/>
        <n v="0.6919"/>
        <n v="0.4977"/>
        <n v="0.6621"/>
        <n v="0.5711"/>
        <n v="0.6129"/>
        <n v="0.5086"/>
        <n v="0.6181"/>
        <n v="0.6351"/>
        <n v="0.5478"/>
        <n v="0.6358"/>
        <n v="0.5909"/>
        <n v="0.5844"/>
        <n v="0.6543"/>
        <n v="0.5958"/>
        <n v="0.7065"/>
        <n v="0.6875"/>
        <n v="0.6603"/>
        <n v="0.7122"/>
        <n v="0.6061"/>
        <n v="0.6444"/>
        <n v="0.7235"/>
        <n v="0.728"/>
        <n v="0.6591"/>
        <n v="0.6149"/>
        <n v="0.5163"/>
        <n v="0.6884"/>
        <n v="0.5922"/>
        <n v="0.6949"/>
        <n v="0.6332"/>
        <n v="0.6491"/>
        <n v="0.5821"/>
        <n v="0.7291"/>
        <n v="0.5405"/>
        <n v="0.599"/>
        <n v="0.5496"/>
        <n v="0.6509"/>
        <n v="0.537"/>
        <n v="0.7634"/>
        <n v="0.6752"/>
        <n v="0.85"/>
        <n v="0.6288"/>
        <n v="0.5972"/>
        <n v="0.5599"/>
        <n v="0.689"/>
        <n v="0.5444"/>
        <n v="0.4898"/>
        <n v="0.6479"/>
        <n v="0.5629"/>
        <n v="0.5542"/>
        <n v="0.7219"/>
        <n v="0.7212"/>
      </sharedItems>
    </cacheField>
    <cacheField name="FBA($)" numFmtId="4">
      <sharedItems containsString="0" containsBlank="1" containsNumber="1" minValue="0" maxValue="33.25" count="44">
        <n v="17.29"/>
        <n v="18.97"/>
        <n v="22.75"/>
        <n v="19.81"/>
        <n v="20.23"/>
        <n v="16.45"/>
        <n v="26.11"/>
        <n v="13.93"/>
        <n v="17.71"/>
        <n v="23.17"/>
        <n v="16.87"/>
        <n v="30.31"/>
        <n v="29.05"/>
        <n v="20.65"/>
        <n v="13.51"/>
        <n v="21.07"/>
        <n v="29.47"/>
        <n v="27.79"/>
        <n v="24.43"/>
        <n v="14.77"/>
        <n v="13.09"/>
        <n v="26.53"/>
        <n v="21.91"/>
        <n v="25.27"/>
        <n v="14.35"/>
        <n v="15.61"/>
        <n v="33.25"/>
        <n v="32.41"/>
        <n v="32.83"/>
        <n v="22.33"/>
        <n v="12.25"/>
        <n v="18.55"/>
        <n v="21.49"/>
        <n v="25.69"/>
        <n v="24.85"/>
        <n v="26.95"/>
        <n v="16.03"/>
        <n v="7.81"/>
        <n v="28.21"/>
        <n v="19.39"/>
        <n v="18.13"/>
        <n v="23.59"/>
        <m/>
        <n v="15.19"/>
      </sharedItems>
    </cacheField>
    <cacheField name="评分" numFmtId="177">
      <sharedItems containsSemiMixedTypes="0" containsString="0" containsNumber="1" minValue="0" maxValue="5" count="13">
        <n v="4.8"/>
        <n v="4.7"/>
        <n v="4.6"/>
        <n v="4.5"/>
        <n v="4.4"/>
        <n v="4.3"/>
        <n v="4.1"/>
        <n v="5"/>
        <n v="4.2"/>
        <n v="4"/>
        <n v="4.9"/>
        <n v="2"/>
        <n v="3.9"/>
      </sharedItems>
    </cacheField>
    <cacheField name="评分数" numFmtId="3">
      <sharedItems containsSemiMixedTypes="0" containsString="0" containsNumber="1" containsInteger="1" minValue="0" maxValue="59811" count="99">
        <n v="48820"/>
        <n v="15150"/>
        <n v="59811"/>
        <n v="13752"/>
        <n v="12358"/>
        <n v="18755"/>
        <n v="5424"/>
        <n v="29723"/>
        <n v="875"/>
        <n v="18050"/>
        <n v="8480"/>
        <n v="24097"/>
        <n v="382"/>
        <n v="16093"/>
        <n v="4736"/>
        <n v="18506"/>
        <n v="2118"/>
        <n v="2434"/>
        <n v="7320"/>
        <n v="5147"/>
        <n v="10832"/>
        <n v="33409"/>
        <n v="764"/>
        <n v="13970"/>
        <n v="21089"/>
        <n v="2387"/>
        <n v="1069"/>
        <n v="10571"/>
        <n v="40740"/>
        <n v="33005"/>
        <n v="2910"/>
        <n v="1929"/>
        <n v="8"/>
        <n v="5601"/>
        <n v="1421"/>
        <n v="167"/>
        <n v="2574"/>
        <n v="2738"/>
        <n v="17288"/>
        <n v="274"/>
        <n v="5162"/>
        <n v="2411"/>
        <n v="1109"/>
        <n v="10554"/>
        <n v="15447"/>
        <n v="7450"/>
        <n v="3064"/>
        <n v="469"/>
        <n v="1535"/>
        <n v="5423"/>
        <n v="3489"/>
        <n v="203"/>
        <n v="16382"/>
        <n v="12125"/>
        <n v="6569"/>
        <n v="268"/>
        <n v="289"/>
        <n v="627"/>
        <n v="7786"/>
        <n v="3107"/>
        <n v="10891"/>
        <n v="807"/>
        <n v="55"/>
        <n v="15778"/>
        <n v="3116"/>
        <n v="914"/>
        <n v="1887"/>
        <n v="1245"/>
        <n v="1289"/>
        <n v="2734"/>
        <n v="2334"/>
        <n v="2141"/>
        <n v="121"/>
        <n v="11972"/>
        <n v="13845"/>
        <n v="11"/>
        <n v="2593"/>
        <n v="1422"/>
        <n v="806"/>
        <n v="66"/>
        <n v="6211"/>
        <n v="1506"/>
        <n v="15252"/>
        <n v="7603"/>
        <n v="547"/>
        <n v="1271"/>
        <n v="1772"/>
        <n v="64"/>
        <n v="199"/>
        <n v="7326"/>
        <n v="5402"/>
        <n v="848"/>
        <n v="1625"/>
        <n v="239"/>
        <n v="2652"/>
        <n v="357"/>
        <n v="4355"/>
        <n v="731"/>
        <n v="1122"/>
      </sharedItems>
    </cacheField>
    <cacheField name="留评率" numFmtId="178">
      <sharedItems containsSemiMixedTypes="0" containsString="0" containsNumber="1" minValue="0" maxValue="1" count="87">
        <n v="0.1977"/>
        <n v="0"/>
        <n v="0.0664"/>
        <n v="0.0452"/>
        <n v="0.0319"/>
        <n v="0.0295"/>
        <n v="0.0681"/>
        <n v="0.0071"/>
        <n v="0.0745"/>
        <n v="0.0349"/>
        <n v="0.0355"/>
        <n v="0.0327"/>
        <n v="0.0289"/>
        <n v="0.0596"/>
        <n v="0.0572"/>
        <n v="0.0725"/>
        <n v="0.2255"/>
        <n v="0.0961"/>
        <n v="0.0518"/>
        <n v="0.0446"/>
        <n v="0.0807"/>
        <n v="0.1198"/>
        <n v="0.0296"/>
        <n v="0.1644"/>
        <n v="0.0661"/>
        <n v="0.082"/>
        <n v="0.0679"/>
        <n v="0.0364"/>
        <n v="0.0113"/>
        <n v="0.0311"/>
        <n v="0.0388"/>
        <n v="0.0488"/>
        <n v="0.0512"/>
        <n v="0.1649"/>
        <n v="0.2941"/>
        <n v="0.0537"/>
        <n v="0.0342"/>
        <n v="0.0686"/>
        <n v="0.058"/>
        <n v="0.0567"/>
        <n v="0.0711"/>
        <n v="0.0969"/>
        <n v="0.0541"/>
        <n v="0.0585"/>
        <n v="0.0796"/>
        <n v="0.1399"/>
        <n v="0.0736"/>
        <n v="0.173"/>
        <n v="0.6191"/>
        <n v="0.1139"/>
        <n v="0.0658"/>
        <n v="0.0528"/>
        <n v="0.0771"/>
        <n v="0.0357"/>
        <n v="0.1201"/>
        <n v="0.0864"/>
        <n v="0.0075"/>
        <n v="0.0676"/>
        <n v="0.1237"/>
        <n v="0.0534"/>
        <n v="0.0483"/>
        <n v="0.0639"/>
        <n v="1"/>
        <n v="0.0672"/>
        <n v="0.0766"/>
        <n v="0.0617"/>
        <n v="0.038"/>
        <n v="0.0306"/>
        <n v="0.095"/>
        <n v="0.0433"/>
        <n v="0.0963"/>
        <n v="0.1111"/>
        <n v="0.1075"/>
        <n v="0.0282"/>
        <n v="0.0409"/>
        <n v="0.1265"/>
        <n v="0.1123"/>
        <n v="0.0102"/>
        <n v="0.0471"/>
        <n v="0.1511"/>
        <n v="0.1207"/>
        <n v="0.027"/>
        <n v="0.1553"/>
        <n v="0.0848"/>
        <n v="0.1288"/>
        <n v="0.0741"/>
        <n v="0.1061"/>
      </sharedItems>
    </cacheField>
    <cacheField name="月新增_x000a_评分数" numFmtId="3">
      <sharedItems containsSemiMixedTypes="0" containsString="0" containsNumber="1" containsInteger="1" minValue="0" maxValue="6330" count="81">
        <n v="6330"/>
        <n v="0"/>
        <n v="794"/>
        <n v="421"/>
        <n v="693"/>
        <n v="338"/>
        <n v="361"/>
        <n v="62"/>
        <n v="471"/>
        <n v="192"/>
        <n v="354"/>
        <n v="140"/>
        <n v="219"/>
        <n v="3055"/>
        <n v="317"/>
        <n v="170"/>
        <n v="216"/>
        <n v="355"/>
        <n v="312"/>
        <n v="96"/>
        <n v="178"/>
        <n v="353"/>
        <n v="44"/>
        <n v="264"/>
        <n v="221"/>
        <n v="138"/>
        <n v="84"/>
        <n v="7"/>
        <n v="43"/>
        <n v="52"/>
        <n v="45"/>
        <n v="93"/>
        <n v="61"/>
        <n v="544"/>
        <n v="85"/>
        <n v="32"/>
        <n v="130"/>
        <n v="89"/>
        <n v="97"/>
        <n v="125"/>
        <n v="68"/>
        <n v="60"/>
        <n v="87"/>
        <n v="36"/>
        <n v="122"/>
        <n v="74"/>
        <n v="191"/>
        <n v="694"/>
        <n v="76"/>
        <n v="58"/>
        <n v="21"/>
        <n v="63"/>
        <n v="31"/>
        <n v="114"/>
        <n v="77"/>
        <n v="4"/>
        <n v="55"/>
        <n v="95"/>
        <n v="34"/>
        <n v="492"/>
        <n v="83"/>
        <n v="997"/>
        <n v="37"/>
        <n v="19"/>
        <n v="30"/>
        <n v="10"/>
        <n v="65"/>
        <n v="40"/>
        <n v="23"/>
        <n v="127"/>
        <n v="358"/>
        <n v="73"/>
        <n v="16"/>
        <n v="59"/>
        <n v="39"/>
        <n v="24"/>
        <n v="67"/>
        <n v="48"/>
        <n v="49"/>
        <n v="47"/>
        <n v="28"/>
      </sharedItems>
    </cacheField>
    <cacheField name="Q&amp;A数" numFmtId="3">
      <sharedItems containsString="0" containsBlank="1" containsNumber="1" containsInteger="1" minValue="0" maxValue="965" count="9">
        <m/>
        <n v="427"/>
        <n v="26"/>
        <n v="163"/>
        <n v="965"/>
        <n v="680"/>
        <n v="73"/>
        <n v="130"/>
        <n v="3"/>
      </sharedItems>
    </cacheField>
    <cacheField name="评级" numFmtId="0">
      <sharedItems count="6">
        <s v="C"/>
        <s v="D"/>
        <s v="B"/>
        <s v="A"/>
        <s v=""/>
        <s v="F"/>
      </sharedItems>
    </cacheField>
    <cacheField name="上架时间2" numFmtId="0">
      <sharedItems count="93">
        <s v="2018-08-13"/>
        <s v="2021-08-22"/>
        <s v="2019-08-20"/>
        <s v="2021-06-04"/>
        <s v="2020-05-26"/>
        <s v="2020-07-12"/>
        <s v="2021-07-30"/>
        <s v="2019-11-07"/>
        <s v="2021-11-29"/>
        <s v="2020-09-01"/>
        <s v="2017-09-25"/>
        <s v="2019-07-25"/>
        <s v="2022-06-09"/>
        <s v="2019-07-05"/>
        <s v="2022-07-19"/>
        <s v="2021-07-26"/>
        <s v="2021-03-02"/>
        <s v="2020-08-20"/>
        <s v="2019-12-09"/>
        <s v="2019-07-26"/>
        <s v="2021-10-08"/>
        <s v="2019-02-11"/>
        <s v="2019-02-01"/>
        <s v="2023-03-17"/>
        <s v="2021-04-01"/>
        <s v="2020-04-07"/>
        <s v="2018-01-29"/>
        <s v="2017-11-07"/>
        <s v="2020-12-15"/>
        <s v="2020-07-13"/>
        <s v="2023-03-01"/>
        <s v="2018-12-11"/>
        <s v="2020-11-30"/>
        <s v="2022-09-22"/>
        <s v="2018-07-30"/>
        <s v="2020-10-12"/>
        <s v="2019-03-29"/>
        <s v="2022-03-07"/>
        <s v="2020-11-21"/>
        <s v="2021-04-16"/>
        <s v="2022-04-13"/>
        <s v="2019-09-01"/>
        <s v="2019-11-01"/>
        <s v="2020-06-03"/>
        <s v="2021-09-28"/>
        <s v="2021-08-06"/>
        <s v="2021-07-05"/>
        <s v="2020-08-11"/>
        <s v="2019-07-22"/>
        <s v="2022-09-24"/>
        <s v="2017-09-02"/>
        <s v="2019-08-27"/>
        <s v="2020-04-28"/>
        <s v="2022-08-22"/>
        <s v="2022-04-25"/>
        <s v="2021-02-19"/>
        <s v="2019-09-19"/>
        <s v="2018-10-10"/>
        <s v="2020-12-22"/>
        <s v="2020-11-09"/>
        <s v="2020-05-15"/>
        <s v="2021-08-05"/>
        <s v="2022-07-22"/>
        <s v="2019-09-04"/>
        <s v="2016-08-29"/>
        <s v="2020-11-12"/>
        <s v="2022-09-13"/>
        <s v="2020-12-03"/>
        <s v="2019-11-08"/>
        <s v="2022-09-21"/>
        <s v="2018-08-20"/>
        <s v="2022-09-05"/>
        <s v="2019-11-18"/>
        <s v="2023-01-01"/>
        <s v="2020-08-18"/>
        <s v="2021-08-30"/>
        <s v="2022-06-08"/>
        <s v="2017-03-31"/>
        <s v="2020-10-08"/>
        <s v="2016-08-11"/>
        <s v="2020-03-30"/>
        <s v="2020-01-29"/>
        <s v="2022-06-10"/>
        <s v="2016-03-26"/>
        <s v="2022-04-15"/>
        <s v="2020-04-14"/>
        <s v="2020-04-30"/>
        <s v="2021-06-27"/>
        <s v="2021-05-30"/>
        <s v="2022-08-09"/>
        <s v="2020-09-08"/>
        <s v="2022-06-24"/>
        <s v="2021-06-01"/>
      </sharedItems>
    </cacheField>
    <cacheField name="上架天数" numFmtId="3">
      <sharedItems containsSemiMixedTypes="0" containsString="0" containsNumber="1" containsInteger="1" minValue="0" maxValue="2557" count="93">
        <n v="1687"/>
        <n v="582"/>
        <n v="1315"/>
        <n v="661"/>
        <n v="1035"/>
        <n v="988"/>
        <n v="605"/>
        <n v="1236"/>
        <n v="483"/>
        <n v="937"/>
        <n v="2009"/>
        <n v="1341"/>
        <n v="291"/>
        <n v="1361"/>
        <n v="251"/>
        <n v="609"/>
        <n v="755"/>
        <n v="949"/>
        <n v="1204"/>
        <n v="1340"/>
        <n v="535"/>
        <n v="1505"/>
        <n v="1515"/>
        <n v="10"/>
        <n v="725"/>
        <n v="1084"/>
        <n v="1883"/>
        <n v="1966"/>
        <n v="832"/>
        <n v="987"/>
        <n v="26"/>
        <n v="1567"/>
        <n v="847"/>
        <n v="186"/>
        <n v="1701"/>
        <n v="896"/>
        <n v="1459"/>
        <n v="385"/>
        <n v="856"/>
        <n v="710"/>
        <n v="348"/>
        <n v="1303"/>
        <n v="1242"/>
        <n v="1027"/>
        <n v="545"/>
        <n v="597"/>
        <n v="630"/>
        <n v="958"/>
        <n v="1344"/>
        <n v="184"/>
        <n v="2032"/>
        <n v="1308"/>
        <n v="1063"/>
        <n v="217"/>
        <n v="336"/>
        <n v="766"/>
        <n v="1285"/>
        <n v="1629"/>
        <n v="825"/>
        <n v="868"/>
        <n v="1046"/>
        <n v="599"/>
        <n v="248"/>
        <n v="1300"/>
        <n v="2401"/>
        <n v="865"/>
        <n v="195"/>
        <n v="844"/>
        <n v="1235"/>
        <n v="187"/>
        <n v="1680"/>
        <n v="203"/>
        <n v="1225"/>
        <n v="85"/>
        <n v="951"/>
        <n v="574"/>
        <n v="292"/>
        <n v="2187"/>
        <n v="900"/>
        <n v="2419"/>
        <n v="1092"/>
        <n v="1153"/>
        <n v="290"/>
        <n v="2557"/>
        <n v="346"/>
        <n v="1077"/>
        <n v="1061"/>
        <n v="638"/>
        <n v="666"/>
        <n v="230"/>
        <n v="930"/>
        <n v="276"/>
        <n v="664"/>
      </sharedItems>
    </cacheField>
    <cacheField name="变体数" numFmtId="3">
      <sharedItems containsSemiMixedTypes="0" containsString="0" containsNumber="1" containsInteger="1" minValue="0" maxValue="5" count="4">
        <n v="1"/>
        <n v="5"/>
        <n v="4"/>
        <n v="3"/>
      </sharedItems>
    </cacheField>
    <cacheField name="卖家数" numFmtId="3">
      <sharedItems containsSemiMixedTypes="0" containsString="0" containsNumber="1" containsInteger="1" minValue="0" maxValue="31" count="19">
        <n v="12"/>
        <n v="1"/>
        <n v="5"/>
        <n v="3"/>
        <n v="4"/>
        <n v="2"/>
        <n v="7"/>
        <n v="10"/>
        <n v="16"/>
        <n v="8"/>
        <n v="14"/>
        <n v="9"/>
        <n v="15"/>
        <n v="17"/>
        <n v="23"/>
        <n v="6"/>
        <n v="18"/>
        <n v="31"/>
        <n v="22"/>
      </sharedItems>
    </cacheField>
    <cacheField name="Buybox卖家" numFmtId="0">
      <sharedItems count="28">
        <s v=""/>
        <s v="Amazon"/>
        <s v="charmantroom"/>
        <s v="Innovation IQ"/>
        <s v="TienditaGarza"/>
        <s v="Kalorik LLC"/>
        <s v="Ultrean Inc"/>
        <s v="FLD-FRYER"/>
        <s v="Nekteck Direct"/>
        <s v="Woot"/>
        <s v="VILIWIN Store"/>
        <s v="RBU2017UTEN US"/>
        <s v="THE REAL DEAL"/>
        <s v="BAISELLER"/>
        <s v="DEIME Inc."/>
        <s v="Amazon.com"/>
        <s v="CYBER OUTLET"/>
        <s v="Wotoh Wholesale"/>
        <s v="Tyche-Home Kitchen Small Appliance"/>
        <s v="GOKUL ProLife Store"/>
        <s v="ICONITESUE Official"/>
        <s v="Lillomcom"/>
        <s v="Kitchen Kapers"/>
        <s v="HEROIC SUPPORT LIMITED"/>
        <s v="ZZLJSMY"/>
        <s v="KOOC Official"/>
        <s v="ningboyanxi"/>
        <s v="Easi Life Store"/>
      </sharedItems>
    </cacheField>
    <cacheField name="卖家所属地" numFmtId="0">
      <sharedItems count="4">
        <s v=""/>
        <s v="US"/>
        <s v="CN"/>
        <s v="CN(HK)"/>
      </sharedItems>
    </cacheField>
    <cacheField name="卖家信息" numFmtId="0">
      <sharedItems count="24">
        <s v=""/>
        <s v="公司名称：Spectrum Brands, Inc_x000a_办公地址：_x000a_2620 Westview Drive_x000a_"/>
        <s v="公司名称：TIENDITAGARZA_x000a_办公地址：_x000a_25 Deming Street_x000a_South Windsor_x000a_CT_x000a_06074_x000a_US_x000a_"/>
        <s v="公司名称：Kalorik LLC_x000a_办公地址：_x000a_16175 NW 49th Avenue_x000a_Miami Gardens_x000a_FL_x000a_33014_x000a_US_x000a_"/>
        <s v="公司名称：Ultrean, Inc._x000a_办公地址：_x000a_848 N RAINBOW BLVD STE 9027_x000a_"/>
        <s v="公司名称：zhejiangjinhuafulangdegongmaoyouxiangongsi_x000a_办公地址：_x000a_岭下朱工业功能区_x000a_浙江宁远工贸有限公司内3号厂房_x000a_金华_x000a_金东_x000a_浙江_x000a_321015_x000a_CN_x000a_"/>
        <s v="公司名称：Nekteck, Inc._x000a_办公地址：_x000a_556 Vanguard Way D_x000a_"/>
        <s v="公司名称：Woot Inc_x000a_办公地址：_x000a_4121 International Parkway_x000a_"/>
        <s v="公司名称：STAND LUCK CORPORATION LIMITED_x000a_办公地址：_x000a_NO.165-171 WAN CHAI ROAD_x000a_LUCKY CENTER FLAT/RM 1506 15/F_x000a_WAN CHAI_x000a_HK_x000a_999077_x000a_HK_x000a_"/>
        <s v="公司名称：RBU INTERNATIONAL LTD_x000a_办公地址：_x000a_1521 E Francis St. Unit A_x000a_"/>
        <s v="公司名称：BG GROUP LLC_x000a_电话号码：567-303-3345_x000a_办公地址：_x000a_402 N 37th Dr_x000a_Suite 101_x000a_Phoenix_x000a_AZ_x000a_85009_x000a_US_x000a_"/>
        <s v="公司名称：GUANGZHOUSHI SAIYUNYIQI YOUXIANGONGSI_x000a_办公地址：_x000a_BAIYUNQU TONGHELU NO329_x000a_ROOM217_x000a_GUANGZHOU_x000a_GUANGDONG_x000a_510000_x000a_CN_x000a_"/>
        <s v="公司名称：Ningbo Runchenningjia Dianqi Youxian Gongsi_x000a_办公地址：_x000a_庵东镇工业园区纬三路128号_x000a_宁波_x000a_杭州湾新区_x000a_浙江省_x000a_315336_x000a_CN_x000a_"/>
        <s v="公司名称：selectronics inc._x000a_办公地址：_x000a_4801 Staunton Avenue_x000a_"/>
        <s v="公司名称：Lead Emporium LLC_x000a_办公地址：_x000a_1280 Horseshoe Trl_x000a_Phoenixville_x000a_PA_x000a_19460_x000a_US_x000a_"/>
        <s v="公司名称：ZHONGSHAN TAIKEXUN ELECTRICAL APPLIANCES CO.,LTD_x000a_办公地址：_x000a_xiaolanzhenshengpingdonglu1haohaigangcheng(shangyezhulou)_x000a_"/>
        <s v="公司名称：Gokul Toyal Information Technology Company Limited_x000a_办公地址：_x000a_UNIT 1701,17/F CAROLINE CTR 28 YUN PING RD CAUSEWAY BAY_x000a_HONG KONG_x000a_HONG KONG_x000a_999077_x000a_HK_x000a_"/>
        <s v="公司名称：yunchengshiyanhuquleqiuqiudianzishangwultd_x000a_办公地址：_x000a_人民南路制版小区8号楼802_x000a_运城市_x000a_盐湖区_x000a_山西省_x000a_044000_x000a_CN_x000a_"/>
        <s v="公司名称：suzhoudaketexinxikejiyouxiangongsi_x000a_办公地址：_x000a_muduzhen mududongmenting shangyeguangchang 10zhuang 320shi_x000a_wuzhongqu_x000a_suzhoushi_x000a_jiangsusheng_x000a_215000_x000a_CN_x000a_"/>
        <s v="公司名称：Kitchen Kapers, Inc_x000a_电话号码：800-455-5567_x000a_办公地址：_x000a_1250 Marlkress Road_x000a_"/>
        <s v="公司名称：HEROIC SUPPORT LIMITED_x000a_办公地址：_x000a_RM D 10/F TOWER A BILLION CTR 1 WANG KWONG RD_x000a_KOWLOON BAY BL_x000a_HONG KONG_x000a_999077_x000a_HK_x000a_"/>
        <s v="公司名称：Suzhou Ruijin Info Technology Co., Ltd_x000a_办公地址：_x000a_Room 1007, Building 2, Runjie Plaza_x000a_"/>
        <s v="公司名称：ningboyanxiriyongpinyouxiangongsi_x000a_办公地址：_x000a_朗海村朗海南路2号_x000a_余姚市_x000a_小曹娥镇_x000a_浙江省_x000a_315400_x000a_CN_x000a_"/>
        <s v="公司名称：Yize Information Technology Company Limited_x000a_办公地址：_x000a_UNIT 2,1/F WAH HUNG CTR 41 HUNG TO RD KWUN TONG KLN_x000a_HONG KONG_x000a_HONG KONG_x000a_999077_x000a_HK_x000a_"/>
      </sharedItems>
    </cacheField>
    <cacheField name="配送方式" numFmtId="0">
      <sharedItems count="3">
        <s v="NA"/>
        <s v="FBA"/>
        <s v="AMZ"/>
      </sharedItems>
    </cacheField>
    <cacheField name="重量" numFmtId="0">
      <sharedItems count="87">
        <s v="10.58 pounds"/>
        <s v="12 pounds"/>
        <s v="19 pounds"/>
        <s v="14.63 pounds"/>
        <s v="12.3 pounds"/>
        <s v="9 pounds"/>
        <s v="19.8 pounds"/>
        <s v="1 pounds"/>
        <s v="8.81 pounds"/>
        <s v="17.86 pounds"/>
        <s v="14.6 pounds"/>
        <s v="18.56 pounds"/>
        <s v="11 pounds"/>
        <s v="21.2 pounds"/>
        <s v="16.24 pounds"/>
        <s v="29.7 pounds"/>
        <s v="21.6 pounds"/>
        <s v="12.8 pounds"/>
        <s v="6.64 pounds"/>
        <s v="14.2 pounds"/>
        <s v="26.04 pounds"/>
        <s v="28.7 pounds"/>
        <s v="15 pounds"/>
        <s v="5.69 pounds"/>
        <s v="4.87 Pounds"/>
        <s v="10 pounds"/>
        <s v="17.2 pounds"/>
        <s v="9.97 pounds"/>
        <s v="0.25 pounds"/>
        <s v="6.98 pounds"/>
        <s v="7.33 pounds"/>
        <s v="11.62 pounds"/>
        <s v="22.05 pounds"/>
        <s v="3.31 pounds"/>
        <s v="8.14 pounds"/>
        <s v="22 pounds"/>
        <s v="20.3 Pounds"/>
        <s v="19.6 pounds"/>
        <s v="17.11 pounds"/>
        <s v="16.28 pounds"/>
        <s v="21.52 pounds"/>
        <s v="8.82 pounds"/>
        <s v="3 pounds"/>
        <s v="14.92 pounds"/>
        <s v="23 pounds"/>
        <s v="5.7 Pounds"/>
        <s v="13.11 pounds"/>
        <s v="5.24 pounds"/>
        <s v="13.87 pounds"/>
        <s v="18.76 pounds"/>
        <s v="20.1 pounds"/>
        <s v="22.6 pounds"/>
        <s v="13.76 Pounds"/>
        <s v="23.4 pounds"/>
        <s v="15.72 pounds"/>
        <s v="27.9 pounds"/>
        <s v="16.31 pounds"/>
        <s v="10.2 pounds"/>
        <s v="15.7 pounds"/>
        <s v="12.5 pounds"/>
        <s v="4.44 Pounds"/>
        <s v="15.42 pounds"/>
        <s v="14 pounds"/>
        <s v="14.02 pounds"/>
        <s v="25.2 pounds"/>
        <s v="12.1 pounds"/>
        <s v="11.9 pounds"/>
        <s v="17.73 Pounds"/>
        <s v="24.2 pounds"/>
        <s v="22.5 pounds"/>
        <s v="15.2 pounds"/>
        <s v="13.45 pounds"/>
        <s v="10.7 pounds"/>
        <s v="17.43 pounds"/>
        <s v="13 pounds"/>
        <s v="25.3 pounds"/>
        <s v="25.4 pounds"/>
        <s v="28.66 Pounds"/>
        <s v="20.94 pounds"/>
        <s v="18.41 pounds"/>
        <s v="25 pounds"/>
        <s v="11.82 pounds"/>
        <s v="9.43 pounds"/>
        <s v="18.21 pounds"/>
        <s v="5 Pounds"/>
        <s v="11.58 pounds"/>
        <s v="15.65 Pounds"/>
      </sharedItems>
    </cacheField>
    <cacheField name="体积" numFmtId="0">
      <sharedItems count="99">
        <s v="8.5 x 12.1 x 11 inches"/>
        <s v="10.8 x 14.4 x 12 inches"/>
        <s v="13.2 x 13.2 x 14.4 inches"/>
        <s v="12.8 x 11.8 x 14.9 inches"/>
        <s v="11.8 x 13.9 x 12 inches"/>
        <s v="10.2 x 13 x 11 inches"/>
        <s v="17.1 x 13.9 x 12.8 inches"/>
        <s v="10.7 x 8.7 x 11.3 inches"/>
        <s v="13.6 x 11.5 x 13.2 inches"/>
        <s v="13.9 x 15.6 x 12.4 inches"/>
        <s v="9 x 9 x 12.5 inches"/>
        <s v="19.7 x 7.6 x 15 inches"/>
        <s v="12.7 x 12.7 x 13.8 inches"/>
        <s v="14 x 11 x 14.8 inches"/>
        <s v="13.5 x 12.7 x 14.9 inches"/>
        <s v="13.8 x 11.8 x 13.4 inches"/>
        <s v="15 x 20 x 20 inches"/>
        <s v="16.3 x 16.9 x 15.5 inches"/>
        <s v="12.8 x 13.5 x 10 inches"/>
        <s v="11 x 8.5 x 10.7 inches"/>
        <s v="11.8 x 12.2 x 14.6 inches"/>
        <s v="16.1 x 14.6 x 14.2 inches"/>
        <s v="19.5 x 17.6 x 11.5 inches"/>
        <s v="20 x 15 x 10 inches"/>
        <s v="9.8 x 9.8 x 12.5 inches"/>
        <s v="10.1&quot;D x 8.3&quot;W x 10.5&quot;H"/>
        <s v="13.1 x 13.1 x 13.8 inches"/>
        <s v="15.7 x 12.5 x 14 inches"/>
        <s v="14.3 x 13.3 x 13 inches"/>
        <s v="13.5 x 12.5 x 11.5 inches"/>
        <s v="8.7 x 10.7 x 11.3 inches"/>
        <s v="11 x 13 x 17 inches"/>
        <s v="14.3 x 12.8 x 12.8 inches"/>
        <s v="13 x 18 x 15 inches"/>
        <s v="9.8 x 16.7 x 9.8 inches"/>
        <s v="12&quot;D x 11.2&quot;W x 12.4&quot;H"/>
        <s v="17.1 x 12.6 x 12.4 inches"/>
        <s v="16.2 x 14 x 13.2 inches"/>
        <s v="10.2 x 10.2 x 14 inches"/>
        <s v="11.8 x 11.8 x 13.2 inches"/>
        <s v="12.99&quot;D x 14.56&quot;W x 11.02&quot;H"/>
        <s v="17&quot;D x 16&quot;W x 14&quot;H"/>
        <s v="20.1 x 16.5 x 12.5 inches"/>
        <s v="11.7 x 11.7 x 14 inches"/>
        <s v="15.1 x 16.5 x 13.1 inches"/>
        <s v="12 x 14 x 13 inches"/>
        <s v="15.3 x 20.2 x 8.1 inches"/>
        <s v="11.5 x 11.5 x 12.2 inches"/>
        <s v="14&quot;D x 13&quot;W x 14.5&quot;H"/>
        <s v="14.4 x 14.2 x 11.8 inches"/>
        <s v="15.4 x 14.6 x 13.4 inches"/>
        <s v="8.1&quot;D x 10.2&quot;W x 11.4&quot;H"/>
        <s v="11.8 x 11.8 x 14.5 inches"/>
        <s v="7.8 x 7.8 x 8 inches"/>
        <s v="10.6 x 10.8 x 13 inches"/>
        <s v="17.7 x 11.8 x 15.7 inches"/>
        <s v="18.25 x 17.25 x 17 inches"/>
        <s v="18 x 17.18 x 16.6 inches"/>
        <s v="10.5&quot;D x 10.5&quot;W x 13&quot;H"/>
        <s v="11.5 x 12 x 14 inches"/>
        <s v="13.4 x 15.5 x 15.5 inches"/>
        <s v="12 x 11 x 13.5 inches"/>
        <s v="13 x 15.4 x 16.9 inches"/>
        <s v="10 x 20 x 13 inches"/>
        <s v="14 x 11 x 13 inches"/>
        <s v="7.6 x 19.7 x 15 inches"/>
        <s v="8.9 x 14 x 13.5 inches"/>
        <s v="8.5&quot;D x 6.5&quot;W x 9.8&quot;H"/>
        <s v="15.3 x 14.8 x 14.8 inches"/>
        <s v="13 x 11 x 13.7 inches"/>
        <s v="10 x 8 x 8 inches"/>
        <s v="18.5 x 17.5 x 17.5 inches"/>
        <s v="12.5 x 14.8 x 14.8 inches"/>
        <s v="11.7 x 14.2 x 12.6 inches"/>
        <s v="15.9&quot;D x 15.9&quot;W x 17.7&quot;H"/>
        <s v="16.9 x 18 x 14.4 inches"/>
        <s v="19.6 x 16.2 x 13.4 inches"/>
        <s v="15.5 x 16.7 x 14 inches"/>
        <s v="15 x 12 x 14 inches"/>
        <s v="13 x 18.8 x 7.4 inches"/>
        <s v="11.65&quot;D x 11.42&quot;W x 12.8&quot;H"/>
        <s v="15 x 15 x 15 inches"/>
        <s v="12 x 8 x 8 inches"/>
        <s v="24 x 17.2 x 12.9 inches"/>
        <s v="18.8 x 15.6 x 14.2 inches"/>
        <s v="10.94&quot;D x 18.9&quot;W x 15.87&quot;H"/>
        <s v="1 x 1 x 1 inches"/>
        <s v="10.8 x 10.8 x 12.6 inches"/>
        <s v="15.7&quot;D x 16.5&quot;W x 15.7&quot;H"/>
        <s v="13.2 x 13.3 x 14.6 inches"/>
        <s v="14.2 x 15.7 x 13.4 inches"/>
        <s v="13.7 x 15 x 13.5 inches"/>
        <s v="15.1 x 15.1 x 14.7 inches"/>
        <s v="16.2 x 14.2 x 17.3 inches"/>
        <s v="15 x 15.7 x 14 inches"/>
        <s v="9.45&quot;D x 7.87&quot;W x 11.02&quot;H"/>
        <s v="11 x 13 x 12 inches"/>
        <s v="18.2 x 19.8 x 16.4 inches"/>
        <s v="14.57&quot;D x 11.81&quot;W x 14.57&quot;H"/>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3560.7568171296" refreshedBy="Administrator" recordCount="100">
  <cacheSource type="worksheet">
    <worksheetSource ref="A1:BD101" sheet="Sheet4"/>
  </cacheSource>
  <cacheFields count="56">
    <cacheField name="图片" numFmtId="0">
      <sharedItems count="100">
        <s v="=DISPIMG(&quot;ID_E0974D9A1FCC43279697EF5DA1D7B2F2&quot;,1)"/>
        <s v="=DISPIMG(&quot;ID_71FF25F32A744E84959B0B003BC2C8C1&quot;,1)"/>
        <s v="=DISPIMG(&quot;ID_4C62F3F8ADD24D7582300B8B29ADAAD1&quot;,1)"/>
        <s v="=DISPIMG(&quot;ID_27679D12F3624D4794A370A5AAD2B62A&quot;,1)"/>
        <s v="=DISPIMG(&quot;ID_C156E7C83B994759A5327CB523DCF8AC&quot;,1)"/>
        <s v="=DISPIMG(&quot;ID_8F917ED4503546348C30EDAA7D45FADF&quot;,1)"/>
        <s v="=DISPIMG(&quot;ID_6893492369324F0F99BB94004415008C&quot;,1)"/>
        <s v="=DISPIMG(&quot;ID_A4F2CA3BA9DE447E882F7F047A09CE2C&quot;,1)"/>
        <s v="=DISPIMG(&quot;ID_57D3D300B19F47BF96510083017D4F61&quot;,1)"/>
        <s v="=DISPIMG(&quot;ID_F3B5588D37C54F9EBCEAA5C85D490498&quot;,1)"/>
        <s v="=DISPIMG(&quot;ID_D867FF3B6F984EF9B9A521B60372147C&quot;,1)"/>
        <s v="=DISPIMG(&quot;ID_5081BD8DF7104B418782487A028CDCFD&quot;,1)"/>
        <s v="=DISPIMG(&quot;ID_D3ECA348966449D08D28C7515248DDFA&quot;,1)"/>
        <s v="=DISPIMG(&quot;ID_8F526F5171E649F6861FFFB079CAC276&quot;,1)"/>
        <s v="=DISPIMG(&quot;ID_EFD05E987FC244FC8974B30F1238A284&quot;,1)"/>
        <s v="=DISPIMG(&quot;ID_5446CDB133D04700B667BAED4B259405&quot;,1)"/>
        <s v="=DISPIMG(&quot;ID_BF719436269342C39120D5BF56B8BEC7&quot;,1)"/>
        <s v="=DISPIMG(&quot;ID_BA29F564E8A7433287A2991E08F24C7A&quot;,1)"/>
        <s v="=DISPIMG(&quot;ID_3F732B098A8F4924ADB7473A50C75507&quot;,1)"/>
        <s v="=DISPIMG(&quot;ID_6D805549D46F4147BB727A2EE17E2C42&quot;,1)"/>
        <s v="=DISPIMG(&quot;ID_2586E579DE7440F294699E86D562FB05&quot;,1)"/>
        <s v="=DISPIMG(&quot;ID_BF11A2B6EF6748E79B80B28F745B707C&quot;,1)"/>
        <s v="=DISPIMG(&quot;ID_EB1704935DA846C3A75C121E51387F9F&quot;,1)"/>
        <s v="=DISPIMG(&quot;ID_5CBE838777C640E0BE71973DFED62FB4&quot;,1)"/>
        <s v="=DISPIMG(&quot;ID_FEB60C90BA9940408FA73B1AA52588A7&quot;,1)"/>
        <s v="=DISPIMG(&quot;ID_655B8479D0FA49AC8940B053D0F4B56C&quot;,1)"/>
        <s v="=DISPIMG(&quot;ID_5F705A5FDC144044AABB34A2F402B40B&quot;,1)"/>
        <s v="=DISPIMG(&quot;ID_A56FAFEB25634B9FB769A1E7444FBCA9&quot;,1)"/>
        <s v="=DISPIMG(&quot;ID_2B121DD4114D4409B3077D94682C9E9A&quot;,1)"/>
        <s v="=DISPIMG(&quot;ID_EC5715FDE44E423DA2407A8C8149F902&quot;,1)"/>
        <s v="=DISPIMG(&quot;ID_57C5254188594DADA615573EE730EDB8&quot;,1)"/>
        <s v="=DISPIMG(&quot;ID_30AF9FE10AEA414CBF2D799A8F97B6E1&quot;,1)"/>
        <s v="=DISPIMG(&quot;ID_3FE23FCA5B2E49C3844336FD61124FED&quot;,1)"/>
        <s v="=DISPIMG(&quot;ID_326E9FDB3B4845F0A5722189EAC9E480&quot;,1)"/>
        <s v="=DISPIMG(&quot;ID_AAE88E8E58E24127872CEF24C45B9937&quot;,1)"/>
        <s v="=DISPIMG(&quot;ID_EC8F5E1D8B5E43A7A8E6C0EC276E9523&quot;,1)"/>
        <s v="=DISPIMG(&quot;ID_EFBFC06B2CA34CBEAE3BA64CC3E478CB&quot;,1)"/>
        <s v="=DISPIMG(&quot;ID_D74B9A3072A84714B66CE5C87FFCBA80&quot;,1)"/>
        <s v="=DISPIMG(&quot;ID_C4420D497CEE439CB44B54C9CDCD1365&quot;,1)"/>
        <s v="=DISPIMG(&quot;ID_5EF4F8B41D6F4D8D941029966DCF7200&quot;,1)"/>
        <s v="=DISPIMG(&quot;ID_14E7B489EDAE46A0A68C009239BF162A&quot;,1)"/>
        <s v="=DISPIMG(&quot;ID_FFEEF59C9E28452A81B58E12345A3D91&quot;,1)"/>
        <s v="=DISPIMG(&quot;ID_8B9E104DF27F4DD8830F9911E91369FC&quot;,1)"/>
        <s v="=DISPIMG(&quot;ID_1DC3B922AC8C44E1AED1D10E68582928&quot;,1)"/>
        <s v="=DISPIMG(&quot;ID_14C66A68CCD44D66B23E9F77B6546631&quot;,1)"/>
        <s v="=DISPIMG(&quot;ID_A5C88BD34EDF4F8F84ED339150119AA7&quot;,1)"/>
        <s v="=DISPIMG(&quot;ID_DF255A0C652948E2806FD4AAEF1D7897&quot;,1)"/>
        <s v="=DISPIMG(&quot;ID_54E0AFE17F184E5990F96C254B254664&quot;,1)"/>
        <s v="=DISPIMG(&quot;ID_CF4CFA9B4BA044A4B75C7FB917181C2E&quot;,1)"/>
        <s v="=DISPIMG(&quot;ID_ABB6A3F814174AC4B033F51D49C7DE64&quot;,1)"/>
        <s v="=DISPIMG(&quot;ID_5562B5F163DB48C39AF88CF6C6DB9CA7&quot;,1)"/>
        <s v="=DISPIMG(&quot;ID_DE2B348AB1E54ACAB5026EC97FE64D1A&quot;,1)"/>
        <s v="=DISPIMG(&quot;ID_1CC8A60928EC4830A6791E0B1D53306D&quot;,1)"/>
        <s v="=DISPIMG(&quot;ID_D5F7F4B1288C463CB4FBAB7A63B33D08&quot;,1)"/>
        <s v="=DISPIMG(&quot;ID_F156718E2A894CB5961DE06C24ED3617&quot;,1)"/>
        <s v="=DISPIMG(&quot;ID_B1C8BB44B25043D4A886C115934DB689&quot;,1)"/>
        <s v="=DISPIMG(&quot;ID_695D1CCC4CA045139C4ABF47E1CCACBF&quot;,1)"/>
        <s v="=DISPIMG(&quot;ID_1F02B86715A94ABAB5EED5849E66B5FD&quot;,1)"/>
        <s v="=DISPIMG(&quot;ID_8C83148C43504D86A1DB58E8CCDF7309&quot;,1)"/>
        <s v="=DISPIMG(&quot;ID_888A755A882D4513BC9D8F5FC20B3AC9&quot;,1)"/>
        <s v="=DISPIMG(&quot;ID_CB4B079C03484E1FABD66C3A8EE5DBCA&quot;,1)"/>
        <s v="=DISPIMG(&quot;ID_17D2559E86F44A54A0A9006016AB2DA9&quot;,1)"/>
        <s v="=DISPIMG(&quot;ID_E72CFFF1B748493989220C334F229A7A&quot;,1)"/>
        <s v="=DISPIMG(&quot;ID_09D48146F971440D80F2FC5359F757BB&quot;,1)"/>
        <s v="=DISPIMG(&quot;ID_69D8304B4C734971B5962BEF265D5C42&quot;,1)"/>
        <s v="=DISPIMG(&quot;ID_00011A14DD764057925EAB93B1C32B51&quot;,1)"/>
        <s v="=DISPIMG(&quot;ID_31DC207AD3C44AAD8B67DA009FFB8A3D&quot;,1)"/>
        <s v="=DISPIMG(&quot;ID_073D25E4DD884F82A44918BB058A6FA0&quot;,1)"/>
        <s v="=DISPIMG(&quot;ID_3DBAE646C8CB4B5D9BF1F3F01226FC3F&quot;,1)"/>
        <s v="=DISPIMG(&quot;ID_C6D17E1139C940D4A05554BC8126AF0D&quot;,1)"/>
        <s v="=DISPIMG(&quot;ID_C67D11E027814CBC9628DC0F72391987&quot;,1)"/>
        <s v="=DISPIMG(&quot;ID_C649D54E3BEE4596A94D41E76DEB3E83&quot;,1)"/>
        <s v="=DISPIMG(&quot;ID_483305CF252249D1AC3FAAE06499E4E2&quot;,1)"/>
        <s v="=DISPIMG(&quot;ID_2795715DC5D74671AD3CB580CAED5E6A&quot;,1)"/>
        <s v="=DISPIMG(&quot;ID_35B0A37ECC2647E99C4330092C5B67A9&quot;,1)"/>
        <s v="=DISPIMG(&quot;ID_BB253EF55B6C4CAC9D7887F594953095&quot;,1)"/>
        <s v="=DISPIMG(&quot;ID_B039124550CD4981B557EE255393115B&quot;,1)"/>
        <s v="=DISPIMG(&quot;ID_879CF2E30A904DAFA7C2843A597570A3&quot;,1)"/>
        <s v="=DISPIMG(&quot;ID_B36370CE9DE24B8A8FBAB44B1FB4C28F&quot;,1)"/>
        <s v="=DISPIMG(&quot;ID_72B4040D07174C6A87D1E8DBFE9FF175&quot;,1)"/>
        <s v="=DISPIMG(&quot;ID_969655FD644345AB81031DDDED4C2B1D&quot;,1)"/>
        <s v="=DISPIMG(&quot;ID_F217E099E8CF428AA89D30A138B55E1A&quot;,1)"/>
        <s v="=DISPIMG(&quot;ID_464ED34DBB5B474FAA9ABB287749C488&quot;,1)"/>
        <s v="=DISPIMG(&quot;ID_5C0C6AB0FB064505A0A3A4249472B177&quot;,1)"/>
        <s v="=DISPIMG(&quot;ID_CB0487FB602744618A7F91CD508B1A11&quot;,1)"/>
        <s v="=DISPIMG(&quot;ID_CC1202716ADD48108E8CA742BBC48881&quot;,1)"/>
        <s v="=DISPIMG(&quot;ID_9572C02FFE664DA5B1B4E2E84F048994&quot;,1)"/>
        <s v="=DISPIMG(&quot;ID_73E1886387174503B4B3E5EFA3C065D9&quot;,1)"/>
        <s v="=DISPIMG(&quot;ID_8DB36B4766DF4617B57CCA29E23B4451&quot;,1)"/>
        <s v="=DISPIMG(&quot;ID_F98384A16BC64D7BA97CBA86855B88C3&quot;,1)"/>
        <s v="=DISPIMG(&quot;ID_2352E1B134914D12BF01409D0D810953&quot;,1)"/>
        <s v="=DISPIMG(&quot;ID_3868C3AA8AB74668B4C622B8CE1F41E2&quot;,1)"/>
        <s v="=DISPIMG(&quot;ID_A032B38D857046A3BD39D6C51FA809AC&quot;,1)"/>
        <s v="=DISPIMG(&quot;ID_14325EF052B64C239526A059D2F20F7F&quot;,1)"/>
        <s v="=DISPIMG(&quot;ID_CAFA875542924B7C8C1FF07E87DC82F6&quot;,1)"/>
        <s v="=DISPIMG(&quot;ID_F9B083DFE5154E15A17EC7936B463F2F&quot;,1)"/>
        <s v="=DISPIMG(&quot;ID_C84511F9722846388FB698BCF9E760FB&quot;,1)"/>
        <s v="=DISPIMG(&quot;ID_41B0691D1D0044738862DF6167707F7F&quot;,1)"/>
        <s v="=DISPIMG(&quot;ID_3211C43D397B4A3EAF999BDB4C1D6252&quot;,1)"/>
        <s v="=DISPIMG(&quot;ID_A7D8F3B098D14F84B7383CC735E1FCBE&quot;,1)"/>
      </sharedItems>
    </cacheField>
    <cacheField name="ASIN" numFmtId="0">
      <sharedItems count="100">
        <s v="B07FDJMC9Q"/>
        <s v="B0936FGLQS"/>
        <s v="B07VM28XTR"/>
        <s v="B096N3FTZP"/>
        <s v="B085W3GN5J"/>
        <s v="B08R6KMBQT"/>
        <s v="B096X9LGJ1"/>
        <s v="B0815KJCM1"/>
        <s v="B09MR49K1D"/>
        <s v="B089TQWJKK"/>
        <s v="B075X3287P"/>
        <s v="B07SCGY2H6"/>
        <s v="B0B6ZXKNJN"/>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95Y6ZF5Q"/>
        <s v="B08FMT6N24"/>
        <s v="B07VM9SDMH"/>
        <s v="B0BGBMW9G5"/>
        <s v="B075BDY5WR"/>
        <s v="B07X1VXQMS"/>
        <s v="B087T8LKNC"/>
        <s v="B0BBFTPTKH"/>
        <s v="B09YS1RQ8J"/>
        <s v="B08X24LS5V"/>
        <s v="B08T9FBB68"/>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PASIN" numFmtId="0">
      <sharedItems count="100">
        <s v="B07FDJMC9Q"/>
        <s v="B0936FGLQS"/>
        <s v="B07VM28XTR"/>
        <s v="B096N3FTZP"/>
        <s v="B085W3GN5J"/>
        <s v="B08R6KMBQT"/>
        <s v="B096X9LGJ1"/>
        <s v="B0815KJCM1"/>
        <s v="B09MR49K1D"/>
        <s v="B089TQWJKK"/>
        <s v="B075X3287P"/>
        <s v="B07SCGY2H6"/>
        <s v="B0BKZZZ7J2"/>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BJDDN65L"/>
        <s v="B08FMT6N24"/>
        <s v="B07VM9SDMH"/>
        <s v="B0BGBMW9G5"/>
        <s v="B075BDY5WR"/>
        <s v="B07X1VXQMS"/>
        <s v="B087T8LKNC"/>
        <s v="B0BBFTPTKH"/>
        <s v="B09YS1RQ8J"/>
        <s v="B08X24LS5V"/>
        <s v="B0BKNJYC1T"/>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SKU" numFmtId="0">
      <sharedItems count="4">
        <s v=""/>
        <s v="Color: Sage Green"/>
        <s v="Color: Blue"/>
        <s v="Style: 6 Slice Air Fry"/>
      </sharedItems>
    </cacheField>
    <cacheField name="URL" numFmtId="0">
      <sharedItems count="100">
        <s v="https://www.amazon.com/dp/B07FDJMC9Q?psc=1"/>
        <s v="https://www.amazon.com/dp/B0936FGLQS?psc=1"/>
        <s v="https://www.amazon.com/dp/B07VM28XTR?psc=1"/>
        <s v="https://www.amazon.com/dp/B096N3FTZP?psc=1"/>
        <s v="https://www.amazon.com/dp/B085W3GN5J?psc=1"/>
        <s v="https://www.amazon.com/dp/B08R6KMBQT?psc=1"/>
        <s v="https://www.amazon.com/dp/B096X9LGJ1?psc=1"/>
        <s v="https://www.amazon.com/dp/B0815KJCM1?psc=1"/>
        <s v="https://www.amazon.com/dp/B09MR49K1D?psc=1"/>
        <s v="https://www.amazon.com/dp/B089TQWJKK?psc=1"/>
        <s v="https://www.amazon.com/dp/B075X3287P?psc=1"/>
        <s v="https://www.amazon.com/dp/B07SCGY2H6?psc=1"/>
        <s v="https://www.amazon.com/dp/B0B6ZXKNJN?psc=1"/>
        <s v="https://www.amazon.com/dp/B07S6529ZZ?psc=1"/>
        <s v="https://www.amazon.com/dp/B0B59D1J98?psc=1"/>
        <s v="https://www.amazon.com/dp/B096N28SZP?psc=1"/>
        <s v="https://www.amazon.com/dp/B09B7SB46R?psc=1"/>
        <s v="https://www.amazon.com/dp/B0BGM4JY9G?psc=1"/>
        <s v="https://www.amazon.com/dp/B08DKYBTPH?psc=1"/>
        <s v="https://www.amazon.com/dp/B082JWBBXB?psc=1"/>
        <s v="https://www.amazon.com/dp/B08DL8WH9V?psc=1"/>
        <s v="https://www.amazon.com/dp/B07S85TPLG?psc=1"/>
        <s v="https://www.amazon.com/dp/B09HKM5SVD?psc=1"/>
        <s v="https://www.amazon.com/dp/B07NLHMYH4?psc=1"/>
        <s v="https://www.amazon.com/dp/B07NBQX8HS?psc=1"/>
        <s v="https://www.amazon.com/dp/B0BDFRZX3F?psc=1"/>
        <s v="https://www.amazon.com/dp/B08SJ6L9MT?psc=1"/>
        <s v="https://www.amazon.com/dp/B0872DQV7Z?psc=1"/>
        <s v="https://www.amazon.com/dp/B07FF117K7?psc=1"/>
        <s v="https://www.amazon.com/dp/B0777RJG6D?psc=1"/>
        <s v="https://www.amazon.com/dp/B08QQRH2Z9?psc=1"/>
        <s v="https://www.amazon.com/dp/B08CW95ZFR?psc=1"/>
        <s v="https://www.amazon.com/dp/B0BX71WBK5?psc=1"/>
        <s v="https://www.amazon.com/dp/B09GL56L4T?psc=1"/>
        <s v="https://www.amazon.com/dp/B08KFNK3QH?psc=1"/>
        <s v="https://www.amazon.com/dp/B0BG5635Z7?psc=1"/>
        <s v="https://www.amazon.com/dp/B07G3V9K17?psc=1"/>
        <s v="https://www.amazon.com/dp/B08YP4NHQM?psc=1"/>
        <s v="https://www.amazon.com/dp/B085GN68LC?psc=1"/>
        <s v="https://www.amazon.com/dp/B09TZZS2GJ?psc=1"/>
        <s v="https://www.amazon.com/dp/B08K8T3W2V?psc=1"/>
        <s v="https://www.amazon.com/dp/B092PY8F5J?psc=1"/>
        <s v="https://www.amazon.com/dp/B09XWJ19YS?psc=1"/>
        <s v="https://www.amazon.com/dp/B07W67NQMN?psc=1"/>
        <s v="https://www.amazon.com/dp/B07ZWG619F?psc=1"/>
        <s v="https://www.amazon.com/dp/B089NKT312?psc=1"/>
        <s v="https://www.amazon.com/dp/B0978M8136?psc=1"/>
        <s v="https://www.amazon.com/dp/B08R12QZS1?psc=1"/>
        <s v="https://www.amazon.com/dp/B095Y6ZF5Q?psc=1"/>
        <s v="https://www.amazon.com/dp/B08FMT6N24?psc=1"/>
        <s v="https://www.amazon.com/dp/B07VM9SDMH?psc=1"/>
        <s v="https://www.amazon.com/dp/B0BGBMW9G5?psc=1"/>
        <s v="https://www.amazon.com/dp/B075BDY5WR?psc=1"/>
        <s v="https://www.amazon.com/dp/B07X1VXQMS?psc=1"/>
        <s v="https://www.amazon.com/dp/B087T8LKNC?psc=1"/>
        <s v="https://www.amazon.com/dp/B0BBFTPTKH?psc=1"/>
        <s v="https://www.amazon.com/dp/B09YS1RQ8J?psc=1"/>
        <s v="https://www.amazon.com/dp/B08X24LS5V?psc=1"/>
        <s v="https://www.amazon.com/dp/B08T9FBB68?psc=1"/>
        <s v="https://www.amazon.com/dp/B07Z6RHKFV?psc=1"/>
        <s v="https://www.amazon.com/dp/B07LBZGD97?psc=1"/>
        <s v="https://www.amazon.com/dp/B08R6GZ2KP?psc=1"/>
        <s v="https://www.amazon.com/dp/B08N3F9PRJ?psc=1"/>
        <s v="https://www.amazon.com/dp/B0853CR7LG?psc=1"/>
        <s v="https://www.amazon.com/dp/B09BZVQNTC?psc=1"/>
        <s v="https://www.amazon.com/dp/B0B7C28KPT?psc=1"/>
        <s v="https://www.amazon.com/dp/B07XF4HW8G?psc=1"/>
        <s v="https://www.amazon.com/dp/B01L7TOZJO?psc=1"/>
        <s v="https://www.amazon.com/dp/B08NCHMH1L?psc=1"/>
        <s v="https://www.amazon.com/dp/B0BF4TCX6J?psc=1"/>
        <s v="https://www.amazon.com/dp/B08PNHBCTL?psc=1"/>
        <s v="https://www.amazon.com/dp/B083TGW7DN?psc=1"/>
        <s v="https://www.amazon.com/dp/B0BG2MGDXN?psc=1"/>
        <s v="https://www.amazon.com/dp/B07GNSHPBQ?psc=1"/>
        <s v="https://www.amazon.com/dp/B0BD4BYR11?psc=1"/>
        <s v="https://www.amazon.com/dp/B081PGHZGR?psc=1"/>
        <s v="https://www.amazon.com/dp/B0BR4ZYSRF?psc=1"/>
        <s v="https://www.amazon.com/dp/B08L3SW8DZ?psc=1"/>
        <s v="https://www.amazon.com/dp/B08G5CH2HR?psc=1"/>
        <s v="https://www.amazon.com/dp/B09DYPNPV4?psc=1"/>
        <s v="https://www.amazon.com/dp/B0B3G8V6MV?psc=1"/>
        <s v="https://www.amazon.com/dp/B076FPT78K?psc=1"/>
        <s v="https://www.amazon.com/dp/B08KXTDBQC?psc=1"/>
        <s v="https://www.amazon.com/dp/B01LX9T6HF?psc=1"/>
        <s v="https://www.amazon.com/dp/B086K1T4JJ?psc=1"/>
        <s v="https://www.amazon.com/dp/B084B7PF4K?psc=1"/>
        <s v="https://www.amazon.com/dp/B0B3SHYNBG?psc=1"/>
        <s v="https://www.amazon.com/dp/B08TWB9L5P?psc=1"/>
        <s v="https://www.amazon.com/dp/B086GWG6BG?psc=1"/>
        <s v="https://www.amazon.com/dp/B09Y12NVC2?psc=1"/>
        <s v="https://www.amazon.com/dp/B08739L374?psc=1"/>
        <s v="https://www.amazon.com/dp/B087WW1W78?psc=1"/>
        <s v="https://www.amazon.com/dp/B09B9K9552?psc=1"/>
        <s v="https://www.amazon.com/dp/B08P27RFLB?psc=1"/>
        <s v="https://www.amazon.com/dp/B0B94K541Q?psc=1"/>
        <s v="https://www.amazon.com/dp/B08HPQ384Y?psc=1"/>
        <s v="https://www.amazon.com/dp/B0B52885M9?psc=1"/>
        <s v="https://www.amazon.com/dp/B06XYKVPLS?psc=1"/>
        <s v="https://www.amazon.com/dp/B09871GCN1?psc=1"/>
        <s v="https://www.amazon.com/dp/B09696JZVR?psc=1"/>
      </sharedItems>
    </cacheField>
    <cacheField name="商品主图" numFmtId="0">
      <sharedItems count="100">
        <s v="https://images-na.ssl-images-amazon.com/images/I/31MBSKiZOPL._AC_US600_.jpg"/>
        <s v="https://images-na.ssl-images-amazon.com/images/I/4148pXjT5JL._AC_US600_.jpg"/>
        <s v="https://images-na.ssl-images-amazon.com/images/I/517ZDIeX2AL._AC_US600_.jpg"/>
        <s v="https://images-na.ssl-images-amazon.com/images/I/411xmojvHOL._AC_US600_.jpg"/>
        <s v="https://images-na.ssl-images-amazon.com/images/I/41sxpx4irVL._AC_US600_.jpg"/>
        <s v="https://images-na.ssl-images-amazon.com/images/I/41WAoH5H6NL._AC_US600_.jpg"/>
        <s v="https://images-na.ssl-images-amazon.com/images/I/31VZzB+Y2+L._AC_US600_.jpg"/>
        <s v="https://images-na.ssl-images-amazon.com/images/I/41ZQmtXww2L._AC_US600_.jpg"/>
        <s v="https://images-na.ssl-images-amazon.com/images/I/4176C1ZTLJL._AC_US600_.jpg"/>
        <s v="https://images-na.ssl-images-amazon.com/images/I/31rlJFuHaWL._AC_US600_.jpg"/>
        <s v="https://images-na.ssl-images-amazon.com/images/I/41kv0O2RO5L._AC_US600_.jpg"/>
        <s v="https://images-na.ssl-images-amazon.com/images/I/51lqoRxpKAL._AC_US600_.jpg"/>
        <s v="https://images-na.ssl-images-amazon.com/images/I/41FSF9nXbwL._AC_US600_.jpg"/>
        <s v="https://images-na.ssl-images-amazon.com/images/I/31LS4+++HlL._AC_US600_.jpg"/>
        <s v="https://images-na.ssl-images-amazon.com/images/I/41R9UEekBML._AC_US600_.jpg"/>
        <s v="https://images-na.ssl-images-amazon.com/images/I/41Tiw9rl9aL._AC_US600_.jpg"/>
        <s v="https://images-na.ssl-images-amazon.com/images/I/511xSzv8yRL._AC_US600_.jpg"/>
        <s v="https://images-na.ssl-images-amazon.com/images/I/51m3RCjOtoL._AC_US600_.jpg"/>
        <s v="https://images-na.ssl-images-amazon.com/images/I/41qabW46GoL._AC_US600_.jpg"/>
        <s v="https://images-na.ssl-images-amazon.com/images/I/415CVTfKbfL._AC_US600_.jpg"/>
        <s v="https://images-na.ssl-images-amazon.com/images/I/51LYB9lQdLL._AC_US600_.jpg"/>
        <s v="https://images-na.ssl-images-amazon.com/images/I/41hLUQwvoaL._AC_US600_.jpg"/>
        <s v="https://images-na.ssl-images-amazon.com/images/I/41nAgEWFdGL._AC_US600_.jpg"/>
        <s v="https://images-na.ssl-images-amazon.com/images/I/51DUgyoMOhL._AC_US600_.jpg"/>
        <s v="https://images-na.ssl-images-amazon.com/images/I/415DRxbG3pL._AC_US600_.jpg"/>
        <s v="https://m.media-amazon.com/images/W/IMAGERENDERING_521856-T1/images/I/3196QeAvkXL._AC_US600_.jpg"/>
        <s v="https://images-na.ssl-images-amazon.com/images/I/31HerJYQxzL._AC_US600_.jpg"/>
        <s v="https://images-na.ssl-images-amazon.com/images/I/51RjObEKN4L._AC_US600_.jpg"/>
        <s v="https://images-na.ssl-images-amazon.com/images/I/41OVlRD-CtL._AC_US600_.jpg"/>
        <s v="https://images-na.ssl-images-amazon.com/images/I/413QzyJkOQL._AC_US600_.jpg"/>
        <s v="https://images-na.ssl-images-amazon.com/images/I/31EAxEEMbVL._AC_US600_.jpg"/>
        <s v="https://images-na.ssl-images-amazon.com/images/I/41xKS3OoclL._AC_US600_.jpg"/>
        <s v="https://images-na.ssl-images-amazon.com/images/I/41ELapobmZL._AC_US600_.jpg"/>
        <s v="https://images-na.ssl-images-amazon.com/images/I/41fJQ2R4N-L._AC_US600_.jpg"/>
        <s v="https://images-na.ssl-images-amazon.com/images/I/41NWjD1CuNL._AC_US600_.jpg"/>
        <s v="https://m.media-amazon.com/images/I/51yODvXRBGL._AC_US600_.jpg"/>
        <s v="https://images-na.ssl-images-amazon.com/images/I/31VXHjBfcfL._AC_US600_.jpg"/>
        <s v="https://images-na.ssl-images-amazon.com/images/I/41RnifaGGML._AC_US600_.jpg"/>
        <s v="https://images-na.ssl-images-amazon.com/images/I/41EfD0xmTgL._AC_US600_.jpg"/>
        <s v="https://images-na.ssl-images-amazon.com/images/I/41YlA3PVYBL._AC_US600_.jpg"/>
        <s v="https://images-na.ssl-images-amazon.com/images/I/5135MRrXWrL._AC_US600_.jpg"/>
        <s v="https://m.media-amazon.com/images/W/IMAGERENDERING_521856-T2/images/I/41RjVllXMiL._AC_US600_.jpg"/>
        <s v="https://m.media-amazon.com/images/I/51hOezlAX+L._AC_US600_.jpg"/>
        <s v="https://images-na.ssl-images-amazon.com/images/I/51wK1gMNZLL._AC_US600_.jpg"/>
        <s v="https://images-na.ssl-images-amazon.com/images/I/41M1ysVClKL._AC_US600_.jpg"/>
        <s v="https://images-na.ssl-images-amazon.com/images/I/41xJrOGz4aL._AC_US600_.jpg"/>
        <s v="https://images-na.ssl-images-amazon.com/images/I/41xI07RSgBL._AC_US600_.jpg"/>
        <s v="https://images-na.ssl-images-amazon.com/images/I/41019YXde4L._AC_US600_.jpg"/>
        <s v="https://images-na.ssl-images-amazon.com/images/I/31mEyFByQOL._AC_US600_.jpg"/>
        <s v="https://images-na.ssl-images-amazon.com/images/I/319fwckxydL._AC_US600_.jpg"/>
        <s v="https://images-na.ssl-images-amazon.com/images/I/51chJ-m0ftL._AC_US600_.jpg"/>
        <s v="https://images-na.ssl-images-amazon.com/images/I/51qTgjsG+jL._AC_US600_.jpg"/>
        <s v="https://m.media-amazon.com/images/I/31FWlEg5fqL._AC_US600_.jpg"/>
        <s v="https://images-na.ssl-images-amazon.com/images/I/41+QhGCYlnL._AC_US600_.jpg"/>
        <s v="https://images-na.ssl-images-amazon.com/images/I/41i41ZJLGcL._AC_US600_.jpg"/>
        <s v="https://images-na.ssl-images-amazon.com/images/I/41x1QmekmBL._AC_US600_.jpg"/>
        <s v="https://images-na.ssl-images-amazon.com/images/I/5135qxoHciL._AC_US600_.jpg"/>
        <s v="https://images-na.ssl-images-amazon.com/images/I/41jZv9IQKtL._AC_US600_.jpg"/>
        <s v="https://m.media-amazon.com/images/W/IMAGERENDERING_521856-T2/images/I/414P2GL4cAL._AC_US600_.jpg"/>
        <s v="https://m.media-amazon.com/images/W/IMAGERENDERING_521856-T1/images/I/41Jkp816TuL._AC_US600_.jpg"/>
        <s v="https://images-na.ssl-images-amazon.com/images/I/51sGLLlmj8L._AC_US600_.jpg"/>
        <s v="https://images-na.ssl-images-amazon.com/images/I/41ctRPisslL._AC_US600_.jpg"/>
        <s v="https://images-na.ssl-images-amazon.com/images/I/41CU7z7y-ML._AC_US600_.jpg"/>
        <s v="https://images-na.ssl-images-amazon.com/images/I/41-nj5fRENL._AC_US600_.jpg"/>
        <s v="https://images-na.ssl-images-amazon.com/images/I/416HZaiHMcL._AC_US600_.jpg"/>
        <s v="https://images-na.ssl-images-amazon.com/images/I/41xpc1obGyL._AC_US600_.jpg"/>
        <s v="https://images-na.ssl-images-amazon.com/images/I/51e2Fp15xnL._AC_US600_.jpg"/>
        <s v="https://images-na.ssl-images-amazon.com/images/I/51B7UIiB95L._AC_US600_.jpg"/>
        <s v="https://m.media-amazon.com/images/I/31nldc5I5qL._AC_US600_.jpg"/>
        <s v="https://images-na.ssl-images-amazon.com/images/I/41nnl0IYwmL._AC_US600_.jpg"/>
        <s v="https://images-na.ssl-images-amazon.com/images/I/41EXcFBZ2uL._AC_US600_.jpg"/>
        <s v="https://images-na.ssl-images-amazon.com/images/I/41gnPXQ60DL._AC_US600_.jpg"/>
        <s v="https://images-na.ssl-images-amazon.com/images/I/51DFrKWE3+L._AC_US600_.jpg"/>
        <s v="https://images-na.ssl-images-amazon.com/images/I/41Ie-5jgNBL._AC_US600_.jpg"/>
        <s v="https://images-na.ssl-images-amazon.com/images/I/41WjXoD4znL._AC_US600_.jpg"/>
        <s v="https://m.media-amazon.com/images/W/IMAGERENDERING_521856-T1/images/I/41VVyif1syL._AC_US600_.jpg"/>
        <s v="https://images-na.ssl-images-amazon.com/images/I/51DaREWGV9L._AC_US600_.jpg"/>
        <s v="https://images-na.ssl-images-amazon.com/images/I/419w5-1jmOL._AC_US600_.jpg"/>
        <s v="https://images-na.ssl-images-amazon.com/images/I/516+29sy+uL._AC_US600_.jpg"/>
        <s v="https://images-na.ssl-images-amazon.com/images/I/41RUxUeb1SL._AC_US600_.jpg"/>
        <s v="https://images-na.ssl-images-amazon.com/images/I/41kb9+9AjPL._AC_US600_.jpg"/>
        <s v="https://images-na.ssl-images-amazon.com/images/I/41Q4s94S0uL._AC_US600_.jpg"/>
        <s v="https://images-na.ssl-images-amazon.com/images/I/41UTCIgF3RL._AC_US600_.jpg"/>
        <s v="https://images-na.ssl-images-amazon.com/images/I/418+jnE43GL._AC_US600_.jpg"/>
        <s v="https://images-na.ssl-images-amazon.com/images/I/41Kx73WvRML._AC_US600_.jpg"/>
        <s v="https://images-na.ssl-images-amazon.com/images/I/31hes0z4e1L._AC_US600_.jpg"/>
        <s v="https://m.media-amazon.com/images/I/61PY7xJYKRL._AC_US600_.jpg"/>
        <s v="https://images-na.ssl-images-amazon.com/images/I/51BtVuritGL._AC_US600_.jpg"/>
        <s v="https://images-na.ssl-images-amazon.com/images/I/41Bh+8iMurL._AC_US600_.jpg"/>
        <s v="https://m.media-amazon.com/images/I/41MMVnAeq+L._AC_US600_.jpg"/>
        <s v="https://images-na.ssl-images-amazon.com/images/I/51cjHLNNdfL._AC_US600_.jpg"/>
        <s v="https://images-na.ssl-images-amazon.com/images/I/41XooFogX3S._AC_US600_.jpg"/>
        <s v="https://images-na.ssl-images-amazon.com/images/I/41itlVcI-8L._AC_US600_.jpg"/>
        <s v="https://images-na.ssl-images-amazon.com/images/I/31oBMRVPbJS._AC_US600_.jpg"/>
        <s v="https://images-na.ssl-images-amazon.com/images/I/514XT9luXRL._AC_US600_.jpg"/>
        <s v="https://images-na.ssl-images-amazon.com/images/I/51Pp7HEnMDL._AC_US600_.jpg"/>
        <s v="https://m.media-amazon.com/images/W/IMAGERENDERING_521856-T1/images/I/41uMb4vYYiL._AC_US600_.jpg"/>
        <s v="https://images-na.ssl-images-amazon.com/images/I/41zlAqz5EQS._AC_US600_.jpg"/>
        <s v="https://images-na.ssl-images-amazon.com/images/I/41Eimf3muML._AC_US600_.jpg"/>
        <s v="https://m.media-amazon.com/images/I/41K7k9nX6sL._AC_US600_.jpg"/>
      </sharedItems>
    </cacheField>
    <cacheField name="品牌" numFmtId="0">
      <sharedItems count="47">
        <s v="Ninja"/>
        <s v="COSORI"/>
        <s v="Instant Pot"/>
        <s v="DASH"/>
        <s v="Gourmia"/>
        <s v="Nuwave"/>
        <s v="FABULETTA"/>
        <s v="Emeril Everyday"/>
        <s v="Chefman"/>
        <s v="Elite Gourmet"/>
        <s v="Toshiba"/>
        <s v="Emeril Lagasse"/>
        <s v="PHILIPS"/>
        <s v="Kalorik"/>
        <s v="Ultrean"/>
        <s v="GoWISE USA"/>
        <s v="Hamilton Beach"/>
        <s v="NutriChef"/>
        <s v="Cuisinart"/>
        <s v="Oster"/>
        <s v="Geek Chef"/>
        <s v="LATURE"/>
        <s v="CROWNFUL"/>
        <s v="Amazon Renewed"/>
        <s v="Dreo"/>
        <s v="VILIWIN"/>
        <s v="PowerXL"/>
        <s v="Uten"/>
        <s v="Gluck"/>
        <s v="DEIME"/>
        <s v="COMFEE'"/>
        <s v="whall"/>
        <s v="Paula Deen"/>
        <s v="CUSIMAX"/>
        <s v="Aeitto"/>
        <s v="ICONITESUE"/>
        <s v="Secura"/>
        <s v="Ninja Foodi"/>
        <s v="Breville"/>
        <s v="Gevi"/>
        <s v="QINQIWD"/>
        <s v="Simple Deluxe"/>
        <s v="KOOC"/>
        <s v="BELLA"/>
        <s v="PHKOK"/>
        <s v="Beelicious"/>
        <s v="ALLcool"/>
      </sharedItems>
    </cacheField>
    <cacheField name="商品标题" numFmtId="0">
      <sharedItems count="100">
        <s v="Ninja AF101 Air Fryer that Crisps, Roasts, Reheats, &amp; Dehydrates, for Quick, Easy Meals, 4 Quart Capacity, &amp; High Gloss Finis"/>
        <s v="COSORI Air Fryer Pro LE 5-Quart, 9 Functions in 1 with Shake Reminder, UP to 450℉ for Oil-Free Crispy Results, Tempered Glass"/>
        <s v="Instant Vortex Plus 10-Quart Air Fryer, From the Makers of Instant Pot, 7-in-10 Functions, with EvenCrisp Technology, App wit"/>
        <s v="Instant Vortex Plus 6-Quart Air Fryer Oven, From the Makers of Instant Pot with ClearCook Cooking Window, Digital Touchscreen"/>
        <s v="COSORI Pro II Air Fryer Oven Combo, 5.8QT Max Xl Large Cooker with 12 One-Touch Savable Custom Functions, Cookbook and Online"/>
        <s v="Instant Vortex Plus 6-in-1, 4QT Air Fryer Oven, From the Makers of Instant Pot with Customizable Smart Cooking Programs, Nons"/>
        <s v="Ninja DZ401 Foodi 10 Quart 6-in-1 DualZone XL 2-Basket Air Fryer with 2 Independent Frying Baskets, Match Cook &amp; Smart Finish"/>
        <s v="DASH Tasti-Crisp™ Electric Air Fryer Oven Cooker with Temperature Control, Non-Stick Fry Basket, Recipe Guide + Auto Shut Off"/>
        <s v="Gourmia Air Fryer Oven Digital Display 6 Quart Large AirFryer Cooker 12 1-Touch Cooking Presets, XL Air Fryer Basket 1500w Po"/>
        <s v="Ninja DZ201 Foodi 8 Quart 6-in-1 DualZone 2-Basket Air Fryer with 2 Independent Frying Baskets, Match Cook &amp; Smart Finish to"/>
        <s v="Nuwave Brio 7-in-1 Air Fryer Oven, 7.25-Qt with One-Touch Digital Controls, 50°- 400°F Temperature Controls in 5° Increments,"/>
        <s v="Ninja SP101 Digital Air Fry Countertop Oven with 8-in-1 Functionality, Flip Up &amp; Away Capability for Storage Space, with Air"/>
        <s v="Air Fryer, Fabuletta 9 Customizable Smart Cooking Programs Compact 4QT Air Fryers, Shake Reminder, 450°F Digital Airfryer,Tempered Glass Display, Dishwasher-Safe &amp; Nonstick, Fit for 2-4 People"/>
        <s v="Ninja AF161 Max XL Air Fryer that Cooks, Crisps, Roasts, Bakes, Reheats and Dehydrates, with 5.5 Quart Capacity, and a High G"/>
        <s v="COSORI Air Fryer Toaster Oven Combo, 10 Qt Family Size 14-in-1 Functions (1000+ APP Recipes), Dishwasher-Safe Accessories wit"/>
        <s v="Instant Vortex Plus 6-Quart Air Fryer Oven, From the Makers of Instant Pot with Odor Erase Technology, ClearCook Cooking Wind"/>
        <s v="Emeril Lagasse 26 QT Extra Large Air Fryer, Convection Toaster Oven with French Doors, Stainless Steel"/>
        <s v="COSORI Air Fryer Toaster Oven Combo, 12-in-1 Convection Ovens Countertop, Stainless Steel, Smart, 6-Slice Toast, 12-inch Pizz"/>
        <s v="CHEFMAN Large Air Fryer Max XL 8 Qt, Healthy Cooking, User Friendly, Nonstick Stainless Steel, Digital Touch Screen with 4 Co"/>
        <s v="Elite Gourmet EAF-0201 Personal 2.1 Qt. Compact Space Saving Electric Hot Air Fryer Oil-Less Healthy Cooker, Timer &amp; Temperat"/>
        <s v="CHEFMAN Multifunctional Digital Air Fryer+ Rotisserie, Dehydrator, Convection Oven, 17 Touch Screen Presets Fry, Roast, Dehyd"/>
        <s v="Ninja FD401 Foodi 12-in-1 Deluxe XL 8 qt. Pressure Cooker &amp; Air Fryer that Steams, Slow Cooks, Sears, Sautés, Dehydrates &amp; Mo"/>
        <s v="TOSHIBA 6-in-1 Inverter Microwave Oven Air Fryer Combo, Countertop Microwave, Healthy Air Fryer, Broil, Convection, Speedy Co"/>
        <s v="Emeril Lagasse Power Air Fryer 360 Better Than Convection Ovens Hot Air Fryer Oven, Toaster Oven, Bake, Broil, Slow Cook and"/>
        <s v="CHEFMAN Small, Compact Air Fryer Healthy Cooking, 2 Qt, Nonstick, User Friendly and Adjustable Temperature Control w/ 60 Minu"/>
        <s v="COSORI Small Air Fryer Oven 2.1 Qt, 4-in-1 Mini Airfryer, Bake, Roast, Reheat, Space-saving &amp; Low-noise, Nonstick and Dishwas"/>
        <s v="Philips 3000 Series Air Fryer Essential Compact with Rapid Air Technology, 13-in-1 Cooking Functions to Fry, Bake, Grill, Roa"/>
        <s v="Kalorik® MAXX® Digital Air Fryer Oven, 26 Quart, 10-in-1 Countertop Toaster Oven &amp; Air Fryer Combo-21 Presets up to 500 degre"/>
        <s v="Ultrean Air Fryer, 4.2 Quart (4 Liter) Electric Hot Airfryer Oven Oilless Cooker with LCD Digital Screen and Nonstick Frying"/>
        <s v="GoWISE USA 1700-Watt 5.8-QT 8-in-1 Digital Air Fryer with Recipe Book, Black"/>
        <s v="DASH Tasti-Crisp™ Digital Air Fryer with AirCrisp Technology, Custom Presets, Temperature Control, and Auto Shut Off Feature,"/>
        <s v="Hamilton Beach Sure-Crisp Air Fryer Countertop Toaster Oven, Fits 9” Pizza, 4 Slice Capacity, Powerful Circulation, Auto Shut"/>
        <s v="Hot Air Fryer Oven - Oilless Convection Power Multi Cooker with Digital Display and 3.7 Qt Capacity - Perfect for Baking, Gri"/>
        <s v="Cuisinart TOA-26 Compact Airfryer Toaster Oven, 1800-Watt Motor with 6-in-1 Functions and Wide Temperature Range, Large Capac"/>
        <s v="Oster Compact Countertop Oven With Air Fryer, Stainless Steel"/>
        <s v="Geek Chef Air Fryer Toaster Oven, 10QT Toaster Ovens Countertop, 4 Slice Toaster, 6 Inch Pizza, Warm, Broil, Toast, Bake, Air"/>
        <s v="Philips Premium Airfryer XXL with Fat Removal Technology, 3lb/7qt, Black, HD9650/96"/>
        <s v="Ninja FD302 Foodi 11-in-1 Pro 6.5 qt. Pressure Cooker &amp; Air Fryer that Steams, Slow Cooks, Sears, Sautés, Dehydrates &amp; More,"/>
        <s v="Chefman Small Compact Air Fryer Healthy Cooking, 2 Qt Nonstick, User Friendly and Adjustable Temperature Control w/ 60 Minute"/>
        <s v="LATURE 4.2 QT Air Fryer Oven Cooker with Temperature and Time Control Dishwasher Non-stick Basket 6 Cook Presets CE Certified"/>
        <s v="COSORI Air Fryer Toaster Oven 26.4QT, 12-in-1 Convection Ovens Countertop Combo, 6-Slice Toast, 12-inch Pizza, Basket, Tray,"/>
        <s v="CROWNFUL 7 Quart Air Fryer, Oilless Electric Cooker with 12 Cooking Functions, LCD Touch Digital Screen with Precise Temperat"/>
        <s v="Cuisinart Air Fryer (Renewed)"/>
        <s v="COSORI Air Fryer Toaster Oven, 12-in-1 Convection Oven Countertop with Rotisserie, Stainless Steel 32QT/32L, 6-Slice Toast, 1"/>
        <s v="GoWISE USA GW22956 7-Quart Electric Air Fryer with Dehydrator &amp; 3 Stackable Racks, Led Digital Touchscreen with 8 Functions +"/>
        <s v="Nuwave Brio 8-Qt Air Fryer, Powerful 1800W, Easy-to-Read Cool White Display, 50°-400°F Temp Controls, 100 Pre-Programmed Pres"/>
        <s v="Dreo Air Fryer Pro Max, 11-in-1 Digital Air Fryer Oven Cooker with 100 Recipes, Visible Window, Supports Customerizable Cooki"/>
        <s v="Ninja SP351 Foodi Smart 13-in-1 Dual Heat Air Fry Countertop Oven, Dehydrate, Reheat, Smart Thermometer, 1800-watts, Silver"/>
        <s v="VILIWIN Air Fryer 4.5 QT Digital Upgraded Air Fryers Cooker 8 Preset Menus AirFryer Hot Air Fryer with Auto Shut Off 30 Minute Timer Adjustable Temperature Control Nonstick Tray 1400W Air Fryer Blue"/>
        <s v="PowerXL Air Fryer 7 QT Maxx Classic, Extra Hot Air Fry, Cook, Crisp, Broil, Roast, Bake, High Gloss Finish, Black (7 Quart)"/>
        <s v="Air Fryer 5.8QT/5.5L, Uten 1700W AirFryer High-Power Electric Hot Temperature Control &amp; Timer Knob, Non Stick Fry Basket, Dis"/>
        <s v="GLUCK Air Fryer Oven,10-in-1 20 QT Airfryer Toaster Oven with Visible Cooking Window,Large Air Fryer Toaster Oven Combo with"/>
        <s v="DASH Compact Air Fryer Oven Cooker with Temperature Control, Non-stick Fry Basket, Recipe Guide + Auto Shut off Feature, 2 Qu"/>
        <s v="ULTREAN 5.8 Quart Air Fryer, Electric Hot Air Fryers Oilless Cooker with 10 Presets, Digital LCD Touch Screen, Nonstick Baske"/>
        <s v="Elite Gourmet EAF-3218R Personal 1.1Qt Compact Space Saving Electric Hot Air Fryer Oil-Less Healthy Cooker, Timer &amp; Temperatu"/>
        <s v="Air Fryer 6.2 QT Oilless AirFryer 1500W Electric Healthy Oven Cooker Large Capacity with Visible Cooking Window, 10 Presets i"/>
        <s v="Air Fryer 12 QT 1700W Large Capacity Oilless Hot Air Fryers Oven Healthy Cooker with 10 Presets, Visible Cooking Window, LCD"/>
        <s v="PowerXL Air Fryer Steamer 7 QT 10-in-1 XL Vegetable Steamer and Air Fryer Combo, Toast, Bake, Roast, Broil, Dough Proofing, W"/>
        <s v="COMFEE' Retro Air Fry Toaster Oven, 7-in-1, 1500W, 19QT Capacity, 6 Slice, Air Fry, Rotisseries, Warm, Broil, Toast, Bake, Convection Bake, Black, Perfect for Countertop"/>
        <s v="Nuwave Brio 6-Quart Healthy Digital Smart Air Fryer with Probe One-Touch Digital Controls, Advanced Cooking Functions, Removable Divider Insert &amp; Grill Pan (NEW ACCESSORY)"/>
        <s v="GoWISE USA GW44800-O Deluxe 12.7-Quarts 15-in-1 Electric Air Fryer Oven with Rotisserie and Dehydrator + 50 Recipes QT, Black"/>
        <s v="Gourmia Air Fryer Oven Digital Display 7 Quart Large AirFryer Cooker 12 Touch Cooking Presets, XL Air Fryer Basket 1700w Powe"/>
        <s v="Gourmia Air Fryer Oven Digital Display 8 Quart Large AirFryer Cooker 12 Touch Cooking Presets, XL Air Fryer Basket 1700w Powe"/>
        <s v="NUWAVE Brio Air Fryer Smart Oven, 15.5-Qt X-Large Family Size, Countertop Convection Rotisserie Grill Combo, Non-Stick Drip T"/>
        <s v="Chefman TurboFry Touch Dual Air Fryer, Maximize The Healthiest Meals With Double Basket Capacity, One-Touch Digital Controls"/>
        <s v="CHEFMAN 5-Quart Digital Air Fryer with Temperature Probe, 8 Customizable Cooking Presets, Large Easy-View Window, Give Your F"/>
        <s v="Ninja Foodi SP101/FT102CO Digital Fry, Convection Oven, Toaster, Air Fryer, Flip-Away for Storage, with XL Capacity, and a St"/>
        <s v="NutriChef Air Fryer, Halogen Infrared Convection Oven - Large 13 Quart Glass Air Fryer, Oil-Free Quick Healthy Meals Multicoo"/>
        <s v="Elite Gourmet EAF1121 Personal 1.1 Qt. Compact Space Saving Electric Hot Air Fryer Oil-Less Healthy Cooker, Timer &amp; Temperatu"/>
        <s v="Air Fryer Oven,whall 12QT 12-in-1 Air Fryer Convection Oven,Rotisserie,Roast,Bake,Dehydrate,12 Cooking Presets,Digital Touchs"/>
        <s v="Paula Deen Stainless Steel 10 QT Digital Air Fryer (1700 Watts), LED Display, 10 Preset Cooking Functions, Ceramic Non-Stick"/>
        <s v="PowerXL Air Fryer Vortex - Multi Cooker with Roast, Bake, Food Dehydrator, Reheat Non Stick Coated Basket, Cookbook (7 QT, Bl"/>
        <s v="CUSIMAX Air Fryer Oven, 10-in-1 Convection Oven, 24QT Air Fryer Combo, Countertop Air Fryer Toaster Oven with Rotisserie &amp; De"/>
        <s v="DASH Deluxe Electric Air Fryer + Oven Cooker with Temperature Control, Non-stick Fry Basket, Recipe Guide + Auto Shut Off Fea"/>
        <s v="COSORI Pro Gen 2 Air Fryer 5.8QT, Upgraded Version with Stable Performance &amp; Sleek New Look, 13 One Touch Functions, 100 Pape"/>
        <s v="Ultrean Air Fryer oven, 12.5 Quart Airfryer Toaster Oven with Rotisserie,Bake,Dehydrator,Auto Shutoff and 8 Touch Screen Pres"/>
        <s v="Aeitto 30L Large Air Fryer Toaster Oven Combo,with Rotisserie and Dehydrator, 19-In-1 Digital Convection Oven Countertop Airf"/>
        <s v="PowerXL Grill Air Fryer Combo 6 QT 12-in-1 Indoor Grill, Air Fryer, Slow Cooker, Roast, Bake, 1550-Watts, Stainless Steel Fin"/>
        <s v="Chefman Air Fryer Toaster Oven Combo, 7-In-1 Convection Oven Countertop 20 Qt Oven Air fryer, Cook a 10 Inch Pizza, Air Fry 2"/>
        <s v="6-in-1 Air Fryer, 7-Quart/6.5L Smart Electric Hot Airfryer Combo Oven Oilless Cooker, 1800W Large Capacity Multifunction Heal"/>
        <s v="Air Fryer Toaster Oven Combo - Fabuletta 10-in-1 Countertop Convection Oven 1800W, Flip Up &amp; Away Capability for Storage Spac"/>
        <s v="Secura Air Fryer XL 5.3 Quart 1700-Watt Electric Hot Air Fryers Oven Oil Free Nonstick Cooker w/Recipes for Frying, Roasting,"/>
        <s v="PowerXL Vortex Air Fryer, Vortex Rapid Air Technology, SmartSync, Broil, Bake, Roast, Reheat, Dehydrate (10 QT Single Basket)"/>
        <s v="GoWISE USA 3.7-Quart Programmable Air Fryer with 8 Cook Presets, GW22638 - Black"/>
        <s v="PowerXL Air Fryer Grill 8 in 1 Roast, Bake, Rotisserie, Electric Indoor Grill (Black Deluxe)"/>
        <s v="Ninja Foodi Ninja Foodi 4-in-1 Indoor Grill (Renewed)"/>
        <s v="Breville Smart Oven Air Fryer Toaster Oven, Black Truffle, BOV860"/>
        <s v="Gevi Air Fryer Toaster Oven Combo, Large Digital LED Screen Convection Oven with Rotisserie and Dehydrator, Extra Large Capac"/>
        <s v="QINQIWD-Air Fryers 2.5L Air Fryer with Rapid Air Circulation System, for Home Smart No Frying Low Fat Healthy Oven 1200W, (Co"/>
        <s v="Simple Deluxe Air Fryer Oven, Toaster Oven Air Fryer Combo, Family Size Air Fryer Oven, 6 Accessories Included , 25L Large Ca"/>
        <s v="CROWNFUL Air Fryer, 10.6 Quart Large Convection Toaster Oven with Digital LCD Touch Screen, 10 in 1 Oilless Cooker with Rotis"/>
        <s v="CROWNFUL 19 Quart Air Fryer Toaster Oven, Convection Roaster with Rotisserie &amp; Dehydrator, 10-in-1 Countertop Oven, Original"/>
        <s v="[NEW] KOOC Large Air Fryer, 4.5-Quart Electric Hot Oven Cooker, Free Cheat Sheet for Quick Reference Guide, LED Touch Digital"/>
        <s v="BELLA 2.9QT Touchscreen Air Fryer, No Pre-Heat Needed, No-Oil Frying, Fast Healthy Evenly Cooked Meal Every Time, Dishwasher"/>
        <s v="PHKOK 7 Quarts Air Fryer, 1700W 360°Large Electric Hot Oilless Oven Cooker with 2-24 HRS Appointment Function,14-in-1 Airfrye"/>
        <s v="CHEFMAN Air Fryer Toaster Oven XL 20L, Healthy Cooking &amp; User Friendly, Countertop Convection Bake &amp; Broil, 9 Cooking Functio"/>
        <s v="Chefman TurboFry 2-Quart Air Fryer, Dishwasher Safe Basket &amp; Tray, Use Little to No Oil For Healthy Food, 60 Minute Timer, Fr"/>
        <s v="Secura Air Fryer 3.4Qt / 3.2L 1500-Watt Electric Hot XL Air Fryers Oven Oil Free Nonstick Cooker with/Recipes for Frying, Roa"/>
        <s v="Beelicious 32QT Extra Large Air Fryer, 19-In-1 Air Fryer Toaster Oven Combo with Rotisserie and Dehydrator, Digital Convectio"/>
        <s v="Air Fryer, Airfryer Oven Large Air Fryer 1700W 8-in-1 with Touch Screen Air Fryers Detachable Dishwasher Safe Nonstick Basket"/>
      </sharedItems>
    </cacheField>
    <cacheField name="标题(翻译)" numFmtId="0">
      <sharedItems count="100">
        <s v="Ninja AF101 空气炸锅，可脆化、烘烤、再加热和脱水，可快速、轻松地进餐，容量为 4 夸脱，表面光洁度高"/>
        <s v="COSORI 空气炸锅 Pro LE 5 夸脱，9 种功能合一，带摇动提醒，高达 450 华氏度以获得无油酥脆效果，钢化玻璃"/>
        <s v="Instant Vortex Plus 10 夸脱空气炸锅，来自 Instant Pot 制造商，7 合 10 功能，采用 EvenCrisp 技术，App wit"/>
        <s v="Instant Vortex Plus 6 夸脱空气炸锅烤箱，来自带 ClearCook 烹饪窗口、数字触摸屏的 Instant Pot 制造商"/>
        <s v="COSORI Pro II 空气炸锅烤箱组合，5.8QT Max Xl 大型炊具，带 12 种一键式可保存自定义功能、食谱和在线"/>
        <s v="Instant Vortex Plus 6 合 1、4QT 空气炸锅烤箱，来自具有可定制智能烹饪程序的 Instant Pot 制造商，非"/>
        <s v="Ninja DZ401 Foodi 10 夸脱 6 合 1 DualZone XL 2 篮空气炸锅带 2 个独立炸篮、Match Cook 和 Smart Finish"/>
        <s v="DASH Tasti-Crisp™ 电动空气炸锅烤箱炊具带温度控制、不粘炸篮、食谱指南 + 自动关闭"/>
        <s v="Gourmia 空气炸锅烤箱数字显示 6 夸脱大型空气炸锅炊具 12 一键式烹饪预设，XL 空气炸锅篮 1500w Po"/>
        <s v="Ninja DZ201 Foodi 8 夸脱 6 合 1 DualZone 2 篮式空气炸锅，带 2 个独立炸篮，Match Cook &amp;amp; Smart Finish"/>
        <s v="Nuwave Brio 7 合 1 空气炸锅烤箱，7.25 夸脱，带一键式数字控制，50°- 400°F 温度控制，增量为 5°，"/>
        <s v="Ninja SP101 数字气炸台面烤箱，具有 8 合 1 功能，可翻转存储空间，带空气"/>
        <s v="空气炸锅，Fabuletta 9 种可定制的智能烹饪程序紧凑型 4 夸脱空气炸锅，摇动提醒，450°F 数字空气炸锅，钢化玻璃显示屏，可用洗碗机清洗且不粘锅，适合 2-4 人"/>
        <s v="Ninja AF161 Max XL 空气炸锅，可烹饪、薯片、烘烤、烘烤、再加热和脱水，具有 5.5 夸脱容量和高 G"/>
        <s v="COSORI 空气炸锅烤箱组合，10 夸脱家庭装 14 合 1 功能（1000 多种应用程序食谱），可放入洗碗机清洗的配件"/>
        <s v="Instant Vortex Plus 6 夸脱空气炸锅烤箱，来自具有除臭技术的 Instant Pot 制造商，ClearCook Cooking Wind"/>
        <s v="Emeril Lagasse 26 QT 超大空气炸锅，带法式门的对流烤箱，不锈钢"/>
        <s v="COSORI 空气炸锅烤箱组合，12 合 1 对流烤箱台面，不锈钢，智能，6 片吐司，12 英寸披萨"/>
        <s v="CHEFMAN 大型空气炸锅 Max XL 8 Qt，健康烹饪，用户友好，不粘不锈钢，带 4 Co 的数字触摸屏"/>
        <s v="精英美食 EAF-0201 个人 2.1 夸脱。 紧凑型节省空间的电热空气炸锅无油健康炊具、定时器和温度"/>
        <s v="CHEFMAN 多功能数字空气炸锅 + 烤肉店、脱水机、对流烤箱、17 种触摸屏预设油炸、烤、脱水"/>
        <s v=" Ninja FD401 Foodi 12 合 1 Deluxe XL 8 夸脱。 高压锅和空气炸锅，可蒸、慢煮、西尔斯、炒、脱水和 Mo"/>
        <s v="东芝 6 合 1 变频微波炉空气炸锅组合、台面微波炉、健康空气炸锅、烤、对流、Speedy Co"/>
        <s v="Emeril Lagasse Power Air Fryer 360 比对流烤箱更好"/>
        <s v="CHEFMAN 小型紧凑型空气炸锅健康烹饪，2 夸脱，不粘锅，用户友好且可调节温度控制，带 60 分钟"/>
        <s v="COSORI 小型空气炸锅烤箱 2.1 夸脱、4 合 1 迷你空气炸锅、烘烤、烘烤、再加热、节省空间和低噪音、不粘锅和洗碗机"/>
        <s v="飞利浦 3000 系列空气炸锅 Essential Compact 采用 Rapid Air 技术，13 合 1 烹饪功能，可煎、烤、烤、烤"/>
        <s v="Kalorik® MAXX® 数字空气炸锅烤箱，26 夸脱，10 合 1 工作台面烤面包机烤箱和空气炸锅组合 21 预设高达 500 度"/>
        <s v="Ultrean 空气炸锅，4.2​​ 夸脱（4 升）电热空气炸锅烤箱无油炊具​​带 LCD 数字屏幕和不粘锅油炸"/>
        <s v="GoWISE USA 1700 瓦 5.8 夸脱 8 合 1 数字空气炸锅带食谱，黑色"/>
        <s v="DASH Tasti-Crisp™ 数字空气炸锅采用 AirCrisp 技术、自定义预设、温度控制和自动关闭功能，"/>
        <s v="Hamilton Beach Sure-Crisp 空气炸锅台面烤箱，适合 9 英寸披萨，4 片容量，强大的循环，自动关闭"/>
        <s v="热风炸锅 - 无油对流动力多功能炊具，带数字显示屏和 3.7 夸脱容量 - 非常适合烘焙、Gri"/>
        <s v="Cuisinart TOA-26 紧凑型空气炸锅烤箱，1800 瓦电机，具有 6 合 1 功能和宽温度范围，大容量"/>
        <s v="Oster 紧凑型台面烤箱，带空气炸锅，不锈钢"/>
        <s v="Geek Chef 空气炸锅烤箱，10 夸脱烤箱台面，4 片烤面包机，6 英寸披萨，热、烤、吐司、烘烤、空气"/>
        <s v="飞利浦 Premium Airfryer XXL 采用除脂技术，3 磅/7 夸脱，黑色，HD9650/96"/>
        <s v=" Ninja FD302 Foodi 11 合 1 Pro 6.5 夸脱。 高压锅和空气炸锅，可蒸、慢煮、西尔斯、炒、脱水等，"/>
        <s v="Chefman 小型紧凑型空气炸锅健康烹饪，2 夸脱不粘锅，用户友好且可调节温度控制，带 60 分钟"/>
        <s v="LATURE 4.2 QT 空气炸锅烤箱炊具带温度和时间控制洗碗机不粘篮 6 种烹饪预设 CE 认证"/>
        <s v="COSORI 空气炸锅烤箱 26.4 夸脱、12 合 1 对流烤箱台面组合、6 片吐司、12 英寸披萨、篮子、托盘、"/>
        <s v="CROWNFUL 7 夸脱空气炸锅，带 12 种烹饪功能的无油电饭锅，带精确温度的 LCD 触摸数字屏幕"/>
        <s v="Cuisinart 空气炸锅（更新）"/>
        <s v="COSORI 空气炸锅烤箱，带烤肉架的 12 合 1 对流烤箱台面，不锈钢 32QT/32L，6 片吐司，1"/>
        <s v="GoWISE USA GW22956 7 夸脱电空气炸锅带脱水器和 3 个可堆叠架，带 8 种功能的 LED 数字触摸屏 +"/>
        <s v="Nuwave Brio 8 夸脱空气炸锅，强大的 1800 瓦，易于阅读的冷白色显示屏，50°-400°F 温度控制，100 个预编程压力"/>
        <s v="Dreo Air Fryer Pro Max，带 100 个食谱的 11 合 1 数字空气炸锅烤箱炊具，可见窗口，支持可定制的 Cooki"/>
        <s v="Ninja SP351 Foodi Smart 13 合 1 双热气炸台面烤箱，脱水，再加热，智能温度计，1800 瓦，银色"/>
        <s v="VILIWIN 空气炸锅 4.5 QT 数字升级空气炸锅炊具 8 预设菜单空气炸锅热空气炸锅自动关闭 30 分钟定时器可调温度控制不粘托盘 1400W 空气炸锅蓝色"/>
        <s v="PowerXL 空气炸锅 7 QT Maxx 经典，超热风炸，烹调，酥脆，烤，烤，烘烤，高光饰面，黑色（7 夸脱）"/>
        <s v="空气炸锅 5.8QT/5.5L，Uten 1700W AirFryer 大功率电热温度控制和定时器旋钮，不粘炸篮，Dis"/>
        <s v="GLUCK 空气炸锅烤箱，10 合 1 20 QT 空气炸锅烤箱带可见烹饪窗口，大型空气炸锅烤箱组合"/>
        <s v="DASH 紧凑型空气炸锅烤箱炊具带温度控制，不粘炸篮，食谱指南 + 自动关闭功能，2 曲"/>
        <s v="ULTREAN 5.8 夸脱空气炸锅、电热空气炸锅无油炊具带 10 个预设、数字 LCD 触摸屏、不粘烤盘"/>
        <s v="Elite Gourmet EAF-3218R 个人 1.1 夸脱紧凑型节省空间电热空气炸锅无油健康炊具、定时器和温度"/>
        <s v="Air Fryer 6.2 QT 无油 AirFryer 1500W 电健康烤箱炊具大容量带可见烹饪窗口，10 个预设 i"/>
        <s v="空气炸锅 12 QT 1700W 大容量无油热空气炸锅烤箱健康炊具带 10 个预设，可见烹饪窗口，LCD"/>
        <s v="PowerXL 空气炸锅蒸锅 7 QT 10 合 1 XL 蔬菜蒸锅和空气炸锅组合，吐司、烘烤、烘烤、烤、面团打样，W"/>
        <s v="COMFEE&amp;#39; Retro Air Fry 烤箱，7 合 1，1500 瓦，19 夸脱容量，6 片，空气炸，烤肉系列，暖，烤，吐司，烘烤，对流烘烤，黑色，非常适合工作台面"/>
        <s v="Nuwave Brio 6 夸脱健康数字智能空气炸锅，带探针一键式数字控制、高级烹饪功能、可拆卸隔板插入件和烤盘（新配件）"/>
        <s v="GoWISE USA GW44800-O Deluxe 12.7 夸脱 15 合 1 电动空气炸锅烤箱带烤肉店和脱水机 + 50 份食谱 QT，黑色"/>
        <s v="Gourmia 空气炸锅烤箱数字显示 7 夸脱大型空气炸锅炊具 12 触摸烹饪预设，XL 空气炸锅篮 1700 瓦功率"/>
        <s v="Gourmia 空气炸锅烤箱数字显示 8 夸脱大型空气炸锅炊具 12 触摸烹饪预设，XL 空气炸锅篮 1700 瓦功率"/>
        <s v="NUWAVE Brio 空气炸锅智能烤箱，15.5 夸脱特大号家庭装，台面对流烤肉店烧烤组合，不粘滴漏式 T"/>
        <s v="Chefman TurboFry Touch 双空气炸锅，双篮容量，一键式数字控制，最大限度地提供最健康的膳食"/>
        <s v="CHEFMAN 5 夸脱数字空气炸锅，带温度探头，8 种可定制的烹饪预设，易于查看的大窗口，让您的 F"/>
        <s v="Ninja Foodi SP101/FT102CO 数字油炸机、对流烤箱、烤面包机、空气炸锅、可翻盖式存储、超大容量和 St"/>
        <s v="NutriChef 空气炸锅，卤素红外线对流烤箱 - 大型 13 夸脱玻璃空气炸锅，无油快速健康膳食 Multicoo"/>
        <s v="精英美食 EAF1121 个人 1.1 夸脱。 紧凑型节省空间电热空气炸锅无油健康炊具、定时器和温度"/>
        <s v="Air Fryer Oven,whall 12QT 12-in-1 Air Fryer Convection Oven,Rotisserie,Roast,Bake,Dehydrate,12 烹饪预设,Digital Touchs"/>
        <s v="Paula Deen 不锈钢 10 QT 数字空气炸锅（1700 瓦）、LED 显示屏、10 种预设烹饪功能、陶瓷不粘锅"/>
        <s v="PowerXL 空气炸锅 Vortex - 多功能炊具，带烘烤、烘烤、食品脱水机、再热不粘涂层篮子、食谱（7 夸脱，Bl"/>
        <s v="CUSIMAX 空气炸锅烤箱、10 合 1 对流烤箱、24 夸脱空气炸锅组合、带 Rotisserie &amp;amp; De 的台面式空气炸锅烤箱"/>
        <s v="DASH Deluxe Electric Air Fryer + Oven Cooker with Temperature Control, 不粘炸篮, Recipe Guide + Auto Shut Off Fea"/>
        <s v="COSORI Pro Gen 2 空气炸锅 5.8QT 升级版性能稳定 外观时尚 13 项一键式功能 100 帕"/>
        <s v="Ultrean Air Fryer 烤箱、12.5 夸脱 Airfryer 烤箱带烤肉架、烘焙、脱水器、自动关闭和 8 个触摸屏压力"/>
        <s v="Aeitto 30 升大型空气炸锅烤面包机烤箱组合，带烤肉架和脱水机，19 合 1 数字对流烤箱台面 Airf"/>
        <s v="PowerXL 烧烤空气炸锅组合 6 QT 12 合 1 室内烧烤、空气炸锅、慢炖锅、烤、烘烤、1550 瓦、不锈钢翅片"/>
        <s v="Chefman 空气炸锅烤面包机烤箱组合，7 合 1 对流烤箱台面 20 夸脱烤箱空气炸锅，烹饪 10 英寸披萨，空气炸锅 2"/>
        <s v="6 合 1 空气炸锅，7 夸脱/6.5 升智能电热空气炸锅组合烤箱无油锅，1800 瓦大容量多功能 Heal"/>
        <s v="空气炸锅烤面包机烤箱组合 - Fabuletta 10 合 1 台面对流烤箱 1800 瓦，可翻转存储空间"/>
        <s v="Secura 空气炸锅 XL 5.3 夸脱 1700 瓦电热空气炸锅烤箱无油不粘锅带食谱，用于煎炸、烘烤、"/>
        <s v="PowerXL Vortex 空气炸锅、Vortex Rapid Air 技术、SmartSync、烤、烘、烤、再热、脱水（10 QT 单篮）"/>
        <s v="GoWISE USA 3.7 夸脱可编程空气炸锅，带 8 个烹饪预设，GW22638 - 黑色"/>
        <s v="PowerXL 空气炸锅烤架 8 合 1 烤、烤、烤肉店、电动室内烤架（黑色豪华版）"/>
        <s v="Ninja Foodi Ninja Foodi 4 合 1 室内烧烤炉（已更新）"/>
        <s v="Breville 智能烤箱空气炸锅烤箱，黑松露，BOV860"/>
        <s v="Gevi 空气炸锅烤箱组合，大型数字 LED 屏幕对流烤箱，带烤肉架和脱水机，超大容量"/>
        <s v="QINQIWD-空气炸锅 2.5L空气炸锅带快速空气循环系统，适用于家庭智能免油炸低脂健康烤箱1200W，（Co"/>
        <s v="简单豪华空气炸锅烤箱，烤箱空气炸锅组合，家庭尺寸空气炸锅烤箱，包括 6 个配件，25 升大容量"/>
        <s v="CROWNFUL 空气炸锅，10.6 夸脱大型对流烤箱，带数字 LCD 触摸屏，10 合 1 无油炊具，带 Rotis"/>
        <s v="CROWNFUL 19 夸脱空气炸锅烤面包机烤箱，带烤肉架和脱水机的对流烤炉，10 合 1 台面烤箱，原装"/>
        <s v="[新] KOOC 大型空气炸锅、4.5 夸脱电热烤箱炊具、免费快速参考指南备忘单、LED Touch Digital"/>
        <s v="BELLA 2.9QT 触摸屏空气炸锅，无需预热，无油煎炸，每次都能快速健康均匀地烹饪食物，洗碗机"/>
        <s v="PHKOK 7 夸脱空气炸锅，1700 瓦 360° 大型电热无油烤箱炊具，具有 2-24 小时预约功能，14 合 1 Airfrye"/>
        <s v="CHEFMAN 空气炸锅烤箱 XL 20L，健康烹饪和用户友好型，台面对流烘烤和烧烤，9 种烹饪功能"/>
        <s v="Chefman TurboFry 2 夸脱空气炸锅，可放入洗碗机清洗的篮子和托盘，少用油或不用油制作健康食品，60 分钟定时器，法国"/>
        <s v="Secura 空气炸锅 3.4 夸脱 / 3.2 升 1500 瓦电热 XL 空气炸锅烤箱无油不粘锅带/煎炸食谱，Roa"/>
        <s v="Beelicious 32QT 超大空气炸锅，19 合 1 空气炸锅烤箱组合，带烤肉店和脱水机，数字对流"/>
        <s v="空气炸锅、空气炸锅烤箱大型空气炸锅 1700 瓦 8 合 1 带触摸屏空气炸锅可拆卸洗碗机安全不粘篮"/>
      </sharedItems>
    </cacheField>
    <cacheField name="亚马逊标识" numFmtId="0">
      <sharedItems count="12">
        <s v="BS"/>
        <s v="BS A+"/>
        <s v="AC BS A+"/>
        <s v="AC A+"/>
        <s v="A+"/>
        <s v=""/>
        <s v="AC"/>
        <s v="AC BS NR A+"/>
        <s v="NR"/>
        <s v="AC BS"/>
        <s v="AC NR A+"/>
        <s v="NR A+"/>
      </sharedItems>
    </cacheField>
    <cacheField name="类目路径" numFmtId="0">
      <sharedItems count="4">
        <s v="Home &amp; Kitchen:Kitchen &amp; Dining:Small Appliances:Fryers:Air Fryers"/>
        <s v="Home &amp; Kitchen:Kitchen &amp; Dining:Small Appliances:Fryers:Deep Fryers"/>
        <s v="Home &amp; Kitchen:Kitchen &amp; Dining:Small Appliances:Ovens &amp; Toasters:Toaster Ovens"/>
        <s v="Home &amp; Kitchen:Kitchen &amp; Dining:Small Appliances:Ovens &amp; Toasters:Convection Ovens"/>
      </sharedItems>
    </cacheField>
    <cacheField name="大类目" numFmtId="0">
      <sharedItems count="1">
        <s v="Kitchen &amp; Dining"/>
      </sharedItems>
    </cacheField>
    <cacheField name="大类BSR" numFmtId="0">
      <sharedItems containsSemiMixedTypes="0" containsString="0" containsNumber="1" containsInteger="1" minValue="0" maxValue="32907" count="100">
        <n v="16"/>
        <n v="131"/>
        <n v="192"/>
        <n v="176"/>
        <n v="193"/>
        <n v="277"/>
        <n v="320"/>
        <n v="494"/>
        <n v="603"/>
        <n v="958"/>
        <n v="1189"/>
        <n v="1009"/>
        <n v="1488"/>
        <n v="1041"/>
        <n v="1367"/>
        <n v="1263"/>
        <n v="1974"/>
        <n v="1787"/>
        <n v="2031"/>
        <n v="2398"/>
        <n v="2256"/>
        <n v="2635"/>
        <n v="2469"/>
        <n v="3010"/>
        <n v="2720"/>
        <n v="2922"/>
        <n v="3655"/>
        <n v="3139"/>
        <n v="2724"/>
        <n v="3310"/>
        <n v="3846"/>
        <n v="3738"/>
        <n v="3701"/>
        <n v="5110"/>
        <n v="6368"/>
        <n v="4417"/>
        <n v="6767"/>
        <n v="5911"/>
        <n v="5206"/>
        <n v="7484"/>
        <n v="4518"/>
        <n v="4762"/>
        <n v="6666"/>
        <n v="6184"/>
        <n v="6281"/>
        <n v="6440"/>
        <n v="6473"/>
        <n v="6834"/>
        <n v="3421"/>
        <n v="9111"/>
        <n v="8292"/>
        <n v="9571"/>
        <n v="9177"/>
        <n v="8771"/>
        <n v="13651"/>
        <n v="13404"/>
        <n v="13357"/>
        <n v="9527"/>
        <n v="9943"/>
        <n v="12327"/>
        <n v="11099"/>
        <n v="12047"/>
        <n v="14264"/>
        <n v="10986"/>
        <n v="10598"/>
        <n v="8252"/>
        <n v="13660"/>
        <n v="13775"/>
        <n v="17711"/>
        <n v="30684"/>
        <n v="14037"/>
        <n v="16222"/>
        <n v="15808"/>
        <n v="11157"/>
        <n v="13280"/>
        <n v="15830"/>
        <n v="23256"/>
        <n v="17477"/>
        <n v="13708"/>
        <n v="17635"/>
        <n v="16129"/>
        <n v="15746"/>
        <n v="14217"/>
        <n v="21578"/>
        <n v="17956"/>
        <n v="20148"/>
        <n v="8604"/>
        <n v="28125"/>
        <n v="10397"/>
        <n v="17516"/>
        <n v="18419"/>
        <n v="14404"/>
        <n v="16717"/>
        <n v="19139"/>
        <n v="24418"/>
        <n v="22603"/>
        <n v="12961"/>
        <n v="32907"/>
        <n v="24313"/>
        <n v="24510"/>
      </sharedItems>
    </cacheField>
    <cacheField name="小类目" numFmtId="0">
      <sharedItems count="11">
        <s v="Air Fryers"/>
        <s v="Air Fryers_x000a_Baking Parchment"/>
        <s v="Deep Fryers_x000a_Air Fryers"/>
        <s v="Commercial Deep Fryers_x000a_Air Fryers_x000a_Kitchen Cookware"/>
        <s v="Air Fryers_x000a_Unique Kitchen"/>
        <s v="Rotisseries &amp; Roasters_x000a_Air Fryers"/>
        <s v="Toaster Ovens_x000a_Air Fryers"/>
        <s v="Air Fryers_x000a_Ovens &amp; Toasters"/>
        <s v="Convection Ovens"/>
        <s v="Commercial Ovens_x000a_Air Fryers"/>
        <s v="Dehydrators_x000a_Toaster Ovens_x000a_Air Fryers"/>
      </sharedItems>
    </cacheField>
    <cacheField name="小类BSR" numFmtId="0">
      <sharedItems count="80">
        <s v="1"/>
        <s v="2"/>
        <s v="4"/>
        <s v="3_x000a_5"/>
        <s v="1_x000a_5"/>
        <s v="1_x000a_6_x000a_19"/>
        <s v="7"/>
        <s v="9"/>
        <s v="10"/>
        <s v="11"/>
        <s v="13"/>
        <s v="17"/>
        <s v="16"/>
        <s v="15"/>
        <s v="20_x000a_20"/>
        <s v="1_x000a_19"/>
        <s v="22"/>
        <s v="23"/>
        <s v="25"/>
        <s v="24"/>
        <s v="27"/>
        <s v="32"/>
        <s v="29"/>
        <s v="26"/>
        <s v="33"/>
        <s v="39"/>
        <s v="43"/>
        <s v="36"/>
        <s v="44"/>
        <s v="38"/>
        <s v="56"/>
        <s v="40"/>
        <s v="41"/>
        <s v="17_x000a_50"/>
        <s v="47_x000a_70"/>
        <s v="51"/>
        <s v="58"/>
        <s v="50"/>
        <s v="55"/>
        <s v="59"/>
        <s v="57"/>
        <s v="61"/>
        <s v="68"/>
        <s v="80"/>
        <s v="77"/>
        <s v="55_x000a_56"/>
        <s v="23_x000a_62"/>
        <s v="76"/>
        <s v="63"/>
        <s v="70"/>
        <s v="88"/>
        <s v="73"/>
        <s v="82"/>
        <s v="105"/>
        <s v="161"/>
        <s v="108_x000a_113"/>
        <s v="124"/>
        <s v="67"/>
        <s v="78"/>
        <s v="89"/>
        <s v="132"/>
        <s v="96_x000a_112"/>
        <s v="81"/>
        <s v="93"/>
        <s v="83"/>
        <s v="87_x000a_98"/>
        <s v="108_x000a_117"/>
        <s v="116"/>
        <s v="1_x000a_152"/>
        <s v="66"/>
        <s v="23_x000a_35_x000a_102"/>
        <s v="101"/>
        <s v="100"/>
        <s v="107"/>
        <s v="135"/>
        <s v="130"/>
        <s v="79"/>
        <s v="176"/>
        <s v="140"/>
        <s v="142"/>
      </sharedItems>
    </cacheField>
    <cacheField name="产品颜色" numFmtId="0">
      <sharedItems count="9">
        <s v="黑色"/>
        <s v="灰色"/>
        <s v="银配黑"/>
        <s v="银色"/>
        <s v="绿色"/>
        <s v="蓝色"/>
        <s v="红色"/>
        <s v="白色"/>
        <s v="粉色"/>
      </sharedItems>
    </cacheField>
    <cacheField name="容量大小（夸脱）" numFmtId="0">
      <sharedItems containsSemiMixedTypes="0" containsString="0" containsNumber="1" minValue="0" maxValue="32" count="44">
        <n v="4"/>
        <n v="5.8"/>
        <n v="10"/>
        <n v="6"/>
        <n v="2.6"/>
        <n v="8"/>
        <n v="7.25"/>
        <n v="17"/>
        <n v="5.5"/>
        <n v="26"/>
        <n v="26.4"/>
        <n v="2.1"/>
        <n v="2"/>
        <n v="4.31578947368421"/>
        <n v="4.2"/>
        <n v="3.7"/>
        <n v="16"/>
        <n v="7"/>
        <n v="6.5"/>
        <n v="30"/>
        <n v="6.8"/>
        <n v="3.8"/>
        <n v="4.5"/>
        <n v="20"/>
        <n v="1.1"/>
        <n v="6.2"/>
        <n v="12"/>
        <n v="19"/>
        <n v="12.7"/>
        <n v="15.5"/>
        <n v="9"/>
        <n v="5"/>
        <n v="13"/>
        <n v="24"/>
        <n v="12.5"/>
        <n v="31.4"/>
        <n v="5.3"/>
        <n v="4.7"/>
        <n v="4.4"/>
        <n v="10.6"/>
        <n v="2.9"/>
        <n v="21"/>
        <n v="3.4"/>
        <n v="32"/>
      </sharedItems>
    </cacheField>
    <cacheField name="容量大小（Quarts）" numFmtId="0">
      <sharedItems count="44">
        <s v="4.0QT"/>
        <s v="5.8QT"/>
        <s v="10.0QT"/>
        <s v="6.0QT"/>
        <s v="2.6QT"/>
        <s v="8.0QT"/>
        <s v="7.25QT"/>
        <s v="17.0QT"/>
        <s v="5.5QT"/>
        <s v="26.0QT"/>
        <s v="26.4QT"/>
        <s v="2.1QT"/>
        <s v="2.0QT"/>
        <s v="4.3QT"/>
        <s v="4.2QT"/>
        <s v="3.7QT"/>
        <s v="16.0QT"/>
        <s v="7.0QT"/>
        <s v="6.5QT"/>
        <s v="30.0QT"/>
        <s v="6.8QT"/>
        <s v="3.8QT"/>
        <s v="4.5QT"/>
        <s v="20.0QT"/>
        <s v="1.1QT"/>
        <s v="6.2QT"/>
        <s v="12.0QT"/>
        <s v="19.0QT"/>
        <s v="12.7QT"/>
        <s v="15.5QT"/>
        <s v="9.0QT"/>
        <s v="5.0QT"/>
        <s v="13.0QT"/>
        <s v="24.0QT"/>
        <s v="12.5QT"/>
        <s v="31.4QT"/>
        <s v="5.3QT"/>
        <s v="4.7QT"/>
        <s v="4.4QT"/>
        <s v="10.6QT"/>
        <s v="2.9QT"/>
        <s v="21.0QT"/>
        <s v="3.4QT"/>
        <s v="32.0QT"/>
      </sharedItems>
    </cacheField>
    <cacheField name="容量大小（升）" numFmtId="0">
      <sharedItems containsSemiMixedTypes="0" containsString="0" containsNumber="1" minValue="0" maxValue="30.272" count="44">
        <n v="3.784"/>
        <n v="5.4868"/>
        <n v="9.46"/>
        <n v="5.676"/>
        <n v="2.4596"/>
        <n v="7.568"/>
        <n v="6.8585"/>
        <n v="16.082"/>
        <n v="5.203"/>
        <n v="24.596"/>
        <n v="24.9744"/>
        <n v="1.9866"/>
        <n v="1.892"/>
        <n v="4.08273684210526"/>
        <n v="3.9732"/>
        <n v="3.5002"/>
        <n v="15.136"/>
        <n v="6.622"/>
        <n v="6.149"/>
        <n v="28.38"/>
        <n v="6.4328"/>
        <n v="3.5948"/>
        <n v="4.257"/>
        <n v="18.92"/>
        <n v="1.0406"/>
        <n v="5.8652"/>
        <n v="11.352"/>
        <n v="17.974"/>
        <n v="12.0142"/>
        <n v="14.663"/>
        <n v="8.514"/>
        <n v="4.73"/>
        <n v="12.298"/>
        <n v="22.704"/>
        <n v="11.825"/>
        <n v="29.7044"/>
        <n v="5.0138"/>
        <n v="4.4462"/>
        <n v="4.1624"/>
        <n v="10.0276"/>
        <n v="2.7434"/>
        <n v="19.866"/>
        <n v="3.2164"/>
        <n v="30.272"/>
      </sharedItems>
    </cacheField>
    <cacheField name="容量大小（L）" numFmtId="0">
      <sharedItems count="44">
        <s v="3.8L"/>
        <s v="5.5L"/>
        <s v="9.5L"/>
        <s v="5.7L"/>
        <s v="2.5L"/>
        <s v="7.6L"/>
        <s v="6.9L"/>
        <s v="16.1L"/>
        <s v="5.2L"/>
        <s v="24.6L"/>
        <s v="25.0L"/>
        <s v="2.0L"/>
        <s v="1.9L"/>
        <s v="4.1L"/>
        <s v="4.0L"/>
        <s v="3.5L"/>
        <s v="15.1L"/>
        <s v="6.6L"/>
        <s v="6.1L"/>
        <s v="28.4L"/>
        <s v="6.4L"/>
        <s v="3.6L"/>
        <s v="4.3L"/>
        <s v="18.9L"/>
        <s v="1.0L"/>
        <s v="5.9L"/>
        <s v="11.4L"/>
        <s v="18.0L"/>
        <s v="12.0L"/>
        <s v="14.7L"/>
        <s v="8.5L"/>
        <s v="4.7L"/>
        <s v="12.3L"/>
        <s v="22.7L"/>
        <s v="11.8L"/>
        <s v="29.7L"/>
        <s v="5.0L"/>
        <s v="4.4L"/>
        <s v="4.2L"/>
        <s v="10.0L"/>
        <s v="2.7L"/>
        <s v="19.9L"/>
        <s v="3.2L"/>
        <s v="30.3L"/>
      </sharedItems>
    </cacheField>
    <cacheField name="产品类型" numFmtId="0">
      <sharedItems count="5">
        <s v="空气炸锅"/>
        <s v="空气炸锅+烤箱"/>
        <s v="空气炸锅+烤箱+烤面包机+脱水机"/>
        <s v="空气炸锅+压力锅"/>
        <s v="空气炸锅+蒸锅"/>
      </sharedItems>
    </cacheField>
    <cacheField name="结构类型" numFmtId="0">
      <sharedItems count="6">
        <s v="单腔"/>
        <s v="单腔双层"/>
        <s v="双腔"/>
        <s v="双腔双层"/>
        <s v="单腔三层"/>
        <s v="双腔三层"/>
      </sharedItems>
    </cacheField>
    <cacheField name="产品功能" numFmtId="0">
      <sharedItems count="15">
        <s v="4合一"/>
        <s v="9合一"/>
        <s v="7合一"/>
        <s v="6合一"/>
        <s v="12合一"/>
        <s v="单一"/>
        <s v="8合一"/>
        <s v="14合一"/>
        <s v="10合一"/>
        <s v="17合一"/>
        <s v="13合一"/>
        <s v="5合一"/>
        <s v="11合一"/>
        <s v="15合一"/>
        <s v="19合一"/>
      </sharedItems>
    </cacheField>
    <cacheField name="功率" numFmtId="0">
      <sharedItems count="17">
        <s v="1550W"/>
        <s v="1500W"/>
        <s v="850W"/>
        <s v="1700W"/>
        <s v="1600W"/>
        <s v="1690W"/>
        <s v="1000W"/>
        <s v="1800W"/>
        <s v="1750W"/>
        <s v="1760W"/>
        <s v="900W"/>
        <s v="1400W"/>
        <s v="1725W"/>
        <s v="1460W"/>
        <s v="1300W"/>
        <s v="700W"/>
        <s v="1200W"/>
      </sharedItems>
    </cacheField>
    <cacheField name="MAX温升" numFmtId="0">
      <sharedItems count="7">
        <s v="205℃"/>
        <s v="230℃"/>
        <s v="260℃"/>
        <s v="200℃"/>
        <s v="215℃"/>
        <s v="316℃"/>
        <s v="250℃"/>
      </sharedItems>
    </cacheField>
    <cacheField name="是否可视化" numFmtId="0">
      <sharedItems count="2">
        <s v="否"/>
        <s v="是"/>
      </sharedItems>
    </cacheField>
    <cacheField name="是否带显示屏" numFmtId="0">
      <sharedItems count="2">
        <s v="是"/>
        <s v="否"/>
      </sharedItems>
    </cacheField>
    <cacheField name="是否带app" numFmtId="0">
      <sharedItems count="2">
        <s v="否"/>
        <s v="是"/>
      </sharedItems>
    </cacheField>
    <cacheField name="控制方式" numFmtId="0">
      <sharedItems count="11">
        <s v="触控控制"/>
        <s v="触控+旋钮控制"/>
        <s v="触控按键+APP控制"/>
        <s v="旋钮控制"/>
        <s v="触控按键"/>
        <s v="按键控制+app控制"/>
        <s v="按键+旋钮控制"/>
        <s v="触控+app控制"/>
        <s v="按键控制"/>
        <s v="触控+旋钮+app控制"/>
        <s v="按键+旋钮+app控制"/>
      </sharedItems>
    </cacheField>
    <cacheField name="主要材质" numFmtId="0">
      <sharedItems count="9">
        <s v="不沾陶瓷+塑料"/>
        <s v="不锈钢+钢化玻璃+塑料"/>
        <s v="不沾陶瓷+钢化玻璃+塑料"/>
        <s v="不锈钢+不沾陶瓷+塑料"/>
        <s v="不锈钢+塑料"/>
        <s v="不锈钢"/>
        <s v="铬+塑料"/>
        <s v="钢化玻璃+塑料"/>
        <s v="铬+钢化玻璃+塑料"/>
      </sharedItems>
    </cacheField>
    <cacheField name="价格区间" numFmtId="0">
      <sharedItems count="19">
        <s v="80~90usd"/>
        <s v="90~100usd"/>
        <s v="100~110usd"/>
        <s v="≥200usd以上"/>
        <s v="30~40usd"/>
        <s v="50~60usd"/>
        <s v="190~200usd"/>
        <s v="180~190usd"/>
        <s v="60~70usd"/>
        <s v="140~150usd"/>
        <s v="150~160usd"/>
        <s v="110~120usd"/>
        <s v="160~170usd"/>
        <s v="40~50usd"/>
        <s v="170~180usd"/>
        <s v="120~130usd"/>
        <s v="70~80usd"/>
        <s v="130~140usd"/>
        <s v="0~10usd"/>
      </sharedItems>
    </cacheField>
    <cacheField name="上架时间" numFmtId="0">
      <sharedItems count="7">
        <s v="≥3年以上"/>
        <s v="1年半~2年"/>
        <s v="2年半~3年"/>
        <s v="1年~1年半"/>
        <s v="半年-1年"/>
        <s v="2年~2年半"/>
        <s v="半年"/>
      </sharedItems>
    </cacheField>
    <cacheField name="评分区间" numFmtId="0">
      <sharedItems count="6">
        <s v="4.5~4.8"/>
        <s v="4.2~4.5"/>
        <s v="4~4.2"/>
        <s v="4.8~5"/>
        <s v="3~4"/>
        <s v="1~2"/>
      </sharedItems>
    </cacheField>
    <cacheField name="评论数区间" numFmtId="0">
      <sharedItems count="7">
        <s v="≥1000"/>
        <s v="800-1000"/>
        <s v="300-500"/>
        <s v="500-800"/>
        <s v="0-50"/>
        <s v="100-300"/>
        <s v="50-100"/>
      </sharedItems>
    </cacheField>
    <cacheField name="计数" numFmtId="0">
      <sharedItems containsSemiMixedTypes="0" containsString="0" containsNumber="1" containsInteger="1" minValue="0" maxValue="1" count="1">
        <n v="1"/>
      </sharedItems>
    </cacheField>
    <cacheField name="近30天销量" numFmtId="0">
      <sharedItems containsSemiMixedTypes="0" containsString="0" containsNumber="1" containsInteger="1" minValue="0" maxValue="32023" count="100">
        <n v="32023"/>
        <n v="23043"/>
        <n v="11952"/>
        <n v="9323"/>
        <n v="20869"/>
        <n v="21741"/>
        <n v="11474"/>
        <n v="5301"/>
        <n v="8734"/>
        <n v="6319"/>
        <n v="5498"/>
        <n v="9972"/>
        <n v="4279"/>
        <n v="7579"/>
        <n v="1372"/>
        <n v="5320"/>
        <n v="2970"/>
        <n v="4224"/>
        <n v="2980"/>
        <n v="1574"/>
        <n v="3245"/>
        <n v="3280"/>
        <n v="2153"/>
        <n v="2205"/>
        <n v="2946"/>
        <n v="17432"/>
        <n v="1488"/>
        <n v="1034"/>
        <n v="3991"/>
        <n v="2695"/>
        <n v="2032"/>
        <n v="2305"/>
        <n v="622"/>
        <n v="1381"/>
        <n v="1341"/>
        <n v="985"/>
        <n v="922"/>
        <n v="1815"/>
        <n v="837"/>
        <n v="1962"/>
        <n v="1850"/>
        <n v="1583"/>
        <n v="936"/>
        <n v="1895"/>
        <n v="1535"/>
        <n v="1712"/>
        <n v="1757"/>
        <n v="702"/>
        <n v="1109"/>
        <n v="1487"/>
        <n v="452"/>
        <n v="872"/>
        <n v="1006"/>
        <n v="1104"/>
        <n v="1121"/>
        <n v="667"/>
        <n v="882"/>
        <n v="398"/>
        <n v="817"/>
        <n v="869"/>
        <n v="949"/>
        <n v="891"/>
        <n v="531"/>
        <n v="814"/>
        <n v="768"/>
        <n v="1180"/>
        <n v="704"/>
        <n v="532"/>
        <n v="492"/>
        <n v="1235"/>
        <n v="666"/>
        <n v="418"/>
        <n v="600"/>
        <n v="500"/>
        <n v="981"/>
        <n v="1010"/>
        <n v="231"/>
        <n v="540"/>
        <n v="585"/>
        <n v="372"/>
        <n v="815"/>
        <n v="3104"/>
        <n v="234"/>
        <n v="577"/>
        <n v="561"/>
        <n v="241"/>
        <n v="956"/>
        <n v="406"/>
        <n v="3836"/>
        <n v="510"/>
        <n v="589"/>
        <n v="555"/>
        <n v="851"/>
        <n v="309"/>
        <n v="578"/>
        <n v="365"/>
        <n v="610"/>
        <n v="216"/>
        <n v="490"/>
        <n v="363"/>
      </sharedItems>
    </cacheField>
    <cacheField name="近30天销售额($)" numFmtId="0">
      <sharedItems containsSemiMixedTypes="0" containsString="0" containsNumber="1" minValue="0" maxValue="2880468.8" count="100">
        <n v="2880468.8"/>
        <n v="1842979.2"/>
        <n v="1314122.4"/>
        <n v="1025063.8"/>
        <n v="2294964"/>
        <n v="1956472.5"/>
        <n v="2294685.2"/>
        <n v="211987"/>
        <n v="521681.8"/>
        <n v="1263484"/>
        <n v="489816.8"/>
        <n v="1994300.4"/>
        <n v="342277.2"/>
        <n v="1136774.2"/>
        <n v="150892.56"/>
        <n v="850934"/>
        <n v="858330"/>
        <n v="675797.8"/>
        <n v="297970.2"/>
        <n v="62409.1"/>
        <n v="389367.53"/>
        <n v="721436"/>
        <n v="516698.47"/>
        <n v="352777.97"/>
        <n v="117810.55"/>
        <n v="871425.7"/>
        <n v="133905.11"/>
        <n v="185086"/>
        <n v="279330.1"/>
        <n v="170485.7"/>
        <n v="132059.67"/>
        <n v="161326.94"/>
        <n v="33469.82"/>
        <n v="170097.77"/>
        <n v="107266.586"/>
        <n v="196990.16"/>
        <n v="166697.61"/>
        <n v="326681.88"/>
        <n v="40644.723"/>
        <n v="88074.18"/>
        <n v="277481.5"/>
        <n v="126624.164"/>
        <n v="93590.64"/>
        <n v="360031.06"/>
        <n v="184184.64"/>
        <n v="178048"/>
        <n v="208081.52"/>
        <n v="161452.98"/>
        <n v="70920.555"/>
        <n v="178425.12"/>
        <n v="24335.68"/>
        <n v="113351.28"/>
        <n v="48257.82"/>
        <n v="88308.96"/>
        <n v="40221.48"/>
        <n v="53353.33"/>
        <n v="88191.18"/>
        <n v="33833.98"/>
        <n v="81691.83"/>
        <n v="90376"/>
        <n v="81272.36"/>
        <n v="80635.5"/>
        <n v="43127.82"/>
        <n v="131452.86"/>
        <n v="107512.33"/>
        <n v="117988.195"/>
        <n v="111900.8"/>
        <n v="34968.363"/>
        <n v="18691.08"/>
        <n v="185237.66"/>
        <n v="126533.34"/>
        <n v="41540.84"/>
        <n v="71994"/>
        <n v="28425"/>
        <n v="117710.19"/>
        <n v="85829.805"/>
        <n v="43887.69"/>
        <n v="55614.598"/>
        <n v="76044.16"/>
        <n v="27505.682"/>
        <n v="122241.85"/>
        <n v="207129.94"/>
        <n v="21993.66"/>
        <n v="35623.98"/>
        <n v="72369"/>
        <n v="16867.59"/>
        <n v="334552.22"/>
        <n v="54805.94"/>
        <n v="22478.96"/>
        <n v="60894"/>
        <n v="53004.11"/>
        <n v="49944.45"/>
        <n v="93601.484"/>
        <n v="15357.3"/>
        <n v="35830.223"/>
        <n v="54746.35"/>
        <n v="30493.9"/>
        <n v="12627.359"/>
        <n v="112695.1"/>
        <n v="65321.848"/>
      </sharedItems>
    </cacheField>
    <cacheField name="价格($)" numFmtId="0">
      <sharedItems containsSemiMixedTypes="0" containsString="0" containsNumber="1" minValue="0" maxValue="329.99" count="72">
        <n v="89.95"/>
        <n v="99.99"/>
        <n v="109.95"/>
        <n v="109.97"/>
        <n v="89.99"/>
        <n v="225"/>
        <n v="39.99"/>
        <n v="59.77"/>
        <n v="199.95"/>
        <n v="89.09"/>
        <n v="187"/>
        <n v="67.99"/>
        <n v="149.99"/>
        <n v="109.98"/>
        <n v="159.95"/>
        <n v="289"/>
        <n v="159.99"/>
        <n v="39.65"/>
        <n v="119.99"/>
        <n v="219.95"/>
        <n v="329.99"/>
        <n v="163"/>
        <n v="49.99"/>
        <n v="149.95"/>
        <n v="179"/>
        <n v="69.99"/>
        <n v="63.26"/>
        <n v="64.99"/>
        <n v="53.81"/>
        <n v="123.17"/>
        <n v="79.99"/>
        <n v="199.99"/>
        <n v="180.8"/>
        <n v="179.99"/>
        <n v="48.56"/>
        <n v="44.89"/>
        <n v="189.99"/>
        <n v="104"/>
        <n v="118.43"/>
        <n v="229.99"/>
        <n v="79.95"/>
        <n v="73.72"/>
        <n v="169.99"/>
        <n v="47.97"/>
        <n v="35.88"/>
        <n v="84.99"/>
        <n v="85.01"/>
        <n v="85.66"/>
        <n v="90.5"/>
        <n v="81.22"/>
        <n v="161.49"/>
        <n v="139.99"/>
        <n v="158.95"/>
        <n v="65.73"/>
        <n v="37.99"/>
        <n v="56.85"/>
        <n v="239.99"/>
        <n v="102.99"/>
        <n v="129.99"/>
        <n v="66.73"/>
        <n v="93.99"/>
        <n v="61.74"/>
        <n v="129"/>
        <n v="279.95"/>
        <n v="134.99"/>
        <n v="5.86"/>
        <n v="119.4"/>
        <n v="109.99"/>
        <n v="49.7"/>
        <n v="61.99"/>
        <n v="58.46"/>
        <n v="179.95"/>
      </sharedItems>
    </cacheField>
    <cacheField name="毛利率" numFmtId="0">
      <sharedItems containsSemiMixedTypes="0" containsString="0" containsNumber="1" minValue="0" maxValue="0.85" count="97">
        <n v="0.6578"/>
        <n v="0.6128"/>
        <n v="0.6431"/>
        <n v="0.6698"/>
        <n v="0.666"/>
        <n v="0.6672"/>
        <n v="0.7194"/>
        <n v="0.5017"/>
        <n v="0.5535"/>
        <n v="0.7341"/>
        <n v="0.6229"/>
        <n v="0.7362"/>
        <n v="0.6391"/>
        <n v="0.7179"/>
        <n v="0.7262"/>
        <n v="0.7451"/>
        <n v="0.6684"/>
        <n v="0.6435"/>
        <n v="0.5093"/>
        <n v="0.6744"/>
        <n v="0.716"/>
        <n v="0.7342"/>
        <n v="0.6973"/>
        <n v="0.4807"/>
        <n v="0.5881"/>
        <n v="0.7018"/>
        <n v="0.615"/>
        <n v="0.5302"/>
        <n v="0.6357"/>
        <n v="0.5443"/>
        <n v="0.6789"/>
        <n v="0.5761"/>
        <n v="0.7677"/>
        <n v="0.7242"/>
        <n v="0.7096"/>
        <n v="0.5545"/>
        <n v="0.5023"/>
        <n v="0.6283"/>
        <n v="0.5919"/>
        <n v="0.5259"/>
        <n v="0.6772"/>
        <n v="0.6814"/>
        <n v="0.6555"/>
        <n v="0.665"/>
        <n v="0.7529"/>
        <n v="0.5928"/>
        <n v="0.6919"/>
        <n v="0.4977"/>
        <n v="0.6621"/>
        <n v="0.5711"/>
        <n v="0.6129"/>
        <n v="0.5086"/>
        <n v="0.6181"/>
        <n v="0.6351"/>
        <n v="0.5478"/>
        <n v="0.6358"/>
        <n v="0.5909"/>
        <n v="0.5844"/>
        <n v="0.6543"/>
        <n v="0.5958"/>
        <n v="0.7065"/>
        <n v="0.6875"/>
        <n v="0.6603"/>
        <n v="0.7122"/>
        <n v="0.6061"/>
        <n v="0.6444"/>
        <n v="0.7235"/>
        <n v="0.728"/>
        <n v="0.6591"/>
        <n v="0.6149"/>
        <n v="0.5163"/>
        <n v="0.6884"/>
        <n v="0.5922"/>
        <n v="0.6949"/>
        <n v="0.6332"/>
        <n v="0.6491"/>
        <n v="0.5821"/>
        <n v="0.7291"/>
        <n v="0.5405"/>
        <n v="0.599"/>
        <n v="0.5496"/>
        <n v="0.6509"/>
        <n v="0.537"/>
        <n v="0.7634"/>
        <n v="0.6752"/>
        <n v="0.85"/>
        <n v="0.6288"/>
        <n v="0.5972"/>
        <n v="0.5599"/>
        <n v="0.689"/>
        <n v="0.5444"/>
        <n v="0.4898"/>
        <n v="0.6479"/>
        <n v="0.5629"/>
        <n v="0.5542"/>
        <n v="0.7219"/>
        <n v="0.7212"/>
      </sharedItems>
    </cacheField>
    <cacheField name="FBA($)" numFmtId="0">
      <sharedItems containsString="0" containsBlank="1" containsNumber="1" minValue="0" maxValue="33.25" count="44">
        <n v="17.29"/>
        <n v="18.97"/>
        <n v="22.75"/>
        <n v="19.81"/>
        <n v="20.23"/>
        <n v="16.45"/>
        <n v="26.11"/>
        <n v="13.93"/>
        <n v="17.71"/>
        <n v="23.17"/>
        <n v="16.87"/>
        <n v="30.31"/>
        <n v="29.05"/>
        <n v="20.65"/>
        <n v="13.51"/>
        <n v="21.07"/>
        <n v="29.47"/>
        <n v="27.79"/>
        <n v="24.43"/>
        <n v="14.77"/>
        <n v="13.09"/>
        <n v="26.53"/>
        <n v="21.91"/>
        <n v="25.27"/>
        <n v="14.35"/>
        <n v="15.61"/>
        <n v="33.25"/>
        <n v="32.41"/>
        <n v="32.83"/>
        <n v="22.33"/>
        <n v="12.25"/>
        <n v="18.55"/>
        <n v="21.49"/>
        <n v="25.69"/>
        <n v="24.85"/>
        <n v="26.95"/>
        <n v="16.03"/>
        <n v="7.81"/>
        <n v="28.21"/>
        <n v="19.39"/>
        <n v="18.13"/>
        <n v="23.59"/>
        <m/>
        <n v="15.19"/>
      </sharedItems>
    </cacheField>
    <cacheField name="评分" numFmtId="0">
      <sharedItems containsSemiMixedTypes="0" containsString="0" containsNumber="1" minValue="0" maxValue="5" count="13">
        <n v="4.8"/>
        <n v="4.7"/>
        <n v="4.6"/>
        <n v="4.5"/>
        <n v="4.4"/>
        <n v="4.3"/>
        <n v="4.1"/>
        <n v="5"/>
        <n v="4.2"/>
        <n v="4"/>
        <n v="4.9"/>
        <n v="2"/>
        <n v="3.9"/>
      </sharedItems>
    </cacheField>
    <cacheField name="评分数" numFmtId="0">
      <sharedItems containsSemiMixedTypes="0" containsString="0" containsNumber="1" containsInteger="1" minValue="0" maxValue="59811" count="99">
        <n v="48820"/>
        <n v="15150"/>
        <n v="59811"/>
        <n v="13752"/>
        <n v="12358"/>
        <n v="18755"/>
        <n v="5424"/>
        <n v="29723"/>
        <n v="875"/>
        <n v="18050"/>
        <n v="8480"/>
        <n v="24097"/>
        <n v="382"/>
        <n v="16093"/>
        <n v="4736"/>
        <n v="18506"/>
        <n v="2118"/>
        <n v="2434"/>
        <n v="7320"/>
        <n v="5147"/>
        <n v="10832"/>
        <n v="33409"/>
        <n v="764"/>
        <n v="13970"/>
        <n v="21089"/>
        <n v="2387"/>
        <n v="1069"/>
        <n v="10571"/>
        <n v="40740"/>
        <n v="33005"/>
        <n v="2910"/>
        <n v="1929"/>
        <n v="8"/>
        <n v="5601"/>
        <n v="1421"/>
        <n v="167"/>
        <n v="2574"/>
        <n v="2738"/>
        <n v="17288"/>
        <n v="274"/>
        <n v="5162"/>
        <n v="2411"/>
        <n v="1109"/>
        <n v="10554"/>
        <n v="15447"/>
        <n v="7450"/>
        <n v="3064"/>
        <n v="469"/>
        <n v="1535"/>
        <n v="5423"/>
        <n v="3489"/>
        <n v="203"/>
        <n v="16382"/>
        <n v="12125"/>
        <n v="6569"/>
        <n v="268"/>
        <n v="289"/>
        <n v="627"/>
        <n v="7786"/>
        <n v="3107"/>
        <n v="10891"/>
        <n v="807"/>
        <n v="55"/>
        <n v="15778"/>
        <n v="3116"/>
        <n v="914"/>
        <n v="1887"/>
        <n v="1245"/>
        <n v="1289"/>
        <n v="2734"/>
        <n v="2334"/>
        <n v="2141"/>
        <n v="121"/>
        <n v="11972"/>
        <n v="13845"/>
        <n v="11"/>
        <n v="2593"/>
        <n v="1422"/>
        <n v="806"/>
        <n v="66"/>
        <n v="6211"/>
        <n v="1506"/>
        <n v="15252"/>
        <n v="7603"/>
        <n v="547"/>
        <n v="1271"/>
        <n v="1772"/>
        <n v="64"/>
        <n v="199"/>
        <n v="7326"/>
        <n v="5402"/>
        <n v="848"/>
        <n v="1625"/>
        <n v="239"/>
        <n v="2652"/>
        <n v="357"/>
        <n v="4355"/>
        <n v="731"/>
        <n v="1122"/>
      </sharedItems>
    </cacheField>
    <cacheField name="留评率" numFmtId="0">
      <sharedItems containsSemiMixedTypes="0" containsString="0" containsNumber="1" minValue="0" maxValue="1" count="87">
        <n v="0.1977"/>
        <n v="0"/>
        <n v="0.0664"/>
        <n v="0.0452"/>
        <n v="0.0319"/>
        <n v="0.0295"/>
        <n v="0.0681"/>
        <n v="0.0071"/>
        <n v="0.0745"/>
        <n v="0.0349"/>
        <n v="0.0355"/>
        <n v="0.0327"/>
        <n v="0.0289"/>
        <n v="0.0596"/>
        <n v="0.0572"/>
        <n v="0.0725"/>
        <n v="0.2255"/>
        <n v="0.0961"/>
        <n v="0.0518"/>
        <n v="0.0446"/>
        <n v="0.0807"/>
        <n v="0.1198"/>
        <n v="0.0296"/>
        <n v="0.1644"/>
        <n v="0.0661"/>
        <n v="0.082"/>
        <n v="0.0679"/>
        <n v="0.0364"/>
        <n v="0.0113"/>
        <n v="0.0311"/>
        <n v="0.0388"/>
        <n v="0.0488"/>
        <n v="0.0512"/>
        <n v="0.1649"/>
        <n v="0.2941"/>
        <n v="0.0537"/>
        <n v="0.0342"/>
        <n v="0.0686"/>
        <n v="0.058"/>
        <n v="0.0567"/>
        <n v="0.0711"/>
        <n v="0.0969"/>
        <n v="0.0541"/>
        <n v="0.0585"/>
        <n v="0.0796"/>
        <n v="0.1399"/>
        <n v="0.0736"/>
        <n v="0.173"/>
        <n v="0.6191"/>
        <n v="0.1139"/>
        <n v="0.0658"/>
        <n v="0.0528"/>
        <n v="0.0771"/>
        <n v="0.0357"/>
        <n v="0.1201"/>
        <n v="0.0864"/>
        <n v="0.0075"/>
        <n v="0.0676"/>
        <n v="0.1237"/>
        <n v="0.0534"/>
        <n v="0.0483"/>
        <n v="0.0639"/>
        <n v="1"/>
        <n v="0.0672"/>
        <n v="0.0766"/>
        <n v="0.0617"/>
        <n v="0.038"/>
        <n v="0.0306"/>
        <n v="0.095"/>
        <n v="0.0433"/>
        <n v="0.0963"/>
        <n v="0.1111"/>
        <n v="0.1075"/>
        <n v="0.0282"/>
        <n v="0.0409"/>
        <n v="0.1265"/>
        <n v="0.1123"/>
        <n v="0.0102"/>
        <n v="0.0471"/>
        <n v="0.1511"/>
        <n v="0.1207"/>
        <n v="0.027"/>
        <n v="0.1553"/>
        <n v="0.0848"/>
        <n v="0.1288"/>
        <n v="0.0741"/>
        <n v="0.1061"/>
      </sharedItems>
    </cacheField>
    <cacheField name="月新增_x000a_评分数" numFmtId="0">
      <sharedItems containsSemiMixedTypes="0" containsString="0" containsNumber="1" containsInteger="1" minValue="0" maxValue="6330" count="81">
        <n v="6330"/>
        <n v="0"/>
        <n v="794"/>
        <n v="421"/>
        <n v="693"/>
        <n v="338"/>
        <n v="361"/>
        <n v="62"/>
        <n v="471"/>
        <n v="192"/>
        <n v="354"/>
        <n v="140"/>
        <n v="219"/>
        <n v="3055"/>
        <n v="317"/>
        <n v="170"/>
        <n v="216"/>
        <n v="355"/>
        <n v="312"/>
        <n v="96"/>
        <n v="178"/>
        <n v="353"/>
        <n v="44"/>
        <n v="264"/>
        <n v="221"/>
        <n v="138"/>
        <n v="84"/>
        <n v="7"/>
        <n v="43"/>
        <n v="52"/>
        <n v="45"/>
        <n v="93"/>
        <n v="61"/>
        <n v="544"/>
        <n v="85"/>
        <n v="32"/>
        <n v="130"/>
        <n v="89"/>
        <n v="97"/>
        <n v="125"/>
        <n v="68"/>
        <n v="60"/>
        <n v="87"/>
        <n v="36"/>
        <n v="122"/>
        <n v="74"/>
        <n v="191"/>
        <n v="694"/>
        <n v="76"/>
        <n v="58"/>
        <n v="21"/>
        <n v="63"/>
        <n v="31"/>
        <n v="114"/>
        <n v="77"/>
        <n v="4"/>
        <n v="55"/>
        <n v="95"/>
        <n v="34"/>
        <n v="492"/>
        <n v="83"/>
        <n v="997"/>
        <n v="37"/>
        <n v="19"/>
        <n v="30"/>
        <n v="10"/>
        <n v="65"/>
        <n v="40"/>
        <n v="23"/>
        <n v="127"/>
        <n v="358"/>
        <n v="73"/>
        <n v="16"/>
        <n v="59"/>
        <n v="39"/>
        <n v="24"/>
        <n v="67"/>
        <n v="48"/>
        <n v="49"/>
        <n v="47"/>
        <n v="28"/>
      </sharedItems>
    </cacheField>
    <cacheField name="Q&amp;A数" numFmtId="0">
      <sharedItems containsString="0" containsBlank="1" containsNumber="1" containsInteger="1" minValue="0" maxValue="965" count="9">
        <m/>
        <n v="427"/>
        <n v="26"/>
        <n v="163"/>
        <n v="965"/>
        <n v="680"/>
        <n v="73"/>
        <n v="130"/>
        <n v="3"/>
      </sharedItems>
    </cacheField>
    <cacheField name="评级" numFmtId="0">
      <sharedItems count="6">
        <s v="C"/>
        <s v="D"/>
        <s v="B"/>
        <s v="A"/>
        <s v=""/>
        <s v="F"/>
      </sharedItems>
    </cacheField>
    <cacheField name="上架时间2" numFmtId="0">
      <sharedItems count="93">
        <s v="2018-08-13"/>
        <s v="2021-08-22"/>
        <s v="2019-08-20"/>
        <s v="2021-06-04"/>
        <s v="2020-05-26"/>
        <s v="2020-07-12"/>
        <s v="2021-07-30"/>
        <s v="2019-11-07"/>
        <s v="2021-11-29"/>
        <s v="2020-09-01"/>
        <s v="2017-09-25"/>
        <s v="2019-07-25"/>
        <s v="2022-06-09"/>
        <s v="2019-07-05"/>
        <s v="2022-07-19"/>
        <s v="2021-07-26"/>
        <s v="2021-03-02"/>
        <s v="2020-08-20"/>
        <s v="2019-12-09"/>
        <s v="2019-07-26"/>
        <s v="2021-10-08"/>
        <s v="2019-02-11"/>
        <s v="2019-02-01"/>
        <s v="2023-03-17"/>
        <s v="2021-04-01"/>
        <s v="2020-04-07"/>
        <s v="2018-01-29"/>
        <s v="2017-11-07"/>
        <s v="2020-12-15"/>
        <s v="2020-07-13"/>
        <s v="2023-03-01"/>
        <s v="2018-12-11"/>
        <s v="2020-11-30"/>
        <s v="2022-09-22"/>
        <s v="2018-07-30"/>
        <s v="2020-10-12"/>
        <s v="2019-03-29"/>
        <s v="2022-03-07"/>
        <s v="2020-11-21"/>
        <s v="2021-04-16"/>
        <s v="2022-04-13"/>
        <s v="2019-09-01"/>
        <s v="2019-11-01"/>
        <s v="2020-06-03"/>
        <s v="2021-09-28"/>
        <s v="2021-08-06"/>
        <s v="2021-07-05"/>
        <s v="2020-08-11"/>
        <s v="2019-07-22"/>
        <s v="2022-09-24"/>
        <s v="2017-09-02"/>
        <s v="2019-08-27"/>
        <s v="2020-04-28"/>
        <s v="2022-08-22"/>
        <s v="2022-04-25"/>
        <s v="2021-02-19"/>
        <s v="2019-09-19"/>
        <s v="2018-10-10"/>
        <s v="2020-12-22"/>
        <s v="2020-11-09"/>
        <s v="2020-05-15"/>
        <s v="2021-08-05"/>
        <s v="2022-07-22"/>
        <s v="2019-09-04"/>
        <s v="2016-08-29"/>
        <s v="2020-11-12"/>
        <s v="2022-09-13"/>
        <s v="2020-12-03"/>
        <s v="2019-11-08"/>
        <s v="2022-09-21"/>
        <s v="2018-08-20"/>
        <s v="2022-09-05"/>
        <s v="2019-11-18"/>
        <s v="2023-01-01"/>
        <s v="2020-08-18"/>
        <s v="2021-08-30"/>
        <s v="2022-06-08"/>
        <s v="2017-03-31"/>
        <s v="2020-10-08"/>
        <s v="2016-08-11"/>
        <s v="2020-03-30"/>
        <s v="2020-01-29"/>
        <s v="2022-06-10"/>
        <s v="2016-03-26"/>
        <s v="2022-04-15"/>
        <s v="2020-04-14"/>
        <s v="2020-04-30"/>
        <s v="2021-06-27"/>
        <s v="2021-05-30"/>
        <s v="2022-08-09"/>
        <s v="2020-09-08"/>
        <s v="2022-06-24"/>
        <s v="2021-06-01"/>
      </sharedItems>
    </cacheField>
    <cacheField name="上架天数" numFmtId="0">
      <sharedItems containsSemiMixedTypes="0" containsString="0" containsNumber="1" containsInteger="1" minValue="0" maxValue="2557" count="93">
        <n v="1687"/>
        <n v="582"/>
        <n v="1315"/>
        <n v="661"/>
        <n v="1035"/>
        <n v="988"/>
        <n v="605"/>
        <n v="1236"/>
        <n v="483"/>
        <n v="937"/>
        <n v="2009"/>
        <n v="1341"/>
        <n v="291"/>
        <n v="1361"/>
        <n v="251"/>
        <n v="609"/>
        <n v="755"/>
        <n v="949"/>
        <n v="1204"/>
        <n v="1340"/>
        <n v="535"/>
        <n v="1505"/>
        <n v="1515"/>
        <n v="10"/>
        <n v="725"/>
        <n v="1084"/>
        <n v="1883"/>
        <n v="1966"/>
        <n v="832"/>
        <n v="987"/>
        <n v="26"/>
        <n v="1567"/>
        <n v="847"/>
        <n v="186"/>
        <n v="1701"/>
        <n v="896"/>
        <n v="1459"/>
        <n v="385"/>
        <n v="856"/>
        <n v="710"/>
        <n v="348"/>
        <n v="1303"/>
        <n v="1242"/>
        <n v="1027"/>
        <n v="545"/>
        <n v="597"/>
        <n v="630"/>
        <n v="958"/>
        <n v="1344"/>
        <n v="184"/>
        <n v="2032"/>
        <n v="1308"/>
        <n v="1063"/>
        <n v="217"/>
        <n v="336"/>
        <n v="766"/>
        <n v="1285"/>
        <n v="1629"/>
        <n v="825"/>
        <n v="868"/>
        <n v="1046"/>
        <n v="599"/>
        <n v="248"/>
        <n v="1300"/>
        <n v="2401"/>
        <n v="865"/>
        <n v="195"/>
        <n v="844"/>
        <n v="1235"/>
        <n v="187"/>
        <n v="1680"/>
        <n v="203"/>
        <n v="1225"/>
        <n v="85"/>
        <n v="951"/>
        <n v="574"/>
        <n v="292"/>
        <n v="2187"/>
        <n v="900"/>
        <n v="2419"/>
        <n v="1092"/>
        <n v="1153"/>
        <n v="290"/>
        <n v="2557"/>
        <n v="346"/>
        <n v="1077"/>
        <n v="1061"/>
        <n v="638"/>
        <n v="666"/>
        <n v="230"/>
        <n v="930"/>
        <n v="276"/>
        <n v="664"/>
      </sharedItems>
    </cacheField>
    <cacheField name="变体数" numFmtId="0">
      <sharedItems containsSemiMixedTypes="0" containsString="0" containsNumber="1" containsInteger="1" minValue="0" maxValue="5" count="4">
        <n v="1"/>
        <n v="5"/>
        <n v="4"/>
        <n v="3"/>
      </sharedItems>
    </cacheField>
    <cacheField name="卖家数" numFmtId="0">
      <sharedItems containsSemiMixedTypes="0" containsString="0" containsNumber="1" containsInteger="1" minValue="0" maxValue="31" count="19">
        <n v="12"/>
        <n v="1"/>
        <n v="5"/>
        <n v="3"/>
        <n v="4"/>
        <n v="2"/>
        <n v="7"/>
        <n v="10"/>
        <n v="16"/>
        <n v="8"/>
        <n v="14"/>
        <n v="9"/>
        <n v="15"/>
        <n v="17"/>
        <n v="23"/>
        <n v="6"/>
        <n v="18"/>
        <n v="31"/>
        <n v="22"/>
      </sharedItems>
    </cacheField>
    <cacheField name="Buybox卖家" numFmtId="0">
      <sharedItems containsBlank="1" count="29">
        <m/>
        <s v="Amazon"/>
        <s v=""/>
        <s v="charmantroom"/>
        <s v="Innovation IQ"/>
        <s v="TienditaGarza"/>
        <s v="Kalorik LLC"/>
        <s v="Ultrean Inc"/>
        <s v="FLD-FRYER"/>
        <s v="Nekteck Direct"/>
        <s v="Woot"/>
        <s v="VILIWIN Store"/>
        <s v="RBU2017UTEN US"/>
        <s v="THE REAL DEAL"/>
        <s v="BAISELLER"/>
        <s v="DEIME Inc."/>
        <s v="Amazon.com"/>
        <s v="CYBER OUTLET"/>
        <s v="Wotoh Wholesale"/>
        <s v="Tyche-Home Kitchen Small Appliance"/>
        <s v="GOKUL ProLife Store"/>
        <s v="ICONITESUE Official"/>
        <s v="Lillomcom"/>
        <s v="Kitchen Kapers"/>
        <s v="HEROIC SUPPORT LIMITED"/>
        <s v="ZZLJSMY"/>
        <s v="KOOC Official"/>
        <s v="ningboyanxi"/>
        <s v="Easi Life Store"/>
      </sharedItems>
    </cacheField>
    <cacheField name="卖家所属地" numFmtId="0">
      <sharedItems count="4">
        <s v=""/>
        <s v="US"/>
        <s v="CN"/>
        <s v="CN(HK)"/>
      </sharedItems>
    </cacheField>
    <cacheField name="卖家信息" numFmtId="0">
      <sharedItems count="24">
        <s v=""/>
        <s v="公司名称：Spectrum Brands, Inc_x000a_办公地址：_x000a_2620 Westview Drive_x000a_"/>
        <s v="公司名称：TIENDITAGARZA_x000a_办公地址：_x000a_25 Deming Street_x000a_South Windsor_x000a_CT_x000a_06074_x000a_US_x000a_"/>
        <s v="公司名称：Kalorik LLC_x000a_办公地址：_x000a_16175 NW 49th Avenue_x000a_Miami Gardens_x000a_FL_x000a_33014_x000a_US_x000a_"/>
        <s v="公司名称：Ultrean, Inc._x000a_办公地址：_x000a_848 N RAINBOW BLVD STE 9027_x000a_"/>
        <s v="公司名称：zhejiangjinhuafulangdegongmaoyouxiangongsi_x000a_办公地址：_x000a_岭下朱工业功能区_x000a_浙江宁远工贸有限公司内3号厂房_x000a_金华_x000a_金东_x000a_浙江_x000a_321015_x000a_CN_x000a_"/>
        <s v="公司名称：Nekteck, Inc._x000a_办公地址：_x000a_556 Vanguard Way D_x000a_"/>
        <s v="公司名称：Woot Inc_x000a_办公地址：_x000a_4121 International Parkway_x000a_"/>
        <s v="公司名称：STAND LUCK CORPORATION LIMITED_x000a_办公地址：_x000a_NO.165-171 WAN CHAI ROAD_x000a_LUCKY CENTER FLAT/RM 1506 15/F_x000a_WAN CHAI_x000a_HK_x000a_999077_x000a_HK_x000a_"/>
        <s v="公司名称：RBU INTERNATIONAL LTD_x000a_办公地址：_x000a_1521 E Francis St. Unit A_x000a_"/>
        <s v="公司名称：BG GROUP LLC_x000a_电话号码：567-303-3345_x000a_办公地址：_x000a_402 N 37th Dr_x000a_Suite 101_x000a_Phoenix_x000a_AZ_x000a_85009_x000a_US_x000a_"/>
        <s v="公司名称：GUANGZHOUSHI SAIYUNYIQI YOUXIANGONGSI_x000a_办公地址：_x000a_BAIYUNQU TONGHELU NO329_x000a_ROOM217_x000a_GUANGZHOU_x000a_GUANGDONG_x000a_510000_x000a_CN_x000a_"/>
        <s v="公司名称：Ningbo Runchenningjia Dianqi Youxian Gongsi_x000a_办公地址：_x000a_庵东镇工业园区纬三路128号_x000a_宁波_x000a_杭州湾新区_x000a_浙江省_x000a_315336_x000a_CN_x000a_"/>
        <s v="公司名称：selectronics inc._x000a_办公地址：_x000a_4801 Staunton Avenue_x000a_"/>
        <s v="公司名称：Lead Emporium LLC_x000a_办公地址：_x000a_1280 Horseshoe Trl_x000a_Phoenixville_x000a_PA_x000a_19460_x000a_US_x000a_"/>
        <s v="公司名称：ZHONGSHAN TAIKEXUN ELECTRICAL APPLIANCES CO.,LTD_x000a_办公地址：_x000a_xiaolanzhenshengpingdonglu1haohaigangcheng(shangyezhulou)_x000a_"/>
        <s v="公司名称：Gokul Toyal Information Technology Company Limited_x000a_办公地址：_x000a_UNIT 1701,17/F CAROLINE CTR 28 YUN PING RD CAUSEWAY BAY_x000a_HONG KONG_x000a_HONG KONG_x000a_999077_x000a_HK_x000a_"/>
        <s v="公司名称：yunchengshiyanhuquleqiuqiudianzishangwultd_x000a_办公地址：_x000a_人民南路制版小区8号楼802_x000a_运城市_x000a_盐湖区_x000a_山西省_x000a_044000_x000a_CN_x000a_"/>
        <s v="公司名称：suzhoudaketexinxikejiyouxiangongsi_x000a_办公地址：_x000a_muduzhen mududongmenting shangyeguangchang 10zhuang 320shi_x000a_wuzhongqu_x000a_suzhoushi_x000a_jiangsusheng_x000a_215000_x000a_CN_x000a_"/>
        <s v="公司名称：Kitchen Kapers, Inc_x000a_电话号码：800-455-5567_x000a_办公地址：_x000a_1250 Marlkress Road_x000a_"/>
        <s v="公司名称：HEROIC SUPPORT LIMITED_x000a_办公地址：_x000a_RM D 10/F TOWER A BILLION CTR 1 WANG KWONG RD_x000a_KOWLOON BAY BL_x000a_HONG KONG_x000a_999077_x000a_HK_x000a_"/>
        <s v="公司名称：Suzhou Ruijin Info Technology Co., Ltd_x000a_办公地址：_x000a_Room 1007, Building 2, Runjie Plaza_x000a_"/>
        <s v="公司名称：ningboyanxiriyongpinyouxiangongsi_x000a_办公地址：_x000a_朗海村朗海南路2号_x000a_余姚市_x000a_小曹娥镇_x000a_浙江省_x000a_315400_x000a_CN_x000a_"/>
        <s v="公司名称：Yize Information Technology Company Limited_x000a_办公地址：_x000a_UNIT 2,1/F WAH HUNG CTR 41 HUNG TO RD KWUN TONG KLN_x000a_HONG KONG_x000a_HONG KONG_x000a_999077_x000a_HK_x000a_"/>
      </sharedItems>
    </cacheField>
    <cacheField name="配送方式" numFmtId="0">
      <sharedItems count="3">
        <s v="NA"/>
        <s v="FBA"/>
        <s v="AMZ"/>
      </sharedItems>
    </cacheField>
    <cacheField name="重量" numFmtId="0">
      <sharedItems count="87">
        <s v="10.58 pounds"/>
        <s v="12 pounds"/>
        <s v="19 pounds"/>
        <s v="14.63 pounds"/>
        <s v="12.3 pounds"/>
        <s v="9 pounds"/>
        <s v="19.8 pounds"/>
        <s v="1 pounds"/>
        <s v="8.81 pounds"/>
        <s v="17.86 pounds"/>
        <s v="14.6 pounds"/>
        <s v="18.56 pounds"/>
        <s v="11 pounds"/>
        <s v="21.2 pounds"/>
        <s v="16.24 pounds"/>
        <s v="29.7 pounds"/>
        <s v="21.6 pounds"/>
        <s v="12.8 pounds"/>
        <s v="6.64 pounds"/>
        <s v="14.2 pounds"/>
        <s v="26.04 pounds"/>
        <s v="28.7 pounds"/>
        <s v="15 pounds"/>
        <s v="5.69 pounds"/>
        <s v="4.87 Pounds"/>
        <s v="10 pounds"/>
        <s v="17.2 pounds"/>
        <s v="9.97 pounds"/>
        <s v="0.25 pounds"/>
        <s v="6.98 pounds"/>
        <s v="7.33 pounds"/>
        <s v="11.62 pounds"/>
        <s v="22.05 pounds"/>
        <s v="3.31 pounds"/>
        <s v="8.14 pounds"/>
        <s v="22 pounds"/>
        <s v="20.3 Pounds"/>
        <s v="19.6 pounds"/>
        <s v="17.11 pounds"/>
        <s v="16.28 pounds"/>
        <s v="21.52 pounds"/>
        <s v="8.82 pounds"/>
        <s v="3 pounds"/>
        <s v="14.92 pounds"/>
        <s v="23 pounds"/>
        <s v="5.7 Pounds"/>
        <s v="13.11 pounds"/>
        <s v="5.24 pounds"/>
        <s v="13.87 pounds"/>
        <s v="18.76 pounds"/>
        <s v="20.1 pounds"/>
        <s v="22.6 pounds"/>
        <s v="13.76 Pounds"/>
        <s v="23.4 pounds"/>
        <s v="15.72 pounds"/>
        <s v="27.9 pounds"/>
        <s v="16.31 pounds"/>
        <s v="10.2 pounds"/>
        <s v="15.7 pounds"/>
        <s v="12.5 pounds"/>
        <s v="4.44 Pounds"/>
        <s v="15.42 pounds"/>
        <s v="14 pounds"/>
        <s v="14.02 pounds"/>
        <s v="25.2 pounds"/>
        <s v="12.1 pounds"/>
        <s v="11.9 pounds"/>
        <s v="17.73 Pounds"/>
        <s v="24.2 pounds"/>
        <s v="22.5 pounds"/>
        <s v="15.2 pounds"/>
        <s v="13.45 pounds"/>
        <s v="10.7 pounds"/>
        <s v="17.43 pounds"/>
        <s v="13 pounds"/>
        <s v="25.3 pounds"/>
        <s v="25.4 pounds"/>
        <s v="28.66 Pounds"/>
        <s v="20.94 pounds"/>
        <s v="18.41 pounds"/>
        <s v="25 pounds"/>
        <s v="11.82 pounds"/>
        <s v="9.43 pounds"/>
        <s v="18.21 pounds"/>
        <s v="5 Pounds"/>
        <s v="11.58 pounds"/>
        <s v="15.65 Pounds"/>
      </sharedItems>
    </cacheField>
    <cacheField name="体积" numFmtId="0">
      <sharedItems count="99">
        <s v="8.5 x 12.1 x 11 inches"/>
        <s v="10.8 x 14.4 x 12 inches"/>
        <s v="13.2 x 13.2 x 14.4 inches"/>
        <s v="12.8 x 11.8 x 14.9 inches"/>
        <s v="11.8 x 13.9 x 12 inches"/>
        <s v="10.2 x 13 x 11 inches"/>
        <s v="17.1 x 13.9 x 12.8 inches"/>
        <s v="10.7 x 8.7 x 11.3 inches"/>
        <s v="13.6 x 11.5 x 13.2 inches"/>
        <s v="13.9 x 15.6 x 12.4 inches"/>
        <s v="9 x 9 x 12.5 inches"/>
        <s v="19.7 x 7.6 x 15 inches"/>
        <s v="12.7 x 12.7 x 13.8 inches"/>
        <s v="14 x 11 x 14.8 inches"/>
        <s v="13.5 x 12.7 x 14.9 inches"/>
        <s v="13.8 x 11.8 x 13.4 inches"/>
        <s v="15 x 20 x 20 inches"/>
        <s v="16.3 x 16.9 x 15.5 inches"/>
        <s v="12.8 x 13.5 x 10 inches"/>
        <s v="11 x 8.5 x 10.7 inches"/>
        <s v="11.8 x 12.2 x 14.6 inches"/>
        <s v="16.1 x 14.6 x 14.2 inches"/>
        <s v="19.5 x 17.6 x 11.5 inches"/>
        <s v="20 x 15 x 10 inches"/>
        <s v="9.8 x 9.8 x 12.5 inches"/>
        <s v="10.1&quot;D x 8.3&quot;W x 10.5&quot;H"/>
        <s v="13.1 x 13.1 x 13.8 inches"/>
        <s v="15.7 x 12.5 x 14 inches"/>
        <s v="14.3 x 13.3 x 13 inches"/>
        <s v="13.5 x 12.5 x 11.5 inches"/>
        <s v="8.7 x 10.7 x 11.3 inches"/>
        <s v="11 x 13 x 17 inches"/>
        <s v="14.3 x 12.8 x 12.8 inches"/>
        <s v="13 x 18 x 15 inches"/>
        <s v="9.8 x 16.7 x 9.8 inches"/>
        <s v="12&quot;D x 11.2&quot;W x 12.4&quot;H"/>
        <s v="17.1 x 12.6 x 12.4 inches"/>
        <s v="16.2 x 14 x 13.2 inches"/>
        <s v="10.2 x 10.2 x 14 inches"/>
        <s v="11.8 x 11.8 x 13.2 inches"/>
        <s v="12.99&quot;D x 14.56&quot;W x 11.02&quot;H"/>
        <s v="17&quot;D x 16&quot;W x 14&quot;H"/>
        <s v="20.1 x 16.5 x 12.5 inches"/>
        <s v="11.7 x 11.7 x 14 inches"/>
        <s v="15.1 x 16.5 x 13.1 inches"/>
        <s v="12 x 14 x 13 inches"/>
        <s v="15.3 x 20.2 x 8.1 inches"/>
        <s v="11.5 x 11.5 x 12.2 inches"/>
        <s v="14&quot;D x 13&quot;W x 14.5&quot;H"/>
        <s v="14.4 x 14.2 x 11.8 inches"/>
        <s v="15.4 x 14.6 x 13.4 inches"/>
        <s v="8.1&quot;D x 10.2&quot;W x 11.4&quot;H"/>
        <s v="11.8 x 11.8 x 14.5 inches"/>
        <s v="7.8 x 7.8 x 8 inches"/>
        <s v="10.6 x 10.8 x 13 inches"/>
        <s v="17.7 x 11.8 x 15.7 inches"/>
        <s v="18.25 x 17.25 x 17 inches"/>
        <s v="18 x 17.18 x 16.6 inches"/>
        <s v="10.5&quot;D x 10.5&quot;W x 13&quot;H"/>
        <s v="11.5 x 12 x 14 inches"/>
        <s v="13.4 x 15.5 x 15.5 inches"/>
        <s v="12 x 11 x 13.5 inches"/>
        <s v="13 x 15.4 x 16.9 inches"/>
        <s v="10 x 20 x 13 inches"/>
        <s v="14 x 11 x 13 inches"/>
        <s v="7.6 x 19.7 x 15 inches"/>
        <s v="8.9 x 14 x 13.5 inches"/>
        <s v="8.5&quot;D x 6.5&quot;W x 9.8&quot;H"/>
        <s v="15.3 x 14.8 x 14.8 inches"/>
        <s v="13 x 11 x 13.7 inches"/>
        <s v="10 x 8 x 8 inches"/>
        <s v="18.5 x 17.5 x 17.5 inches"/>
        <s v="12.5 x 14.8 x 14.8 inches"/>
        <s v="11.7 x 14.2 x 12.6 inches"/>
        <s v="15.9&quot;D x 15.9&quot;W x 17.7&quot;H"/>
        <s v="16.9 x 18 x 14.4 inches"/>
        <s v="19.6 x 16.2 x 13.4 inches"/>
        <s v="15.5 x 16.7 x 14 inches"/>
        <s v="15 x 12 x 14 inches"/>
        <s v="13 x 18.8 x 7.4 inches"/>
        <s v="11.65&quot;D x 11.42&quot;W x 12.8&quot;H"/>
        <s v="15 x 15 x 15 inches"/>
        <s v="12 x 8 x 8 inches"/>
        <s v="24 x 17.2 x 12.9 inches"/>
        <s v="18.8 x 15.6 x 14.2 inches"/>
        <s v="10.94&quot;D x 18.9&quot;W x 15.87&quot;H"/>
        <s v="1 x 1 x 1 inches"/>
        <s v="10.8 x 10.8 x 12.6 inches"/>
        <s v="15.7&quot;D x 16.5&quot;W x 15.7&quot;H"/>
        <s v="13.2 x 13.3 x 14.6 inches"/>
        <s v="14.2 x 15.7 x 13.4 inches"/>
        <s v="13.7 x 15 x 13.5 inches"/>
        <s v="15.1 x 15.1 x 14.7 inches"/>
        <s v="16.2 x 14.2 x 17.3 inches"/>
        <s v="15 x 15.7 x 14 inches"/>
        <s v="9.45&quot;D x 7.87&quot;W x 11.02&quot;H"/>
        <s v="11 x 13 x 12 inches"/>
        <s v="18.2 x 19.8 x 16.4 inches"/>
        <s v="14.57&quot;D x 11.81&quot;W x 14.57&quot;H"/>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3560.7627893519" refreshedBy="Administrator" recordCount="100">
  <cacheSource type="worksheet">
    <worksheetSource ref="A103:BD203" sheet="Sheet4"/>
  </cacheSource>
  <cacheFields count="56">
    <cacheField name="图片" numFmtId="0">
      <sharedItems count="100">
        <s v="=DISPIMG(&quot;ID_E0974D9A1FCC43279697EF5DA1D7B2F2&quot;,1)"/>
        <s v="=DISPIMG(&quot;ID_71FF25F32A744E84959B0B003BC2C8C1&quot;,1)"/>
        <s v="=DISPIMG(&quot;ID_4C62F3F8ADD24D7582300B8B29ADAAD1&quot;,1)"/>
        <s v="=DISPIMG(&quot;ID_27679D12F3624D4794A370A5AAD2B62A&quot;,1)"/>
        <s v="=DISPIMG(&quot;ID_C156E7C83B994759A5327CB523DCF8AC&quot;,1)"/>
        <s v="=DISPIMG(&quot;ID_8F917ED4503546348C30EDAA7D45FADF&quot;,1)"/>
        <s v="=DISPIMG(&quot;ID_6893492369324F0F99BB94004415008C&quot;,1)"/>
        <s v="=DISPIMG(&quot;ID_A4F2CA3BA9DE447E882F7F047A09CE2C&quot;,1)"/>
        <s v="=DISPIMG(&quot;ID_57D3D300B19F47BF96510083017D4F61&quot;,1)"/>
        <s v="=DISPIMG(&quot;ID_F3B5588D37C54F9EBCEAA5C85D490498&quot;,1)"/>
        <s v="=DISPIMG(&quot;ID_D867FF3B6F984EF9B9A521B60372147C&quot;,1)"/>
        <s v="=DISPIMG(&quot;ID_5081BD8DF7104B418782487A028CDCFD&quot;,1)"/>
        <s v="=DISPIMG(&quot;ID_D3ECA348966449D08D28C7515248DDFA&quot;,1)"/>
        <s v="=DISPIMG(&quot;ID_8F526F5171E649F6861FFFB079CAC276&quot;,1)"/>
        <s v="=DISPIMG(&quot;ID_EFD05E987FC244FC8974B30F1238A284&quot;,1)"/>
        <s v="=DISPIMG(&quot;ID_5446CDB133D04700B667BAED4B259405&quot;,1)"/>
        <s v="=DISPIMG(&quot;ID_BF719436269342C39120D5BF56B8BEC7&quot;,1)"/>
        <s v="=DISPIMG(&quot;ID_BA29F564E8A7433287A2991E08F24C7A&quot;,1)"/>
        <s v="=DISPIMG(&quot;ID_3F732B098A8F4924ADB7473A50C75507&quot;,1)"/>
        <s v="=DISPIMG(&quot;ID_6D805549D46F4147BB727A2EE17E2C42&quot;,1)"/>
        <s v="=DISPIMG(&quot;ID_2586E579DE7440F294699E86D562FB05&quot;,1)"/>
        <s v="=DISPIMG(&quot;ID_BF11A2B6EF6748E79B80B28F745B707C&quot;,1)"/>
        <s v="=DISPIMG(&quot;ID_EB1704935DA846C3A75C121E51387F9F&quot;,1)"/>
        <s v="=DISPIMG(&quot;ID_5CBE838777C640E0BE71973DFED62FB4&quot;,1)"/>
        <s v="=DISPIMG(&quot;ID_FEB60C90BA9940408FA73B1AA52588A7&quot;,1)"/>
        <s v="=DISPIMG(&quot;ID_655B8479D0FA49AC8940B053D0F4B56C&quot;,1)"/>
        <s v="=DISPIMG(&quot;ID_5F705A5FDC144044AABB34A2F402B40B&quot;,1)"/>
        <s v="=DISPIMG(&quot;ID_A56FAFEB25634B9FB769A1E7444FBCA9&quot;,1)"/>
        <s v="=DISPIMG(&quot;ID_2B121DD4114D4409B3077D94682C9E9A&quot;,1)"/>
        <s v="=DISPIMG(&quot;ID_EC5715FDE44E423DA2407A8C8149F902&quot;,1)"/>
        <s v="=DISPIMG(&quot;ID_57C5254188594DADA615573EE730EDB8&quot;,1)"/>
        <s v="=DISPIMG(&quot;ID_30AF9FE10AEA414CBF2D799A8F97B6E1&quot;,1)"/>
        <s v="=DISPIMG(&quot;ID_3FE23FCA5B2E49C3844336FD61124FED&quot;,1)"/>
        <s v="=DISPIMG(&quot;ID_326E9FDB3B4845F0A5722189EAC9E480&quot;,1)"/>
        <s v="=DISPIMG(&quot;ID_AAE88E8E58E24127872CEF24C45B9937&quot;,1)"/>
        <s v="=DISPIMG(&quot;ID_EC8F5E1D8B5E43A7A8E6C0EC276E9523&quot;,1)"/>
        <s v="=DISPIMG(&quot;ID_EFBFC06B2CA34CBEAE3BA64CC3E478CB&quot;,1)"/>
        <s v="=DISPIMG(&quot;ID_D74B9A3072A84714B66CE5C87FFCBA80&quot;,1)"/>
        <s v="=DISPIMG(&quot;ID_C4420D497CEE439CB44B54C9CDCD1365&quot;,1)"/>
        <s v="=DISPIMG(&quot;ID_5EF4F8B41D6F4D8D941029966DCF7200&quot;,1)"/>
        <s v="=DISPIMG(&quot;ID_14E7B489EDAE46A0A68C009239BF162A&quot;,1)"/>
        <s v="=DISPIMG(&quot;ID_FFEEF59C9E28452A81B58E12345A3D91&quot;,1)"/>
        <s v="=DISPIMG(&quot;ID_8B9E104DF27F4DD8830F9911E91369FC&quot;,1)"/>
        <s v="=DISPIMG(&quot;ID_1DC3B922AC8C44E1AED1D10E68582928&quot;,1)"/>
        <s v="=DISPIMG(&quot;ID_14C66A68CCD44D66B23E9F77B6546631&quot;,1)"/>
        <s v="=DISPIMG(&quot;ID_A5C88BD34EDF4F8F84ED339150119AA7&quot;,1)"/>
        <s v="=DISPIMG(&quot;ID_DF255A0C652948E2806FD4AAEF1D7897&quot;,1)"/>
        <s v="=DISPIMG(&quot;ID_54E0AFE17F184E5990F96C254B254664&quot;,1)"/>
        <s v="=DISPIMG(&quot;ID_CF4CFA9B4BA044A4B75C7FB917181C2E&quot;,1)"/>
        <s v="=DISPIMG(&quot;ID_ABB6A3F814174AC4B033F51D49C7DE64&quot;,1)"/>
        <s v="=DISPIMG(&quot;ID_5562B5F163DB48C39AF88CF6C6DB9CA7&quot;,1)"/>
        <s v="=DISPIMG(&quot;ID_DE2B348AB1E54ACAB5026EC97FE64D1A&quot;,1)"/>
        <s v="=DISPIMG(&quot;ID_1CC8A60928EC4830A6791E0B1D53306D&quot;,1)"/>
        <s v="=DISPIMG(&quot;ID_D5F7F4B1288C463CB4FBAB7A63B33D08&quot;,1)"/>
        <s v="=DISPIMG(&quot;ID_F156718E2A894CB5961DE06C24ED3617&quot;,1)"/>
        <s v="=DISPIMG(&quot;ID_B1C8BB44B25043D4A886C115934DB689&quot;,1)"/>
        <s v="=DISPIMG(&quot;ID_695D1CCC4CA045139C4ABF47E1CCACBF&quot;,1)"/>
        <s v="=DISPIMG(&quot;ID_1F02B86715A94ABAB5EED5849E66B5FD&quot;,1)"/>
        <s v="=DISPIMG(&quot;ID_8C83148C43504D86A1DB58E8CCDF7309&quot;,1)"/>
        <s v="=DISPIMG(&quot;ID_888A755A882D4513BC9D8F5FC20B3AC9&quot;,1)"/>
        <s v="=DISPIMG(&quot;ID_CB4B079C03484E1FABD66C3A8EE5DBCA&quot;,1)"/>
        <s v="=DISPIMG(&quot;ID_17D2559E86F44A54A0A9006016AB2DA9&quot;,1)"/>
        <s v="=DISPIMG(&quot;ID_E72CFFF1B748493989220C334F229A7A&quot;,1)"/>
        <s v="=DISPIMG(&quot;ID_09D48146F971440D80F2FC5359F757BB&quot;,1)"/>
        <s v="=DISPIMG(&quot;ID_69D8304B4C734971B5962BEF265D5C42&quot;,1)"/>
        <s v="=DISPIMG(&quot;ID_00011A14DD764057925EAB93B1C32B51&quot;,1)"/>
        <s v="=DISPIMG(&quot;ID_31DC207AD3C44AAD8B67DA009FFB8A3D&quot;,1)"/>
        <s v="=DISPIMG(&quot;ID_073D25E4DD884F82A44918BB058A6FA0&quot;,1)"/>
        <s v="=DISPIMG(&quot;ID_3DBAE646C8CB4B5D9BF1F3F01226FC3F&quot;,1)"/>
        <s v="=DISPIMG(&quot;ID_C6D17E1139C940D4A05554BC8126AF0D&quot;,1)"/>
        <s v="=DISPIMG(&quot;ID_C67D11E027814CBC9628DC0F72391987&quot;,1)"/>
        <s v="=DISPIMG(&quot;ID_C649D54E3BEE4596A94D41E76DEB3E83&quot;,1)"/>
        <s v="=DISPIMG(&quot;ID_483305CF252249D1AC3FAAE06499E4E2&quot;,1)"/>
        <s v="=DISPIMG(&quot;ID_2795715DC5D74671AD3CB580CAED5E6A&quot;,1)"/>
        <s v="=DISPIMG(&quot;ID_35B0A37ECC2647E99C4330092C5B67A9&quot;,1)"/>
        <s v="=DISPIMG(&quot;ID_BB253EF55B6C4CAC9D7887F594953095&quot;,1)"/>
        <s v="=DISPIMG(&quot;ID_B039124550CD4981B557EE255393115B&quot;,1)"/>
        <s v="=DISPIMG(&quot;ID_879CF2E30A904DAFA7C2843A597570A3&quot;,1)"/>
        <s v="=DISPIMG(&quot;ID_B36370CE9DE24B8A8FBAB44B1FB4C28F&quot;,1)"/>
        <s v="=DISPIMG(&quot;ID_72B4040D07174C6A87D1E8DBFE9FF175&quot;,1)"/>
        <s v="=DISPIMG(&quot;ID_969655FD644345AB81031DDDED4C2B1D&quot;,1)"/>
        <s v="=DISPIMG(&quot;ID_F217E099E8CF428AA89D30A138B55E1A&quot;,1)"/>
        <s v="=DISPIMG(&quot;ID_464ED34DBB5B474FAA9ABB287749C488&quot;,1)"/>
        <s v="=DISPIMG(&quot;ID_5C0C6AB0FB064505A0A3A4249472B177&quot;,1)"/>
        <s v="=DISPIMG(&quot;ID_CB0487FB602744618A7F91CD508B1A11&quot;,1)"/>
        <s v="=DISPIMG(&quot;ID_CC1202716ADD48108E8CA742BBC48881&quot;,1)"/>
        <s v="=DISPIMG(&quot;ID_9572C02FFE664DA5B1B4E2E84F048994&quot;,1)"/>
        <s v="=DISPIMG(&quot;ID_73E1886387174503B4B3E5EFA3C065D9&quot;,1)"/>
        <s v="=DISPIMG(&quot;ID_8DB36B4766DF4617B57CCA29E23B4451&quot;,1)"/>
        <s v="=DISPIMG(&quot;ID_F98384A16BC64D7BA97CBA86855B88C3&quot;,1)"/>
        <s v="=DISPIMG(&quot;ID_2352E1B134914D12BF01409D0D810953&quot;,1)"/>
        <s v="=DISPIMG(&quot;ID_3868C3AA8AB74668B4C622B8CE1F41E2&quot;,1)"/>
        <s v="=DISPIMG(&quot;ID_A032B38D857046A3BD39D6C51FA809AC&quot;,1)"/>
        <s v="=DISPIMG(&quot;ID_14325EF052B64C239526A059D2F20F7F&quot;,1)"/>
        <s v="=DISPIMG(&quot;ID_CAFA875542924B7C8C1FF07E87DC82F6&quot;,1)"/>
        <s v="=DISPIMG(&quot;ID_F9B083DFE5154E15A17EC7936B463F2F&quot;,1)"/>
        <s v="=DISPIMG(&quot;ID_C84511F9722846388FB698BCF9E760FB&quot;,1)"/>
        <s v="=DISPIMG(&quot;ID_41B0691D1D0044738862DF6167707F7F&quot;,1)"/>
        <s v="=DISPIMG(&quot;ID_3211C43D397B4A3EAF999BDB4C1D6252&quot;,1)"/>
        <s v="=DISPIMG(&quot;ID_A7D8F3B098D14F84B7383CC735E1FCBE&quot;,1)"/>
      </sharedItems>
    </cacheField>
    <cacheField name="ASIN" numFmtId="0">
      <sharedItems count="100">
        <s v="B07FDJMC9Q"/>
        <s v="B0936FGLQS"/>
        <s v="B07VM28XTR"/>
        <s v="B096N3FTZP"/>
        <s v="B085W3GN5J"/>
        <s v="B08R6KMBQT"/>
        <s v="B096X9LGJ1"/>
        <s v="B0815KJCM1"/>
        <s v="B09MR49K1D"/>
        <s v="B089TQWJKK"/>
        <s v="B075X3287P"/>
        <s v="B07SCGY2H6"/>
        <s v="B0B6ZXKNJN"/>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95Y6ZF5Q"/>
        <s v="B08FMT6N24"/>
        <s v="B07VM9SDMH"/>
        <s v="B0BGBMW9G5"/>
        <s v="B075BDY5WR"/>
        <s v="B07X1VXQMS"/>
        <s v="B087T8LKNC"/>
        <s v="B0BBFTPTKH"/>
        <s v="B09YS1RQ8J"/>
        <s v="B08X24LS5V"/>
        <s v="B08T9FBB68"/>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PASIN" numFmtId="0">
      <sharedItems count="100">
        <s v="B07FDJMC9Q"/>
        <s v="B0936FGLQS"/>
        <s v="B07VM28XTR"/>
        <s v="B096N3FTZP"/>
        <s v="B085W3GN5J"/>
        <s v="B08R6KMBQT"/>
        <s v="B096X9LGJ1"/>
        <s v="B0815KJCM1"/>
        <s v="B09MR49K1D"/>
        <s v="B089TQWJKK"/>
        <s v="B075X3287P"/>
        <s v="B07SCGY2H6"/>
        <s v="B0BKZZZ7J2"/>
        <s v="B07S6529ZZ"/>
        <s v="B0B59D1J98"/>
        <s v="B096N28SZP"/>
        <s v="B09B7SB46R"/>
        <s v="B0BGM4JY9G"/>
        <s v="B08DKYBTPH"/>
        <s v="B082JWBBXB"/>
        <s v="B08DL8WH9V"/>
        <s v="B07S85TPLG"/>
        <s v="B09HKM5SVD"/>
        <s v="B07NLHMYH4"/>
        <s v="B07NBQX8HS"/>
        <s v="B0BDFRZX3F"/>
        <s v="B08SJ6L9MT"/>
        <s v="B0872DQV7Z"/>
        <s v="B07FF117K7"/>
        <s v="B0777RJG6D"/>
        <s v="B08QQRH2Z9"/>
        <s v="B08CW95ZFR"/>
        <s v="B0BX71WBK5"/>
        <s v="B09GL56L4T"/>
        <s v="B08KFNK3QH"/>
        <s v="B0BG5635Z7"/>
        <s v="B07G3V9K17"/>
        <s v="B08YP4NHQM"/>
        <s v="B085GN68LC"/>
        <s v="B09TZZS2GJ"/>
        <s v="B08K8T3W2V"/>
        <s v="B092PY8F5J"/>
        <s v="B09XWJ19YS"/>
        <s v="B07W67NQMN"/>
        <s v="B07ZWG619F"/>
        <s v="B089NKT312"/>
        <s v="B0978M8136"/>
        <s v="B08R12QZS1"/>
        <s v="B0BJDDN65L"/>
        <s v="B08FMT6N24"/>
        <s v="B07VM9SDMH"/>
        <s v="B0BGBMW9G5"/>
        <s v="B075BDY5WR"/>
        <s v="B07X1VXQMS"/>
        <s v="B087T8LKNC"/>
        <s v="B0BBFTPTKH"/>
        <s v="B09YS1RQ8J"/>
        <s v="B08X24LS5V"/>
        <s v="B0BKNJYC1T"/>
        <s v="B07Z6RHKFV"/>
        <s v="B07LBZGD97"/>
        <s v="B08R6GZ2KP"/>
        <s v="B08N3F9PRJ"/>
        <s v="B0853CR7LG"/>
        <s v="B09BZVQNTC"/>
        <s v="B0B7C28KPT"/>
        <s v="B07XF4HW8G"/>
        <s v="B01L7TOZJO"/>
        <s v="B08NCHMH1L"/>
        <s v="B0BF4TCX6J"/>
        <s v="B08PNHBCTL"/>
        <s v="B083TGW7DN"/>
        <s v="B0BG2MGDXN"/>
        <s v="B07GNSHPBQ"/>
        <s v="B0BD4BYR11"/>
        <s v="B081PGHZGR"/>
        <s v="B0BR4ZYSRF"/>
        <s v="B08L3SW8DZ"/>
        <s v="B08G5CH2HR"/>
        <s v="B09DYPNPV4"/>
        <s v="B0B3G8V6MV"/>
        <s v="B076FPT78K"/>
        <s v="B08KXTDBQC"/>
        <s v="B01LX9T6HF"/>
        <s v="B086K1T4JJ"/>
        <s v="B084B7PF4K"/>
        <s v="B0B3SHYNBG"/>
        <s v="B08TWB9L5P"/>
        <s v="B086GWG6BG"/>
        <s v="B09Y12NVC2"/>
        <s v="B08739L374"/>
        <s v="B087WW1W78"/>
        <s v="B09B9K9552"/>
        <s v="B08P27RFLB"/>
        <s v="B0B94K541Q"/>
        <s v="B08HPQ384Y"/>
        <s v="B0B52885M9"/>
        <s v="B06XYKVPLS"/>
        <s v="B09871GCN1"/>
        <s v="B09696JZVR"/>
      </sharedItems>
    </cacheField>
    <cacheField name="SKU" numFmtId="0">
      <sharedItems count="4">
        <s v=""/>
        <s v="Color: Sage Green"/>
        <s v="Color: Blue"/>
        <s v="Style: 6 Slice Air Fry"/>
      </sharedItems>
    </cacheField>
    <cacheField name="URL" numFmtId="0">
      <sharedItems count="100">
        <s v="https://www.amazon.com/dp/B07FDJMC9Q?psc=1"/>
        <s v="https://www.amazon.com/dp/B0936FGLQS?psc=1"/>
        <s v="https://www.amazon.com/dp/B07VM28XTR?psc=1"/>
        <s v="https://www.amazon.com/dp/B096N3FTZP?psc=1"/>
        <s v="https://www.amazon.com/dp/B085W3GN5J?psc=1"/>
        <s v="https://www.amazon.com/dp/B08R6KMBQT?psc=1"/>
        <s v="https://www.amazon.com/dp/B096X9LGJ1?psc=1"/>
        <s v="https://www.amazon.com/dp/B0815KJCM1?psc=1"/>
        <s v="https://www.amazon.com/dp/B09MR49K1D?psc=1"/>
        <s v="https://www.amazon.com/dp/B089TQWJKK?psc=1"/>
        <s v="https://www.amazon.com/dp/B075X3287P?psc=1"/>
        <s v="https://www.amazon.com/dp/B07SCGY2H6?psc=1"/>
        <s v="https://www.amazon.com/dp/B0B6ZXKNJN?psc=1"/>
        <s v="https://www.amazon.com/dp/B07S6529ZZ?psc=1"/>
        <s v="https://www.amazon.com/dp/B0B59D1J98?psc=1"/>
        <s v="https://www.amazon.com/dp/B096N28SZP?psc=1"/>
        <s v="https://www.amazon.com/dp/B09B7SB46R?psc=1"/>
        <s v="https://www.amazon.com/dp/B0BGM4JY9G?psc=1"/>
        <s v="https://www.amazon.com/dp/B08DKYBTPH?psc=1"/>
        <s v="https://www.amazon.com/dp/B082JWBBXB?psc=1"/>
        <s v="https://www.amazon.com/dp/B08DL8WH9V?psc=1"/>
        <s v="https://www.amazon.com/dp/B07S85TPLG?psc=1"/>
        <s v="https://www.amazon.com/dp/B09HKM5SVD?psc=1"/>
        <s v="https://www.amazon.com/dp/B07NLHMYH4?psc=1"/>
        <s v="https://www.amazon.com/dp/B07NBQX8HS?psc=1"/>
        <s v="https://www.amazon.com/dp/B0BDFRZX3F?psc=1"/>
        <s v="https://www.amazon.com/dp/B08SJ6L9MT?psc=1"/>
        <s v="https://www.amazon.com/dp/B0872DQV7Z?psc=1"/>
        <s v="https://www.amazon.com/dp/B07FF117K7?psc=1"/>
        <s v="https://www.amazon.com/dp/B0777RJG6D?psc=1"/>
        <s v="https://www.amazon.com/dp/B08QQRH2Z9?psc=1"/>
        <s v="https://www.amazon.com/dp/B08CW95ZFR?psc=1"/>
        <s v="https://www.amazon.com/dp/B0BX71WBK5?psc=1"/>
        <s v="https://www.amazon.com/dp/B09GL56L4T?psc=1"/>
        <s v="https://www.amazon.com/dp/B08KFNK3QH?psc=1"/>
        <s v="https://www.amazon.com/dp/B0BG5635Z7?psc=1"/>
        <s v="https://www.amazon.com/dp/B07G3V9K17?psc=1"/>
        <s v="https://www.amazon.com/dp/B08YP4NHQM?psc=1"/>
        <s v="https://www.amazon.com/dp/B085GN68LC?psc=1"/>
        <s v="https://www.amazon.com/dp/B09TZZS2GJ?psc=1"/>
        <s v="https://www.amazon.com/dp/B08K8T3W2V?psc=1"/>
        <s v="https://www.amazon.com/dp/B092PY8F5J?psc=1"/>
        <s v="https://www.amazon.com/dp/B09XWJ19YS?psc=1"/>
        <s v="https://www.amazon.com/dp/B07W67NQMN?psc=1"/>
        <s v="https://www.amazon.com/dp/B07ZWG619F?psc=1"/>
        <s v="https://www.amazon.com/dp/B089NKT312?psc=1"/>
        <s v="https://www.amazon.com/dp/B0978M8136?psc=1"/>
        <s v="https://www.amazon.com/dp/B08R12QZS1?psc=1"/>
        <s v="https://www.amazon.com/dp/B095Y6ZF5Q?psc=1"/>
        <s v="https://www.amazon.com/dp/B08FMT6N24?psc=1"/>
        <s v="https://www.amazon.com/dp/B07VM9SDMH?psc=1"/>
        <s v="https://www.amazon.com/dp/B0BGBMW9G5?psc=1"/>
        <s v="https://www.amazon.com/dp/B075BDY5WR?psc=1"/>
        <s v="https://www.amazon.com/dp/B07X1VXQMS?psc=1"/>
        <s v="https://www.amazon.com/dp/B087T8LKNC?psc=1"/>
        <s v="https://www.amazon.com/dp/B0BBFTPTKH?psc=1"/>
        <s v="https://www.amazon.com/dp/B09YS1RQ8J?psc=1"/>
        <s v="https://www.amazon.com/dp/B08X24LS5V?psc=1"/>
        <s v="https://www.amazon.com/dp/B08T9FBB68?psc=1"/>
        <s v="https://www.amazon.com/dp/B07Z6RHKFV?psc=1"/>
        <s v="https://www.amazon.com/dp/B07LBZGD97?psc=1"/>
        <s v="https://www.amazon.com/dp/B08R6GZ2KP?psc=1"/>
        <s v="https://www.amazon.com/dp/B08N3F9PRJ?psc=1"/>
        <s v="https://www.amazon.com/dp/B0853CR7LG?psc=1"/>
        <s v="https://www.amazon.com/dp/B09BZVQNTC?psc=1"/>
        <s v="https://www.amazon.com/dp/B0B7C28KPT?psc=1"/>
        <s v="https://www.amazon.com/dp/B07XF4HW8G?psc=1"/>
        <s v="https://www.amazon.com/dp/B01L7TOZJO?psc=1"/>
        <s v="https://www.amazon.com/dp/B08NCHMH1L?psc=1"/>
        <s v="https://www.amazon.com/dp/B0BF4TCX6J?psc=1"/>
        <s v="https://www.amazon.com/dp/B08PNHBCTL?psc=1"/>
        <s v="https://www.amazon.com/dp/B083TGW7DN?psc=1"/>
        <s v="https://www.amazon.com/dp/B0BG2MGDXN?psc=1"/>
        <s v="https://www.amazon.com/dp/B07GNSHPBQ?psc=1"/>
        <s v="https://www.amazon.com/dp/B0BD4BYR11?psc=1"/>
        <s v="https://www.amazon.com/dp/B081PGHZGR?psc=1"/>
        <s v="https://www.amazon.com/dp/B0BR4ZYSRF?psc=1"/>
        <s v="https://www.amazon.com/dp/B08L3SW8DZ?psc=1"/>
        <s v="https://www.amazon.com/dp/B08G5CH2HR?psc=1"/>
        <s v="https://www.amazon.com/dp/B09DYPNPV4?psc=1"/>
        <s v="https://www.amazon.com/dp/B0B3G8V6MV?psc=1"/>
        <s v="https://www.amazon.com/dp/B076FPT78K?psc=1"/>
        <s v="https://www.amazon.com/dp/B08KXTDBQC?psc=1"/>
        <s v="https://www.amazon.com/dp/B01LX9T6HF?psc=1"/>
        <s v="https://www.amazon.com/dp/B086K1T4JJ?psc=1"/>
        <s v="https://www.amazon.com/dp/B084B7PF4K?psc=1"/>
        <s v="https://www.amazon.com/dp/B0B3SHYNBG?psc=1"/>
        <s v="https://www.amazon.com/dp/B08TWB9L5P?psc=1"/>
        <s v="https://www.amazon.com/dp/B086GWG6BG?psc=1"/>
        <s v="https://www.amazon.com/dp/B09Y12NVC2?psc=1"/>
        <s v="https://www.amazon.com/dp/B08739L374?psc=1"/>
        <s v="https://www.amazon.com/dp/B087WW1W78?psc=1"/>
        <s v="https://www.amazon.com/dp/B09B9K9552?psc=1"/>
        <s v="https://www.amazon.com/dp/B08P27RFLB?psc=1"/>
        <s v="https://www.amazon.com/dp/B0B94K541Q?psc=1"/>
        <s v="https://www.amazon.com/dp/B08HPQ384Y?psc=1"/>
        <s v="https://www.amazon.com/dp/B0B52885M9?psc=1"/>
        <s v="https://www.amazon.com/dp/B06XYKVPLS?psc=1"/>
        <s v="https://www.amazon.com/dp/B09871GCN1?psc=1"/>
        <s v="https://www.amazon.com/dp/B09696JZVR?psc=1"/>
      </sharedItems>
    </cacheField>
    <cacheField name="商品主图" numFmtId="0">
      <sharedItems count="100">
        <s v="https://images-na.ssl-images-amazon.com/images/I/31MBSKiZOPL._AC_US600_.jpg"/>
        <s v="https://images-na.ssl-images-amazon.com/images/I/4148pXjT5JL._AC_US600_.jpg"/>
        <s v="https://images-na.ssl-images-amazon.com/images/I/517ZDIeX2AL._AC_US600_.jpg"/>
        <s v="https://images-na.ssl-images-amazon.com/images/I/411xmojvHOL._AC_US600_.jpg"/>
        <s v="https://images-na.ssl-images-amazon.com/images/I/41sxpx4irVL._AC_US600_.jpg"/>
        <s v="https://images-na.ssl-images-amazon.com/images/I/41WAoH5H6NL._AC_US600_.jpg"/>
        <s v="https://images-na.ssl-images-amazon.com/images/I/31VZzB+Y2+L._AC_US600_.jpg"/>
        <s v="https://images-na.ssl-images-amazon.com/images/I/41ZQmtXww2L._AC_US600_.jpg"/>
        <s v="https://images-na.ssl-images-amazon.com/images/I/4176C1ZTLJL._AC_US600_.jpg"/>
        <s v="https://images-na.ssl-images-amazon.com/images/I/31rlJFuHaWL._AC_US600_.jpg"/>
        <s v="https://images-na.ssl-images-amazon.com/images/I/41kv0O2RO5L._AC_US600_.jpg"/>
        <s v="https://images-na.ssl-images-amazon.com/images/I/51lqoRxpKAL._AC_US600_.jpg"/>
        <s v="https://images-na.ssl-images-amazon.com/images/I/41FSF9nXbwL._AC_US600_.jpg"/>
        <s v="https://images-na.ssl-images-amazon.com/images/I/31LS4+++HlL._AC_US600_.jpg"/>
        <s v="https://images-na.ssl-images-amazon.com/images/I/41R9UEekBML._AC_US600_.jpg"/>
        <s v="https://images-na.ssl-images-amazon.com/images/I/41Tiw9rl9aL._AC_US600_.jpg"/>
        <s v="https://images-na.ssl-images-amazon.com/images/I/511xSzv8yRL._AC_US600_.jpg"/>
        <s v="https://images-na.ssl-images-amazon.com/images/I/51m3RCjOtoL._AC_US600_.jpg"/>
        <s v="https://images-na.ssl-images-amazon.com/images/I/41qabW46GoL._AC_US600_.jpg"/>
        <s v="https://images-na.ssl-images-amazon.com/images/I/415CVTfKbfL._AC_US600_.jpg"/>
        <s v="https://images-na.ssl-images-amazon.com/images/I/51LYB9lQdLL._AC_US600_.jpg"/>
        <s v="https://images-na.ssl-images-amazon.com/images/I/41hLUQwvoaL._AC_US600_.jpg"/>
        <s v="https://images-na.ssl-images-amazon.com/images/I/41nAgEWFdGL._AC_US600_.jpg"/>
        <s v="https://images-na.ssl-images-amazon.com/images/I/51DUgyoMOhL._AC_US600_.jpg"/>
        <s v="https://images-na.ssl-images-amazon.com/images/I/415DRxbG3pL._AC_US600_.jpg"/>
        <s v="https://m.media-amazon.com/images/W/IMAGERENDERING_521856-T1/images/I/3196QeAvkXL._AC_US600_.jpg"/>
        <s v="https://images-na.ssl-images-amazon.com/images/I/31HerJYQxzL._AC_US600_.jpg"/>
        <s v="https://images-na.ssl-images-amazon.com/images/I/51RjObEKN4L._AC_US600_.jpg"/>
        <s v="https://images-na.ssl-images-amazon.com/images/I/41OVlRD-CtL._AC_US600_.jpg"/>
        <s v="https://images-na.ssl-images-amazon.com/images/I/413QzyJkOQL._AC_US600_.jpg"/>
        <s v="https://images-na.ssl-images-amazon.com/images/I/31EAxEEMbVL._AC_US600_.jpg"/>
        <s v="https://images-na.ssl-images-amazon.com/images/I/41xKS3OoclL._AC_US600_.jpg"/>
        <s v="https://images-na.ssl-images-amazon.com/images/I/41ELapobmZL._AC_US600_.jpg"/>
        <s v="https://images-na.ssl-images-amazon.com/images/I/41fJQ2R4N-L._AC_US600_.jpg"/>
        <s v="https://images-na.ssl-images-amazon.com/images/I/41NWjD1CuNL._AC_US600_.jpg"/>
        <s v="https://m.media-amazon.com/images/I/51yODvXRBGL._AC_US600_.jpg"/>
        <s v="https://images-na.ssl-images-amazon.com/images/I/31VXHjBfcfL._AC_US600_.jpg"/>
        <s v="https://images-na.ssl-images-amazon.com/images/I/41RnifaGGML._AC_US600_.jpg"/>
        <s v="https://images-na.ssl-images-amazon.com/images/I/41EfD0xmTgL._AC_US600_.jpg"/>
        <s v="https://images-na.ssl-images-amazon.com/images/I/41YlA3PVYBL._AC_US600_.jpg"/>
        <s v="https://images-na.ssl-images-amazon.com/images/I/5135MRrXWrL._AC_US600_.jpg"/>
        <s v="https://m.media-amazon.com/images/W/IMAGERENDERING_521856-T2/images/I/41RjVllXMiL._AC_US600_.jpg"/>
        <s v="https://m.media-amazon.com/images/I/51hOezlAX+L._AC_US600_.jpg"/>
        <s v="https://images-na.ssl-images-amazon.com/images/I/51wK1gMNZLL._AC_US600_.jpg"/>
        <s v="https://images-na.ssl-images-amazon.com/images/I/41M1ysVClKL._AC_US600_.jpg"/>
        <s v="https://images-na.ssl-images-amazon.com/images/I/41xJrOGz4aL._AC_US600_.jpg"/>
        <s v="https://images-na.ssl-images-amazon.com/images/I/41xI07RSgBL._AC_US600_.jpg"/>
        <s v="https://images-na.ssl-images-amazon.com/images/I/41019YXde4L._AC_US600_.jpg"/>
        <s v="https://images-na.ssl-images-amazon.com/images/I/31mEyFByQOL._AC_US600_.jpg"/>
        <s v="https://images-na.ssl-images-amazon.com/images/I/319fwckxydL._AC_US600_.jpg"/>
        <s v="https://images-na.ssl-images-amazon.com/images/I/51chJ-m0ftL._AC_US600_.jpg"/>
        <s v="https://images-na.ssl-images-amazon.com/images/I/51qTgjsG+jL._AC_US600_.jpg"/>
        <s v="https://m.media-amazon.com/images/I/31FWlEg5fqL._AC_US600_.jpg"/>
        <s v="https://images-na.ssl-images-amazon.com/images/I/41+QhGCYlnL._AC_US600_.jpg"/>
        <s v="https://images-na.ssl-images-amazon.com/images/I/41i41ZJLGcL._AC_US600_.jpg"/>
        <s v="https://images-na.ssl-images-amazon.com/images/I/41x1QmekmBL._AC_US600_.jpg"/>
        <s v="https://images-na.ssl-images-amazon.com/images/I/5135qxoHciL._AC_US600_.jpg"/>
        <s v="https://images-na.ssl-images-amazon.com/images/I/41jZv9IQKtL._AC_US600_.jpg"/>
        <s v="https://m.media-amazon.com/images/W/IMAGERENDERING_521856-T2/images/I/414P2GL4cAL._AC_US600_.jpg"/>
        <s v="https://m.media-amazon.com/images/W/IMAGERENDERING_521856-T1/images/I/41Jkp816TuL._AC_US600_.jpg"/>
        <s v="https://images-na.ssl-images-amazon.com/images/I/51sGLLlmj8L._AC_US600_.jpg"/>
        <s v="https://images-na.ssl-images-amazon.com/images/I/41ctRPisslL._AC_US600_.jpg"/>
        <s v="https://images-na.ssl-images-amazon.com/images/I/41CU7z7y-ML._AC_US600_.jpg"/>
        <s v="https://images-na.ssl-images-amazon.com/images/I/41-nj5fRENL._AC_US600_.jpg"/>
        <s v="https://images-na.ssl-images-amazon.com/images/I/416HZaiHMcL._AC_US600_.jpg"/>
        <s v="https://images-na.ssl-images-amazon.com/images/I/41xpc1obGyL._AC_US600_.jpg"/>
        <s v="https://images-na.ssl-images-amazon.com/images/I/51e2Fp15xnL._AC_US600_.jpg"/>
        <s v="https://images-na.ssl-images-amazon.com/images/I/51B7UIiB95L._AC_US600_.jpg"/>
        <s v="https://m.media-amazon.com/images/I/31nldc5I5qL._AC_US600_.jpg"/>
        <s v="https://images-na.ssl-images-amazon.com/images/I/41nnl0IYwmL._AC_US600_.jpg"/>
        <s v="https://images-na.ssl-images-amazon.com/images/I/41EXcFBZ2uL._AC_US600_.jpg"/>
        <s v="https://images-na.ssl-images-amazon.com/images/I/41gnPXQ60DL._AC_US600_.jpg"/>
        <s v="https://images-na.ssl-images-amazon.com/images/I/51DFrKWE3+L._AC_US600_.jpg"/>
        <s v="https://images-na.ssl-images-amazon.com/images/I/41Ie-5jgNBL._AC_US600_.jpg"/>
        <s v="https://images-na.ssl-images-amazon.com/images/I/41WjXoD4znL._AC_US600_.jpg"/>
        <s v="https://m.media-amazon.com/images/W/IMAGERENDERING_521856-T1/images/I/41VVyif1syL._AC_US600_.jpg"/>
        <s v="https://images-na.ssl-images-amazon.com/images/I/51DaREWGV9L._AC_US600_.jpg"/>
        <s v="https://images-na.ssl-images-amazon.com/images/I/419w5-1jmOL._AC_US600_.jpg"/>
        <s v="https://images-na.ssl-images-amazon.com/images/I/516+29sy+uL._AC_US600_.jpg"/>
        <s v="https://images-na.ssl-images-amazon.com/images/I/41RUxUeb1SL._AC_US600_.jpg"/>
        <s v="https://images-na.ssl-images-amazon.com/images/I/41kb9+9AjPL._AC_US600_.jpg"/>
        <s v="https://images-na.ssl-images-amazon.com/images/I/41Q4s94S0uL._AC_US600_.jpg"/>
        <s v="https://images-na.ssl-images-amazon.com/images/I/41UTCIgF3RL._AC_US600_.jpg"/>
        <s v="https://images-na.ssl-images-amazon.com/images/I/418+jnE43GL._AC_US600_.jpg"/>
        <s v="https://images-na.ssl-images-amazon.com/images/I/41Kx73WvRML._AC_US600_.jpg"/>
        <s v="https://images-na.ssl-images-amazon.com/images/I/31hes0z4e1L._AC_US600_.jpg"/>
        <s v="https://m.media-amazon.com/images/I/61PY7xJYKRL._AC_US600_.jpg"/>
        <s v="https://images-na.ssl-images-amazon.com/images/I/51BtVuritGL._AC_US600_.jpg"/>
        <s v="https://images-na.ssl-images-amazon.com/images/I/41Bh+8iMurL._AC_US600_.jpg"/>
        <s v="https://m.media-amazon.com/images/I/41MMVnAeq+L._AC_US600_.jpg"/>
        <s v="https://images-na.ssl-images-amazon.com/images/I/51cjHLNNdfL._AC_US600_.jpg"/>
        <s v="https://images-na.ssl-images-amazon.com/images/I/41XooFogX3S._AC_US600_.jpg"/>
        <s v="https://images-na.ssl-images-amazon.com/images/I/41itlVcI-8L._AC_US600_.jpg"/>
        <s v="https://images-na.ssl-images-amazon.com/images/I/31oBMRVPbJS._AC_US600_.jpg"/>
        <s v="https://images-na.ssl-images-amazon.com/images/I/514XT9luXRL._AC_US600_.jpg"/>
        <s v="https://images-na.ssl-images-amazon.com/images/I/51Pp7HEnMDL._AC_US600_.jpg"/>
        <s v="https://m.media-amazon.com/images/W/IMAGERENDERING_521856-T1/images/I/41uMb4vYYiL._AC_US600_.jpg"/>
        <s v="https://images-na.ssl-images-amazon.com/images/I/41zlAqz5EQS._AC_US600_.jpg"/>
        <s v="https://images-na.ssl-images-amazon.com/images/I/41Eimf3muML._AC_US600_.jpg"/>
        <s v="https://m.media-amazon.com/images/I/41K7k9nX6sL._AC_US600_.jpg"/>
      </sharedItems>
    </cacheField>
    <cacheField name="品牌" numFmtId="0">
      <sharedItems count="47">
        <s v="Ninja"/>
        <s v="COSORI"/>
        <s v="Instant Pot"/>
        <s v="DASH"/>
        <s v="Gourmia"/>
        <s v="Nuwave"/>
        <s v="FABULETTA"/>
        <s v="Emeril Everyday"/>
        <s v="Chefman"/>
        <s v="Elite Gourmet"/>
        <s v="Toshiba"/>
        <s v="Emeril Lagasse"/>
        <s v="PHILIPS"/>
        <s v="Kalorik"/>
        <s v="Ultrean"/>
        <s v="GoWISE USA"/>
        <s v="Hamilton Beach"/>
        <s v="NutriChef"/>
        <s v="Cuisinart"/>
        <s v="Oster"/>
        <s v="Geek Chef"/>
        <s v="LATURE"/>
        <s v="CROWNFUL"/>
        <s v="Amazon Renewed"/>
        <s v="Dreo"/>
        <s v="VILIWIN"/>
        <s v="PowerXL"/>
        <s v="Uten"/>
        <s v="Gluck"/>
        <s v="DEIME"/>
        <s v="COMFEE'"/>
        <s v="whall"/>
        <s v="Paula Deen"/>
        <s v="CUSIMAX"/>
        <s v="Aeitto"/>
        <s v="ICONITESUE"/>
        <s v="Secura"/>
        <s v="Ninja Foodi"/>
        <s v="Breville"/>
        <s v="Gevi"/>
        <s v="QINQIWD"/>
        <s v="Simple Deluxe"/>
        <s v="KOOC"/>
        <s v="BELLA"/>
        <s v="PHKOK"/>
        <s v="Beelicious"/>
        <s v="ALLcool"/>
      </sharedItems>
    </cacheField>
    <cacheField name="商品标题" numFmtId="0">
      <sharedItems count="100">
        <s v="Ninja AF101 Air Fryer that Crisps, Roasts, Reheats, &amp; Dehydrates, for Quick, Easy Meals, 4 Quart Capacity, &amp; High Gloss Finis"/>
        <s v="COSORI Air Fryer Pro LE 5-Quart, 9 Functions in 1 with Shake Reminder, UP to 450℉ for Oil-Free Crispy Results, Tempered Glass"/>
        <s v="Instant Vortex Plus 10-Quart Air Fryer, From the Makers of Instant Pot, 7-in-10 Functions, with EvenCrisp Technology, App wit"/>
        <s v="Instant Vortex Plus 6-Quart Air Fryer Oven, From the Makers of Instant Pot with ClearCook Cooking Window, Digital Touchscreen"/>
        <s v="COSORI Pro II Air Fryer Oven Combo, 5.8QT Max Xl Large Cooker with 12 One-Touch Savable Custom Functions, Cookbook and Online"/>
        <s v="Instant Vortex Plus 6-in-1, 4QT Air Fryer Oven, From the Makers of Instant Pot with Customizable Smart Cooking Programs, Nons"/>
        <s v="Ninja DZ401 Foodi 10 Quart 6-in-1 DualZone XL 2-Basket Air Fryer with 2 Independent Frying Baskets, Match Cook &amp; Smart Finish"/>
        <s v="DASH Tasti-Crisp™ Electric Air Fryer Oven Cooker with Temperature Control, Non-Stick Fry Basket, Recipe Guide + Auto Shut Off"/>
        <s v="Gourmia Air Fryer Oven Digital Display 6 Quart Large AirFryer Cooker 12 1-Touch Cooking Presets, XL Air Fryer Basket 1500w Po"/>
        <s v="Ninja DZ201 Foodi 8 Quart 6-in-1 DualZone 2-Basket Air Fryer with 2 Independent Frying Baskets, Match Cook &amp; Smart Finish to"/>
        <s v="Nuwave Brio 7-in-1 Air Fryer Oven, 7.25-Qt with One-Touch Digital Controls, 50°- 400°F Temperature Controls in 5° Increments,"/>
        <s v="Ninja SP101 Digital Air Fry Countertop Oven with 8-in-1 Functionality, Flip Up &amp; Away Capability for Storage Space, with Air"/>
        <s v="Air Fryer, Fabuletta 9 Customizable Smart Cooking Programs Compact 4QT Air Fryers, Shake Reminder, 450°F Digital Airfryer,Tempered Glass Display, Dishwasher-Safe &amp; Nonstick, Fit for 2-4 People"/>
        <s v="Ninja AF161 Max XL Air Fryer that Cooks, Crisps, Roasts, Bakes, Reheats and Dehydrates, with 5.5 Quart Capacity, and a High G"/>
        <s v="COSORI Air Fryer Toaster Oven Combo, 10 Qt Family Size 14-in-1 Functions (1000+ APP Recipes), Dishwasher-Safe Accessories wit"/>
        <s v="Instant Vortex Plus 6-Quart Air Fryer Oven, From the Makers of Instant Pot with Odor Erase Technology, ClearCook Cooking Wind"/>
        <s v="Emeril Lagasse 26 QT Extra Large Air Fryer, Convection Toaster Oven with French Doors, Stainless Steel"/>
        <s v="COSORI Air Fryer Toaster Oven Combo, 12-in-1 Convection Ovens Countertop, Stainless Steel, Smart, 6-Slice Toast, 12-inch Pizz"/>
        <s v="CHEFMAN Large Air Fryer Max XL 8 Qt, Healthy Cooking, User Friendly, Nonstick Stainless Steel, Digital Touch Screen with 4 Co"/>
        <s v="Elite Gourmet EAF-0201 Personal 2.1 Qt. Compact Space Saving Electric Hot Air Fryer Oil-Less Healthy Cooker, Timer &amp; Temperat"/>
        <s v="CHEFMAN Multifunctional Digital Air Fryer+ Rotisserie, Dehydrator, Convection Oven, 17 Touch Screen Presets Fry, Roast, Dehyd"/>
        <s v="Ninja FD401 Foodi 12-in-1 Deluxe XL 8 qt. Pressure Cooker &amp; Air Fryer that Steams, Slow Cooks, Sears, Sautés, Dehydrates &amp; Mo"/>
        <s v="TOSHIBA 6-in-1 Inverter Microwave Oven Air Fryer Combo, Countertop Microwave, Healthy Air Fryer, Broil, Convection, Speedy Co"/>
        <s v="Emeril Lagasse Power Air Fryer 360 Better Than Convection Ovens Hot Air Fryer Oven, Toaster Oven, Bake, Broil, Slow Cook and"/>
        <s v="CHEFMAN Small, Compact Air Fryer Healthy Cooking, 2 Qt, Nonstick, User Friendly and Adjustable Temperature Control w/ 60 Minu"/>
        <s v="COSORI Small Air Fryer Oven 2.1 Qt, 4-in-1 Mini Airfryer, Bake, Roast, Reheat, Space-saving &amp; Low-noise, Nonstick and Dishwas"/>
        <s v="Philips 3000 Series Air Fryer Essential Compact with Rapid Air Technology, 13-in-1 Cooking Functions to Fry, Bake, Grill, Roa"/>
        <s v="Kalorik® MAXX® Digital Air Fryer Oven, 26 Quart, 10-in-1 Countertop Toaster Oven &amp; Air Fryer Combo-21 Presets up to 500 degre"/>
        <s v="Ultrean Air Fryer, 4.2 Quart (4 Liter) Electric Hot Airfryer Oven Oilless Cooker with LCD Digital Screen and Nonstick Frying"/>
        <s v="GoWISE USA 1700-Watt 5.8-QT 8-in-1 Digital Air Fryer with Recipe Book, Black"/>
        <s v="DASH Tasti-Crisp™ Digital Air Fryer with AirCrisp Technology, Custom Presets, Temperature Control, and Auto Shut Off Feature,"/>
        <s v="Hamilton Beach Sure-Crisp Air Fryer Countertop Toaster Oven, Fits 9” Pizza, 4 Slice Capacity, Powerful Circulation, Auto Shut"/>
        <s v="Hot Air Fryer Oven - Oilless Convection Power Multi Cooker with Digital Display and 3.7 Qt Capacity - Perfect for Baking, Gri"/>
        <s v="Cuisinart TOA-26 Compact Airfryer Toaster Oven, 1800-Watt Motor with 6-in-1 Functions and Wide Temperature Range, Large Capac"/>
        <s v="Oster Compact Countertop Oven With Air Fryer, Stainless Steel"/>
        <s v="Geek Chef Air Fryer Toaster Oven, 10QT Toaster Ovens Countertop, 4 Slice Toaster, 6 Inch Pizza, Warm, Broil, Toast, Bake, Air"/>
        <s v="Philips Premium Airfryer XXL with Fat Removal Technology, 3lb/7qt, Black, HD9650/96"/>
        <s v="Ninja FD302 Foodi 11-in-1 Pro 6.5 qt. Pressure Cooker &amp; Air Fryer that Steams, Slow Cooks, Sears, Sautés, Dehydrates &amp; More,"/>
        <s v="Chefman Small Compact Air Fryer Healthy Cooking, 2 Qt Nonstick, User Friendly and Adjustable Temperature Control w/ 60 Minute"/>
        <s v="LATURE 4.2 QT Air Fryer Oven Cooker with Temperature and Time Control Dishwasher Non-stick Basket 6 Cook Presets CE Certified"/>
        <s v="COSORI Air Fryer Toaster Oven 26.4QT, 12-in-1 Convection Ovens Countertop Combo, 6-Slice Toast, 12-inch Pizza, Basket, Tray,"/>
        <s v="CROWNFUL 7 Quart Air Fryer, Oilless Electric Cooker with 12 Cooking Functions, LCD Touch Digital Screen with Precise Temperat"/>
        <s v="Cuisinart Air Fryer (Renewed)"/>
        <s v="COSORI Air Fryer Toaster Oven, 12-in-1 Convection Oven Countertop with Rotisserie, Stainless Steel 32QT/32L, 6-Slice Toast, 1"/>
        <s v="GoWISE USA GW22956 7-Quart Electric Air Fryer with Dehydrator &amp; 3 Stackable Racks, Led Digital Touchscreen with 8 Functions +"/>
        <s v="Nuwave Brio 8-Qt Air Fryer, Powerful 1800W, Easy-to-Read Cool White Display, 50°-400°F Temp Controls, 100 Pre-Programmed Pres"/>
        <s v="Dreo Air Fryer Pro Max, 11-in-1 Digital Air Fryer Oven Cooker with 100 Recipes, Visible Window, Supports Customerizable Cooki"/>
        <s v="Ninja SP351 Foodi Smart 13-in-1 Dual Heat Air Fry Countertop Oven, Dehydrate, Reheat, Smart Thermometer, 1800-watts, Silver"/>
        <s v="VILIWIN Air Fryer 4.5 QT Digital Upgraded Air Fryers Cooker 8 Preset Menus AirFryer Hot Air Fryer with Auto Shut Off 30 Minute Timer Adjustable Temperature Control Nonstick Tray 1400W Air Fryer Blue"/>
        <s v="PowerXL Air Fryer 7 QT Maxx Classic, Extra Hot Air Fry, Cook, Crisp, Broil, Roast, Bake, High Gloss Finish, Black (7 Quart)"/>
        <s v="Air Fryer 5.8QT/5.5L, Uten 1700W AirFryer High-Power Electric Hot Temperature Control &amp; Timer Knob, Non Stick Fry Basket, Dis"/>
        <s v="GLUCK Air Fryer Oven,10-in-1 20 QT Airfryer Toaster Oven with Visible Cooking Window,Large Air Fryer Toaster Oven Combo with"/>
        <s v="DASH Compact Air Fryer Oven Cooker with Temperature Control, Non-stick Fry Basket, Recipe Guide + Auto Shut off Feature, 2 Qu"/>
        <s v="ULTREAN 5.8 Quart Air Fryer, Electric Hot Air Fryers Oilless Cooker with 10 Presets, Digital LCD Touch Screen, Nonstick Baske"/>
        <s v="Elite Gourmet EAF-3218R Personal 1.1Qt Compact Space Saving Electric Hot Air Fryer Oil-Less Healthy Cooker, Timer &amp; Temperatu"/>
        <s v="Air Fryer 6.2 QT Oilless AirFryer 1500W Electric Healthy Oven Cooker Large Capacity with Visible Cooking Window, 10 Presets i"/>
        <s v="Air Fryer 12 QT 1700W Large Capacity Oilless Hot Air Fryers Oven Healthy Cooker with 10 Presets, Visible Cooking Window, LCD"/>
        <s v="PowerXL Air Fryer Steamer 7 QT 10-in-1 XL Vegetable Steamer and Air Fryer Combo, Toast, Bake, Roast, Broil, Dough Proofing, W"/>
        <s v="COMFEE' Retro Air Fry Toaster Oven, 7-in-1, 1500W, 19QT Capacity, 6 Slice, Air Fry, Rotisseries, Warm, Broil, Toast, Bake, Convection Bake, Black, Perfect for Countertop"/>
        <s v="Nuwave Brio 6-Quart Healthy Digital Smart Air Fryer with Probe One-Touch Digital Controls, Advanced Cooking Functions, Removable Divider Insert &amp; Grill Pan (NEW ACCESSORY)"/>
        <s v="GoWISE USA GW44800-O Deluxe 12.7-Quarts 15-in-1 Electric Air Fryer Oven with Rotisserie and Dehydrator + 50 Recipes QT, Black"/>
        <s v="Gourmia Air Fryer Oven Digital Display 7 Quart Large AirFryer Cooker 12 Touch Cooking Presets, XL Air Fryer Basket 1700w Powe"/>
        <s v="Gourmia Air Fryer Oven Digital Display 8 Quart Large AirFryer Cooker 12 Touch Cooking Presets, XL Air Fryer Basket 1700w Powe"/>
        <s v="NUWAVE Brio Air Fryer Smart Oven, 15.5-Qt X-Large Family Size, Countertop Convection Rotisserie Grill Combo, Non-Stick Drip T"/>
        <s v="Chefman TurboFry Touch Dual Air Fryer, Maximize The Healthiest Meals With Double Basket Capacity, One-Touch Digital Controls"/>
        <s v="CHEFMAN 5-Quart Digital Air Fryer with Temperature Probe, 8 Customizable Cooking Presets, Large Easy-View Window, Give Your F"/>
        <s v="Ninja Foodi SP101/FT102CO Digital Fry, Convection Oven, Toaster, Air Fryer, Flip-Away for Storage, with XL Capacity, and a St"/>
        <s v="NutriChef Air Fryer, Halogen Infrared Convection Oven - Large 13 Quart Glass Air Fryer, Oil-Free Quick Healthy Meals Multicoo"/>
        <s v="Elite Gourmet EAF1121 Personal 1.1 Qt. Compact Space Saving Electric Hot Air Fryer Oil-Less Healthy Cooker, Timer &amp; Temperatu"/>
        <s v="Air Fryer Oven,whall 12QT 12-in-1 Air Fryer Convection Oven,Rotisserie,Roast,Bake,Dehydrate,12 Cooking Presets,Digital Touchs"/>
        <s v="Paula Deen Stainless Steel 10 QT Digital Air Fryer (1700 Watts), LED Display, 10 Preset Cooking Functions, Ceramic Non-Stick"/>
        <s v="PowerXL Air Fryer Vortex - Multi Cooker with Roast, Bake, Food Dehydrator, Reheat Non Stick Coated Basket, Cookbook (7 QT, Bl"/>
        <s v="CUSIMAX Air Fryer Oven, 10-in-1 Convection Oven, 24QT Air Fryer Combo, Countertop Air Fryer Toaster Oven with Rotisserie &amp; De"/>
        <s v="DASH Deluxe Electric Air Fryer + Oven Cooker with Temperature Control, Non-stick Fry Basket, Recipe Guide + Auto Shut Off Fea"/>
        <s v="COSORI Pro Gen 2 Air Fryer 5.8QT, Upgraded Version with Stable Performance &amp; Sleek New Look, 13 One Touch Functions, 100 Pape"/>
        <s v="Ultrean Air Fryer oven, 12.5 Quart Airfryer Toaster Oven with Rotisserie,Bake,Dehydrator,Auto Shutoff and 8 Touch Screen Pres"/>
        <s v="Aeitto 30L Large Air Fryer Toaster Oven Combo,with Rotisserie and Dehydrator, 19-In-1 Digital Convection Oven Countertop Airf"/>
        <s v="PowerXL Grill Air Fryer Combo 6 QT 12-in-1 Indoor Grill, Air Fryer, Slow Cooker, Roast, Bake, 1550-Watts, Stainless Steel Fin"/>
        <s v="Chefman Air Fryer Toaster Oven Combo, 7-In-1 Convection Oven Countertop 20 Qt Oven Air fryer, Cook a 10 Inch Pizza, Air Fry 2"/>
        <s v="6-in-1 Air Fryer, 7-Quart/6.5L Smart Electric Hot Airfryer Combo Oven Oilless Cooker, 1800W Large Capacity Multifunction Heal"/>
        <s v="Air Fryer Toaster Oven Combo - Fabuletta 10-in-1 Countertop Convection Oven 1800W, Flip Up &amp; Away Capability for Storage Spac"/>
        <s v="Secura Air Fryer XL 5.3 Quart 1700-Watt Electric Hot Air Fryers Oven Oil Free Nonstick Cooker w/Recipes for Frying, Roasting,"/>
        <s v="PowerXL Vortex Air Fryer, Vortex Rapid Air Technology, SmartSync, Broil, Bake, Roast, Reheat, Dehydrate (10 QT Single Basket)"/>
        <s v="GoWISE USA 3.7-Quart Programmable Air Fryer with 8 Cook Presets, GW22638 - Black"/>
        <s v="PowerXL Air Fryer Grill 8 in 1 Roast, Bake, Rotisserie, Electric Indoor Grill (Black Deluxe)"/>
        <s v="Ninja Foodi Ninja Foodi 4-in-1 Indoor Grill (Renewed)"/>
        <s v="Breville Smart Oven Air Fryer Toaster Oven, Black Truffle, BOV860"/>
        <s v="Gevi Air Fryer Toaster Oven Combo, Large Digital LED Screen Convection Oven with Rotisserie and Dehydrator, Extra Large Capac"/>
        <s v="QINQIWD-Air Fryers 2.5L Air Fryer with Rapid Air Circulation System, for Home Smart No Frying Low Fat Healthy Oven 1200W, (Co"/>
        <s v="Simple Deluxe Air Fryer Oven, Toaster Oven Air Fryer Combo, Family Size Air Fryer Oven, 6 Accessories Included , 25L Large Ca"/>
        <s v="CROWNFUL Air Fryer, 10.6 Quart Large Convection Toaster Oven with Digital LCD Touch Screen, 10 in 1 Oilless Cooker with Rotis"/>
        <s v="CROWNFUL 19 Quart Air Fryer Toaster Oven, Convection Roaster with Rotisserie &amp; Dehydrator, 10-in-1 Countertop Oven, Original"/>
        <s v="[NEW] KOOC Large Air Fryer, 4.5-Quart Electric Hot Oven Cooker, Free Cheat Sheet for Quick Reference Guide, LED Touch Digital"/>
        <s v="BELLA 2.9QT Touchscreen Air Fryer, No Pre-Heat Needed, No-Oil Frying, Fast Healthy Evenly Cooked Meal Every Time, Dishwasher"/>
        <s v="PHKOK 7 Quarts Air Fryer, 1700W 360°Large Electric Hot Oilless Oven Cooker with 2-24 HRS Appointment Function,14-in-1 Airfrye"/>
        <s v="CHEFMAN Air Fryer Toaster Oven XL 20L, Healthy Cooking &amp; User Friendly, Countertop Convection Bake &amp; Broil, 9 Cooking Functio"/>
        <s v="Chefman TurboFry 2-Quart Air Fryer, Dishwasher Safe Basket &amp; Tray, Use Little to No Oil For Healthy Food, 60 Minute Timer, Fr"/>
        <s v="Secura Air Fryer 3.4Qt / 3.2L 1500-Watt Electric Hot XL Air Fryers Oven Oil Free Nonstick Cooker with/Recipes for Frying, Roa"/>
        <s v="Beelicious 32QT Extra Large Air Fryer, 19-In-1 Air Fryer Toaster Oven Combo with Rotisserie and Dehydrator, Digital Convectio"/>
        <s v="Air Fryer, Airfryer Oven Large Air Fryer 1700W 8-in-1 with Touch Screen Air Fryers Detachable Dishwasher Safe Nonstick Basket"/>
      </sharedItems>
    </cacheField>
    <cacheField name="标题(翻译)" numFmtId="0">
      <sharedItems count="100">
        <s v="Ninja AF101 空气炸锅，可脆化、烘烤、再加热和脱水，可快速、轻松地进餐，容量为 4 夸脱，表面光洁度高"/>
        <s v="COSORI 空气炸锅 Pro LE 5 夸脱，9 种功能合一，带摇动提醒，高达 450 华氏度以获得无油酥脆效果，钢化玻璃"/>
        <s v="Instant Vortex Plus 10 夸脱空气炸锅，来自 Instant Pot 制造商，7 合 10 功能，采用 EvenCrisp 技术，App wit"/>
        <s v="Instant Vortex Plus 6 夸脱空气炸锅烤箱，来自带 ClearCook 烹饪窗口、数字触摸屏的 Instant Pot 制造商"/>
        <s v="COSORI Pro II 空气炸锅烤箱组合，5.8QT Max Xl 大型炊具，带 12 种一键式可保存自定义功能、食谱和在线"/>
        <s v="Instant Vortex Plus 6 合 1、4QT 空气炸锅烤箱，来自具有可定制智能烹饪程序的 Instant Pot 制造商，非"/>
        <s v="Ninja DZ401 Foodi 10 夸脱 6 合 1 DualZone XL 2 篮空气炸锅带 2 个独立炸篮、Match Cook 和 Smart Finish"/>
        <s v="DASH Tasti-Crisp™ 电动空气炸锅烤箱炊具带温度控制、不粘炸篮、食谱指南 + 自动关闭"/>
        <s v="Gourmia 空气炸锅烤箱数字显示 6 夸脱大型空气炸锅炊具 12 一键式烹饪预设，XL 空气炸锅篮 1500w Po"/>
        <s v="Ninja DZ201 Foodi 8 夸脱 6 合 1 DualZone 2 篮式空气炸锅，带 2 个独立炸篮，Match Cook &amp;amp; Smart Finish"/>
        <s v="Nuwave Brio 7 合 1 空气炸锅烤箱，7.25 夸脱，带一键式数字控制，50°- 400°F 温度控制，增量为 5°，"/>
        <s v="Ninja SP101 数字气炸台面烤箱，具有 8 合 1 功能，可翻转存储空间，带空气"/>
        <s v="空气炸锅，Fabuletta 9 种可定制的智能烹饪程序紧凑型 4 夸脱空气炸锅，摇动提醒，450°F 数字空气炸锅，钢化玻璃显示屏，可用洗碗机清洗且不粘锅，适合 2-4 人"/>
        <s v="Ninja AF161 Max XL 空气炸锅，可烹饪、薯片、烘烤、烘烤、再加热和脱水，具有 5.5 夸脱容量和高 G"/>
        <s v="COSORI 空气炸锅烤箱组合，10 夸脱家庭装 14 合 1 功能（1000 多种应用程序食谱），可放入洗碗机清洗的配件"/>
        <s v="Instant Vortex Plus 6 夸脱空气炸锅烤箱，来自具有除臭技术的 Instant Pot 制造商，ClearCook Cooking Wind"/>
        <s v="Emeril Lagasse 26 QT 超大空气炸锅，带法式门的对流烤箱，不锈钢"/>
        <s v="COSORI 空气炸锅烤箱组合，12 合 1 对流烤箱台面，不锈钢，智能，6 片吐司，12 英寸披萨"/>
        <s v="CHEFMAN 大型空气炸锅 Max XL 8 Qt，健康烹饪，用户友好，不粘不锈钢，带 4 Co 的数字触摸屏"/>
        <s v="精英美食 EAF-0201 个人 2.1 夸脱。 紧凑型节省空间的电热空气炸锅无油健康炊具、定时器和温度"/>
        <s v="CHEFMAN 多功能数字空气炸锅 + 烤肉店、脱水机、对流烤箱、17 种触摸屏预设油炸、烤、脱水"/>
        <s v=" Ninja FD401 Foodi 12 合 1 Deluxe XL 8 夸脱。 高压锅和空气炸锅，可蒸、慢煮、西尔斯、炒、脱水和 Mo"/>
        <s v="东芝 6 合 1 变频微波炉空气炸锅组合、台面微波炉、健康空气炸锅、烤、对流、Speedy Co"/>
        <s v="Emeril Lagasse Power Air Fryer 360 比对流烤箱更好"/>
        <s v="CHEFMAN 小型紧凑型空气炸锅健康烹饪，2 夸脱，不粘锅，用户友好且可调节温度控制，带 60 分钟"/>
        <s v="COSORI 小型空气炸锅烤箱 2.1 夸脱、4 合 1 迷你空气炸锅、烘烤、烘烤、再加热、节省空间和低噪音、不粘锅和洗碗机"/>
        <s v="飞利浦 3000 系列空气炸锅 Essential Compact 采用 Rapid Air 技术，13 合 1 烹饪功能，可煎、烤、烤、烤"/>
        <s v="Kalorik® MAXX® 数字空气炸锅烤箱，26 夸脱，10 合 1 工作台面烤面包机烤箱和空气炸锅组合 21 预设高达 500 度"/>
        <s v="Ultrean 空气炸锅，4.2​​ 夸脱（4 升）电热空气炸锅烤箱无油炊具​​带 LCD 数字屏幕和不粘锅油炸"/>
        <s v="GoWISE USA 1700 瓦 5.8 夸脱 8 合 1 数字空气炸锅带食谱，黑色"/>
        <s v="DASH Tasti-Crisp™ 数字空气炸锅采用 AirCrisp 技术、自定义预设、温度控制和自动关闭功能，"/>
        <s v="Hamilton Beach Sure-Crisp 空气炸锅台面烤箱，适合 9 英寸披萨，4 片容量，强大的循环，自动关闭"/>
        <s v="热风炸锅 - 无油对流动力多功能炊具，带数字显示屏和 3.7 夸脱容量 - 非常适合烘焙、Gri"/>
        <s v="Cuisinart TOA-26 紧凑型空气炸锅烤箱，1800 瓦电机，具有 6 合 1 功能和宽温度范围，大容量"/>
        <s v="Oster 紧凑型台面烤箱，带空气炸锅，不锈钢"/>
        <s v="Geek Chef 空气炸锅烤箱，10 夸脱烤箱台面，4 片烤面包机，6 英寸披萨，热、烤、吐司、烘烤、空气"/>
        <s v="飞利浦 Premium Airfryer XXL 采用除脂技术，3 磅/7 夸脱，黑色，HD9650/96"/>
        <s v=" Ninja FD302 Foodi 11 合 1 Pro 6.5 夸脱。 高压锅和空气炸锅，可蒸、慢煮、西尔斯、炒、脱水等，"/>
        <s v="Chefman 小型紧凑型空气炸锅健康烹饪，2 夸脱不粘锅，用户友好且可调节温度控制，带 60 分钟"/>
        <s v="LATURE 4.2 QT 空气炸锅烤箱炊具带温度和时间控制洗碗机不粘篮 6 种烹饪预设 CE 认证"/>
        <s v="COSORI 空气炸锅烤箱 26.4 夸脱、12 合 1 对流烤箱台面组合、6 片吐司、12 英寸披萨、篮子、托盘、"/>
        <s v="CROWNFUL 7 夸脱空气炸锅，带 12 种烹饪功能的无油电饭锅，带精确温度的 LCD 触摸数字屏幕"/>
        <s v="Cuisinart 空气炸锅（更新）"/>
        <s v="COSORI 空气炸锅烤箱，带烤肉架的 12 合 1 对流烤箱台面，不锈钢 32QT/32L，6 片吐司，1"/>
        <s v="GoWISE USA GW22956 7 夸脱电空气炸锅带脱水器和 3 个可堆叠架，带 8 种功能的 LED 数字触摸屏 +"/>
        <s v="Nuwave Brio 8 夸脱空气炸锅，强大的 1800 瓦，易于阅读的冷白色显示屏，50°-400°F 温度控制，100 个预编程压力"/>
        <s v="Dreo Air Fryer Pro Max，带 100 个食谱的 11 合 1 数字空气炸锅烤箱炊具，可见窗口，支持可定制的 Cooki"/>
        <s v="Ninja SP351 Foodi Smart 13 合 1 双热气炸台面烤箱，脱水，再加热，智能温度计，1800 瓦，银色"/>
        <s v="VILIWIN 空气炸锅 4.5 QT 数字升级空气炸锅炊具 8 预设菜单空气炸锅热空气炸锅自动关闭 30 分钟定时器可调温度控制不粘托盘 1400W 空气炸锅蓝色"/>
        <s v="PowerXL 空气炸锅 7 QT Maxx 经典，超热风炸，烹调，酥脆，烤，烤，烘烤，高光饰面，黑色（7 夸脱）"/>
        <s v="空气炸锅 5.8QT/5.5L，Uten 1700W AirFryer 大功率电热温度控制和定时器旋钮，不粘炸篮，Dis"/>
        <s v="GLUCK 空气炸锅烤箱，10 合 1 20 QT 空气炸锅烤箱带可见烹饪窗口，大型空气炸锅烤箱组合"/>
        <s v="DASH 紧凑型空气炸锅烤箱炊具带温度控制，不粘炸篮，食谱指南 + 自动关闭功能，2 曲"/>
        <s v="ULTREAN 5.8 夸脱空气炸锅、电热空气炸锅无油炊具带 10 个预设、数字 LCD 触摸屏、不粘烤盘"/>
        <s v="Elite Gourmet EAF-3218R 个人 1.1 夸脱紧凑型节省空间电热空气炸锅无油健康炊具、定时器和温度"/>
        <s v="Air Fryer 6.2 QT 无油 AirFryer 1500W 电健康烤箱炊具大容量带可见烹饪窗口，10 个预设 i"/>
        <s v="空气炸锅 12 QT 1700W 大容量无油热空气炸锅烤箱健康炊具带 10 个预设，可见烹饪窗口，LCD"/>
        <s v="PowerXL 空气炸锅蒸锅 7 QT 10 合 1 XL 蔬菜蒸锅和空气炸锅组合，吐司、烘烤、烘烤、烤、面团打样，W"/>
        <s v="COMFEE&amp;#39; Retro Air Fry 烤箱，7 合 1，1500 瓦，19 夸脱容量，6 片，空气炸，烤肉系列，暖，烤，吐司，烘烤，对流烘烤，黑色，非常适合工作台面"/>
        <s v="Nuwave Brio 6 夸脱健康数字智能空气炸锅，带探针一键式数字控制、高级烹饪功能、可拆卸隔板插入件和烤盘（新配件）"/>
        <s v="GoWISE USA GW44800-O Deluxe 12.7 夸脱 15 合 1 电动空气炸锅烤箱带烤肉店和脱水机 + 50 份食谱 QT，黑色"/>
        <s v="Gourmia 空气炸锅烤箱数字显示 7 夸脱大型空气炸锅炊具 12 触摸烹饪预设，XL 空气炸锅篮 1700 瓦功率"/>
        <s v="Gourmia 空气炸锅烤箱数字显示 8 夸脱大型空气炸锅炊具 12 触摸烹饪预设，XL 空气炸锅篮 1700 瓦功率"/>
        <s v="NUWAVE Brio 空气炸锅智能烤箱，15.5 夸脱特大号家庭装，台面对流烤肉店烧烤组合，不粘滴漏式 T"/>
        <s v="Chefman TurboFry Touch 双空气炸锅，双篮容量，一键式数字控制，最大限度地提供最健康的膳食"/>
        <s v="CHEFMAN 5 夸脱数字空气炸锅，带温度探头，8 种可定制的烹饪预设，易于查看的大窗口，让您的 F"/>
        <s v="Ninja Foodi SP101/FT102CO 数字油炸机、对流烤箱、烤面包机、空气炸锅、可翻盖式存储、超大容量和 St"/>
        <s v="NutriChef 空气炸锅，卤素红外线对流烤箱 - 大型 13 夸脱玻璃空气炸锅，无油快速健康膳食 Multicoo"/>
        <s v="精英美食 EAF1121 个人 1.1 夸脱。 紧凑型节省空间电热空气炸锅无油健康炊具、定时器和温度"/>
        <s v="Air Fryer Oven,whall 12QT 12-in-1 Air Fryer Convection Oven,Rotisserie,Roast,Bake,Dehydrate,12 烹饪预设,Digital Touchs"/>
        <s v="Paula Deen 不锈钢 10 QT 数字空气炸锅（1700 瓦）、LED 显示屏、10 种预设烹饪功能、陶瓷不粘锅"/>
        <s v="PowerXL 空气炸锅 Vortex - 多功能炊具，带烘烤、烘烤、食品脱水机、再热不粘涂层篮子、食谱（7 夸脱，Bl"/>
        <s v="CUSIMAX 空气炸锅烤箱、10 合 1 对流烤箱、24 夸脱空气炸锅组合、带 Rotisserie &amp;amp; De 的台面式空气炸锅烤箱"/>
        <s v="DASH Deluxe Electric Air Fryer + Oven Cooker with Temperature Control, 不粘炸篮, Recipe Guide + Auto Shut Off Fea"/>
        <s v="COSORI Pro Gen 2 空气炸锅 5.8QT 升级版性能稳定 外观时尚 13 项一键式功能 100 帕"/>
        <s v="Ultrean Air Fryer 烤箱、12.5 夸脱 Airfryer 烤箱带烤肉架、烘焙、脱水器、自动关闭和 8 个触摸屏压力"/>
        <s v="Aeitto 30 升大型空气炸锅烤面包机烤箱组合，带烤肉架和脱水机，19 合 1 数字对流烤箱台面 Airf"/>
        <s v="PowerXL 烧烤空气炸锅组合 6 QT 12 合 1 室内烧烤、空气炸锅、慢炖锅、烤、烘烤、1550 瓦、不锈钢翅片"/>
        <s v="Chefman 空气炸锅烤面包机烤箱组合，7 合 1 对流烤箱台面 20 夸脱烤箱空气炸锅，烹饪 10 英寸披萨，空气炸锅 2"/>
        <s v="6 合 1 空气炸锅，7 夸脱/6.5 升智能电热空气炸锅组合烤箱无油锅，1800 瓦大容量多功能 Heal"/>
        <s v="空气炸锅烤面包机烤箱组合 - Fabuletta 10 合 1 台面对流烤箱 1800 瓦，可翻转存储空间"/>
        <s v="Secura 空气炸锅 XL 5.3 夸脱 1700 瓦电热空气炸锅烤箱无油不粘锅带食谱，用于煎炸、烘烤、"/>
        <s v="PowerXL Vortex 空气炸锅、Vortex Rapid Air 技术、SmartSync、烤、烘、烤、再热、脱水（10 QT 单篮）"/>
        <s v="GoWISE USA 3.7 夸脱可编程空气炸锅，带 8 个烹饪预设，GW22638 - 黑色"/>
        <s v="PowerXL 空气炸锅烤架 8 合 1 烤、烤、烤肉店、电动室内烤架（黑色豪华版）"/>
        <s v="Ninja Foodi Ninja Foodi 4 合 1 室内烧烤炉（已更新）"/>
        <s v="Breville 智能烤箱空气炸锅烤箱，黑松露，BOV860"/>
        <s v="Gevi 空气炸锅烤箱组合，大型数字 LED 屏幕对流烤箱，带烤肉架和脱水机，超大容量"/>
        <s v="QINQIWD-空气炸锅 2.5L空气炸锅带快速空气循环系统，适用于家庭智能免油炸低脂健康烤箱1200W，（Co"/>
        <s v="简单豪华空气炸锅烤箱，烤箱空气炸锅组合，家庭尺寸空气炸锅烤箱，包括 6 个配件，25 升大容量"/>
        <s v="CROWNFUL 空气炸锅，10.6 夸脱大型对流烤箱，带数字 LCD 触摸屏，10 合 1 无油炊具，带 Rotis"/>
        <s v="CROWNFUL 19 夸脱空气炸锅烤面包机烤箱，带烤肉架和脱水机的对流烤炉，10 合 1 台面烤箱，原装"/>
        <s v="[新] KOOC 大型空气炸锅、4.5 夸脱电热烤箱炊具、免费快速参考指南备忘单、LED Touch Digital"/>
        <s v="BELLA 2.9QT 触摸屏空气炸锅，无需预热，无油煎炸，每次都能快速健康均匀地烹饪食物，洗碗机"/>
        <s v="PHKOK 7 夸脱空气炸锅，1700 瓦 360° 大型电热无油烤箱炊具，具有 2-24 小时预约功能，14 合 1 Airfrye"/>
        <s v="CHEFMAN 空气炸锅烤箱 XL 20L，健康烹饪和用户友好型，台面对流烘烤和烧烤，9 种烹饪功能"/>
        <s v="Chefman TurboFry 2 夸脱空气炸锅，可放入洗碗机清洗的篮子和托盘，少用油或不用油制作健康食品，60 分钟定时器，法国"/>
        <s v="Secura 空气炸锅 3.4 夸脱 / 3.2 升 1500 瓦电热 XL 空气炸锅烤箱无油不粘锅带/煎炸食谱，Roa"/>
        <s v="Beelicious 32QT 超大空气炸锅，19 合 1 空气炸锅烤箱组合，带烤肉店和脱水机，数字对流"/>
        <s v="空气炸锅、空气炸锅烤箱大型空气炸锅 1700 瓦 8 合 1 带触摸屏空气炸锅可拆卸洗碗机安全不粘篮"/>
      </sharedItems>
    </cacheField>
    <cacheField name="亚马逊标识" numFmtId="0">
      <sharedItems count="12">
        <s v="BS"/>
        <s v="BS A+"/>
        <s v="AC BS A+"/>
        <s v="AC A+"/>
        <s v="A+"/>
        <s v=""/>
        <s v="AC"/>
        <s v="AC BS NR A+"/>
        <s v="NR"/>
        <s v="AC BS"/>
        <s v="AC NR A+"/>
        <s v="NR A+"/>
      </sharedItems>
    </cacheField>
    <cacheField name="类目路径" numFmtId="0">
      <sharedItems count="4">
        <s v="Home &amp; Kitchen:Kitchen &amp; Dining:Small Appliances:Fryers:Air Fryers"/>
        <s v="Home &amp; Kitchen:Kitchen &amp; Dining:Small Appliances:Fryers:Deep Fryers"/>
        <s v="Home &amp; Kitchen:Kitchen &amp; Dining:Small Appliances:Ovens &amp; Toasters:Toaster Ovens"/>
        <s v="Home &amp; Kitchen:Kitchen &amp; Dining:Small Appliances:Ovens &amp; Toasters:Convection Ovens"/>
      </sharedItems>
    </cacheField>
    <cacheField name="大类目" numFmtId="0">
      <sharedItems count="1">
        <s v="Kitchen &amp; Dining"/>
      </sharedItems>
    </cacheField>
    <cacheField name="大类BSR" numFmtId="0">
      <sharedItems containsSemiMixedTypes="0" containsString="0" containsNumber="1" containsInteger="1" minValue="0" maxValue="32907" count="100">
        <n v="16"/>
        <n v="131"/>
        <n v="192"/>
        <n v="176"/>
        <n v="193"/>
        <n v="277"/>
        <n v="320"/>
        <n v="494"/>
        <n v="603"/>
        <n v="958"/>
        <n v="1189"/>
        <n v="1009"/>
        <n v="1488"/>
        <n v="1041"/>
        <n v="1367"/>
        <n v="1263"/>
        <n v="1974"/>
        <n v="1787"/>
        <n v="2031"/>
        <n v="2398"/>
        <n v="2256"/>
        <n v="2635"/>
        <n v="2469"/>
        <n v="3010"/>
        <n v="2720"/>
        <n v="2922"/>
        <n v="3655"/>
        <n v="3139"/>
        <n v="2724"/>
        <n v="3310"/>
        <n v="3846"/>
        <n v="3738"/>
        <n v="3701"/>
        <n v="5110"/>
        <n v="6368"/>
        <n v="4417"/>
        <n v="6767"/>
        <n v="5911"/>
        <n v="5206"/>
        <n v="7484"/>
        <n v="4518"/>
        <n v="4762"/>
        <n v="6666"/>
        <n v="6184"/>
        <n v="6281"/>
        <n v="6440"/>
        <n v="6473"/>
        <n v="6834"/>
        <n v="3421"/>
        <n v="9111"/>
        <n v="8292"/>
        <n v="9571"/>
        <n v="9177"/>
        <n v="8771"/>
        <n v="13651"/>
        <n v="13404"/>
        <n v="13357"/>
        <n v="9527"/>
        <n v="9943"/>
        <n v="12327"/>
        <n v="11099"/>
        <n v="12047"/>
        <n v="14264"/>
        <n v="10986"/>
        <n v="10598"/>
        <n v="8252"/>
        <n v="13660"/>
        <n v="13775"/>
        <n v="17711"/>
        <n v="30684"/>
        <n v="14037"/>
        <n v="16222"/>
        <n v="15808"/>
        <n v="11157"/>
        <n v="13280"/>
        <n v="15830"/>
        <n v="23256"/>
        <n v="17477"/>
        <n v="13708"/>
        <n v="17635"/>
        <n v="16129"/>
        <n v="15746"/>
        <n v="14217"/>
        <n v="21578"/>
        <n v="17956"/>
        <n v="20148"/>
        <n v="8604"/>
        <n v="28125"/>
        <n v="10397"/>
        <n v="17516"/>
        <n v="18419"/>
        <n v="14404"/>
        <n v="16717"/>
        <n v="19139"/>
        <n v="24418"/>
        <n v="22603"/>
        <n v="12961"/>
        <n v="32907"/>
        <n v="24313"/>
        <n v="24510"/>
      </sharedItems>
    </cacheField>
    <cacheField name="小类目" numFmtId="0">
      <sharedItems count="11">
        <s v="Air Fryers"/>
        <s v="Air Fryers_x000a_Baking Parchment"/>
        <s v="Deep Fryers_x000a_Air Fryers"/>
        <s v="Commercial Deep Fryers_x000a_Air Fryers_x000a_Kitchen Cookware"/>
        <s v="Air Fryers_x000a_Unique Kitchen"/>
        <s v="Rotisseries &amp; Roasters_x000a_Air Fryers"/>
        <s v="Toaster Ovens_x000a_Air Fryers"/>
        <s v="Air Fryers_x000a_Ovens &amp; Toasters"/>
        <s v="Convection Ovens"/>
        <s v="Commercial Ovens_x000a_Air Fryers"/>
        <s v="Dehydrators_x000a_Toaster Ovens_x000a_Air Fryers"/>
      </sharedItems>
    </cacheField>
    <cacheField name="小类BSR" numFmtId="0">
      <sharedItems count="80">
        <s v="1"/>
        <s v="2"/>
        <s v="4"/>
        <s v="3_x000a_5"/>
        <s v="1_x000a_5"/>
        <s v="1_x000a_6_x000a_19"/>
        <s v="7"/>
        <s v="9"/>
        <s v="10"/>
        <s v="11"/>
        <s v="13"/>
        <s v="17"/>
        <s v="16"/>
        <s v="15"/>
        <s v="20_x000a_20"/>
        <s v="1_x000a_19"/>
        <s v="22"/>
        <s v="23"/>
        <s v="25"/>
        <s v="24"/>
        <s v="27"/>
        <s v="32"/>
        <s v="29"/>
        <s v="26"/>
        <s v="33"/>
        <s v="39"/>
        <s v="43"/>
        <s v="36"/>
        <s v="44"/>
        <s v="38"/>
        <s v="56"/>
        <s v="40"/>
        <s v="41"/>
        <s v="17_x000a_50"/>
        <s v="47_x000a_70"/>
        <s v="51"/>
        <s v="58"/>
        <s v="50"/>
        <s v="55"/>
        <s v="59"/>
        <s v="57"/>
        <s v="61"/>
        <s v="68"/>
        <s v="80"/>
        <s v="77"/>
        <s v="55_x000a_56"/>
        <s v="23_x000a_62"/>
        <s v="76"/>
        <s v="63"/>
        <s v="70"/>
        <s v="88"/>
        <s v="73"/>
        <s v="82"/>
        <s v="105"/>
        <s v="161"/>
        <s v="108_x000a_113"/>
        <s v="124"/>
        <s v="67"/>
        <s v="78"/>
        <s v="89"/>
        <s v="132"/>
        <s v="96_x000a_112"/>
        <s v="81"/>
        <s v="93"/>
        <s v="83"/>
        <s v="87_x000a_98"/>
        <s v="108_x000a_117"/>
        <s v="116"/>
        <s v="1_x000a_152"/>
        <s v="66"/>
        <s v="23_x000a_35_x000a_102"/>
        <s v="101"/>
        <s v="100"/>
        <s v="107"/>
        <s v="135"/>
        <s v="130"/>
        <s v="79"/>
        <s v="176"/>
        <s v="140"/>
        <s v="142"/>
      </sharedItems>
    </cacheField>
    <cacheField name="产品颜色" numFmtId="0">
      <sharedItems count="9">
        <s v="黑色"/>
        <s v="灰色"/>
        <s v="银配黑"/>
        <s v="银色"/>
        <s v="绿色"/>
        <s v="蓝色"/>
        <s v="红色"/>
        <s v="白色"/>
        <s v="粉色"/>
      </sharedItems>
    </cacheField>
    <cacheField name="容量大小（夸脱）" numFmtId="0">
      <sharedItems containsSemiMixedTypes="0" containsString="0" containsNumber="1" minValue="0" maxValue="32" count="44">
        <n v="4"/>
        <n v="5.8"/>
        <n v="10"/>
        <n v="6"/>
        <n v="2.6"/>
        <n v="8"/>
        <n v="7.25"/>
        <n v="17"/>
        <n v="5.5"/>
        <n v="26"/>
        <n v="26.4"/>
        <n v="2.1"/>
        <n v="2"/>
        <n v="4.31578947368421"/>
        <n v="4.2"/>
        <n v="3.7"/>
        <n v="16"/>
        <n v="7"/>
        <n v="6.5"/>
        <n v="30"/>
        <n v="6.8"/>
        <n v="3.8"/>
        <n v="4.5"/>
        <n v="20"/>
        <n v="1.1"/>
        <n v="6.2"/>
        <n v="12"/>
        <n v="19"/>
        <n v="12.7"/>
        <n v="15.5"/>
        <n v="9"/>
        <n v="5"/>
        <n v="13"/>
        <n v="24"/>
        <n v="12.5"/>
        <n v="31.4"/>
        <n v="5.3"/>
        <n v="4.7"/>
        <n v="4.4"/>
        <n v="10.6"/>
        <n v="2.9"/>
        <n v="21"/>
        <n v="3.4"/>
        <n v="32"/>
      </sharedItems>
    </cacheField>
    <cacheField name="容量大小（Quarts）" numFmtId="0">
      <sharedItems count="44">
        <s v="4.0QT"/>
        <s v="5.8QT"/>
        <s v="10.0QT"/>
        <s v="6.0QT"/>
        <s v="2.6QT"/>
        <s v="8.0QT"/>
        <s v="7.25QT"/>
        <s v="17.0QT"/>
        <s v="5.5QT"/>
        <s v="26.0QT"/>
        <s v="26.4QT"/>
        <s v="2.1QT"/>
        <s v="2.0QT"/>
        <s v="4.3QT"/>
        <s v="4.2QT"/>
        <s v="3.7QT"/>
        <s v="16.0QT"/>
        <s v="7.0QT"/>
        <s v="6.5QT"/>
        <s v="30.0QT"/>
        <s v="6.8QT"/>
        <s v="3.8QT"/>
        <s v="4.5QT"/>
        <s v="20.0QT"/>
        <s v="1.1QT"/>
        <s v="6.2QT"/>
        <s v="12.0QT"/>
        <s v="19.0QT"/>
        <s v="12.7QT"/>
        <s v="15.5QT"/>
        <s v="9.0QT"/>
        <s v="5.0QT"/>
        <s v="13.0QT"/>
        <s v="24.0QT"/>
        <s v="12.5QT"/>
        <s v="31.4QT"/>
        <s v="5.3QT"/>
        <s v="4.7QT"/>
        <s v="4.4QT"/>
        <s v="10.6QT"/>
        <s v="2.9QT"/>
        <s v="21.0QT"/>
        <s v="3.4QT"/>
        <s v="32.0QT"/>
      </sharedItems>
    </cacheField>
    <cacheField name="容量大小（升）" numFmtId="0">
      <sharedItems containsSemiMixedTypes="0" containsString="0" containsNumber="1" minValue="0" maxValue="30.272" count="44">
        <n v="3.784"/>
        <n v="5.4868"/>
        <n v="9.46"/>
        <n v="5.676"/>
        <n v="2.4596"/>
        <n v="7.568"/>
        <n v="6.8585"/>
        <n v="16.082"/>
        <n v="5.203"/>
        <n v="24.596"/>
        <n v="24.9744"/>
        <n v="1.9866"/>
        <n v="1.892"/>
        <n v="4.08273684210526"/>
        <n v="3.9732"/>
        <n v="3.5002"/>
        <n v="15.136"/>
        <n v="6.622"/>
        <n v="6.149"/>
        <n v="28.38"/>
        <n v="6.4328"/>
        <n v="3.5948"/>
        <n v="4.257"/>
        <n v="18.92"/>
        <n v="1.0406"/>
        <n v="5.8652"/>
        <n v="11.352"/>
        <n v="17.974"/>
        <n v="12.0142"/>
        <n v="14.663"/>
        <n v="8.514"/>
        <n v="4.73"/>
        <n v="12.298"/>
        <n v="22.704"/>
        <n v="11.825"/>
        <n v="29.7044"/>
        <n v="5.0138"/>
        <n v="4.4462"/>
        <n v="4.1624"/>
        <n v="10.0276"/>
        <n v="2.7434"/>
        <n v="19.866"/>
        <n v="3.2164"/>
        <n v="30.272"/>
      </sharedItems>
    </cacheField>
    <cacheField name="容量大小（L）" numFmtId="0">
      <sharedItems count="44">
        <s v="3.8L"/>
        <s v="5.5L"/>
        <s v="9.5L"/>
        <s v="5.7L"/>
        <s v="2.5L"/>
        <s v="7.6L"/>
        <s v="6.9L"/>
        <s v="16.1L"/>
        <s v="5.2L"/>
        <s v="24.6L"/>
        <s v="25.0L"/>
        <s v="2.0L"/>
        <s v="1.9L"/>
        <s v="4.1L"/>
        <s v="4.0L"/>
        <s v="3.5L"/>
        <s v="15.1L"/>
        <s v="6.6L"/>
        <s v="6.1L"/>
        <s v="28.4L"/>
        <s v="6.4L"/>
        <s v="3.6L"/>
        <s v="4.3L"/>
        <s v="18.9L"/>
        <s v="1.0L"/>
        <s v="5.9L"/>
        <s v="11.4L"/>
        <s v="18.0L"/>
        <s v="12.0L"/>
        <s v="14.7L"/>
        <s v="8.5L"/>
        <s v="4.7L"/>
        <s v="12.3L"/>
        <s v="22.7L"/>
        <s v="11.8L"/>
        <s v="29.7L"/>
        <s v="5.0L"/>
        <s v="4.4L"/>
        <s v="4.2L"/>
        <s v="10.0L"/>
        <s v="2.7L"/>
        <s v="19.9L"/>
        <s v="3.2L"/>
        <s v="30.3L"/>
      </sharedItems>
    </cacheField>
    <cacheField name="产品类型" numFmtId="0">
      <sharedItems count="5">
        <s v="空气炸锅"/>
        <s v="空气炸锅+烤箱"/>
        <s v="空气炸锅+烤箱+烤面包机+脱水机"/>
        <s v="空气炸锅+压力锅"/>
        <s v="空气炸锅+蒸锅"/>
      </sharedItems>
    </cacheField>
    <cacheField name="结构类型" numFmtId="0">
      <sharedItems count="6">
        <s v="单腔"/>
        <s v="单腔双层"/>
        <s v="双腔"/>
        <s v="双腔双层"/>
        <s v="单腔三层"/>
        <s v="双腔三层"/>
      </sharedItems>
    </cacheField>
    <cacheField name="产品功能" numFmtId="0">
      <sharedItems count="15">
        <s v="4合一"/>
        <s v="9合一"/>
        <s v="7合一"/>
        <s v="6合一"/>
        <s v="12合一"/>
        <s v="单一"/>
        <s v="8合一"/>
        <s v="14合一"/>
        <s v="10合一"/>
        <s v="17合一"/>
        <s v="13合一"/>
        <s v="5合一"/>
        <s v="11合一"/>
        <s v="15合一"/>
        <s v="19合一"/>
      </sharedItems>
    </cacheField>
    <cacheField name="功率" numFmtId="0">
      <sharedItems count="17">
        <s v="1550W"/>
        <s v="1500W"/>
        <s v="850W"/>
        <s v="1700W"/>
        <s v="1600W"/>
        <s v="1690W"/>
        <s v="1000W"/>
        <s v="1800W"/>
        <s v="1750W"/>
        <s v="1760W"/>
        <s v="900W"/>
        <s v="1400W"/>
        <s v="1725W"/>
        <s v="1460W"/>
        <s v="1300W"/>
        <s v="700W"/>
        <s v="1200W"/>
      </sharedItems>
    </cacheField>
    <cacheField name="MAX温升" numFmtId="0">
      <sharedItems count="7">
        <s v="205℃"/>
        <s v="230℃"/>
        <s v="260℃"/>
        <s v="200℃"/>
        <s v="215℃"/>
        <s v="316℃"/>
        <s v="250℃"/>
      </sharedItems>
    </cacheField>
    <cacheField name="是否可视化" numFmtId="0">
      <sharedItems count="2">
        <s v="否"/>
        <s v="是"/>
      </sharedItems>
    </cacheField>
    <cacheField name="是否带显示屏" numFmtId="0">
      <sharedItems count="2">
        <s v="是"/>
        <s v="否"/>
      </sharedItems>
    </cacheField>
    <cacheField name="是否带app" numFmtId="0">
      <sharedItems count="2">
        <s v="否"/>
        <s v="是"/>
      </sharedItems>
    </cacheField>
    <cacheField name="控制方式" numFmtId="0">
      <sharedItems count="10">
        <s v="触控控制"/>
        <s v="触控+旋钮控制"/>
        <s v="触控按键+APP控制"/>
        <s v="旋钮控制"/>
        <s v="按键控制+app控制"/>
        <s v="按键+旋钮控制"/>
        <s v="触控+app控制"/>
        <s v="按键控制"/>
        <s v="触控+旋钮+app控制"/>
        <s v="按键+旋钮+app控制"/>
      </sharedItems>
    </cacheField>
    <cacheField name="主要材质" numFmtId="0">
      <sharedItems count="9">
        <s v="不沾陶瓷+塑料"/>
        <s v="不锈钢+钢化玻璃+塑料"/>
        <s v="不沾陶瓷+钢化玻璃+塑料"/>
        <s v="不锈钢+不沾陶瓷+塑料"/>
        <s v="不锈钢+塑料"/>
        <s v="不锈钢"/>
        <s v="铬+塑料"/>
        <s v="钢化玻璃+塑料"/>
        <s v="铬+钢化玻璃+塑料"/>
      </sharedItems>
    </cacheField>
    <cacheField name="价格区间" numFmtId="0">
      <sharedItems count="19">
        <s v="80~90usd"/>
        <s v="90~100usd"/>
        <s v="100~110usd"/>
        <s v="≥200usd以上"/>
        <s v="30~40usd"/>
        <s v="50~60usd"/>
        <s v="190~200usd"/>
        <s v="180~190usd"/>
        <s v="60~70usd"/>
        <s v="140~150usd"/>
        <s v="150~160usd"/>
        <s v="110~120usd"/>
        <s v="160~170usd"/>
        <s v="40~50usd"/>
        <s v="170~180usd"/>
        <s v="120~130usd"/>
        <s v="70~80usd"/>
        <s v="130~140usd"/>
        <s v="0~10usd"/>
      </sharedItems>
    </cacheField>
    <cacheField name="上架时间" numFmtId="0">
      <sharedItems count="7">
        <s v="≥3年以上"/>
        <s v="1年半~2年"/>
        <s v="2年半~3年"/>
        <s v="1年~1年半"/>
        <s v="半年-1年"/>
        <s v="2年~2年半"/>
        <s v="半年"/>
      </sharedItems>
    </cacheField>
    <cacheField name="评分区间" numFmtId="0">
      <sharedItems count="6">
        <s v="4.5~4.8"/>
        <s v="4.2~4.5"/>
        <s v="4~4.2"/>
        <s v="4.8~5"/>
        <s v="3~4"/>
        <s v="1~2"/>
      </sharedItems>
    </cacheField>
    <cacheField name="评论数区间" numFmtId="0">
      <sharedItems count="7">
        <s v="≥1000"/>
        <s v="800-1000"/>
        <s v="300-500"/>
        <s v="500-800"/>
        <s v="0-50"/>
        <s v="100-300"/>
        <s v="50-100"/>
      </sharedItems>
    </cacheField>
    <cacheField name="计数" numFmtId="0">
      <sharedItems containsSemiMixedTypes="0" containsString="0" containsNumber="1" containsInteger="1" minValue="0" maxValue="1" count="1">
        <n v="1"/>
      </sharedItems>
    </cacheField>
    <cacheField name="近30天销量" numFmtId="0">
      <sharedItems containsSemiMixedTypes="0" containsString="0" containsNumber="1" containsInteger="1" minValue="0" maxValue="32023" count="100">
        <n v="32023"/>
        <n v="23043"/>
        <n v="11952"/>
        <n v="9323"/>
        <n v="20869"/>
        <n v="21741"/>
        <n v="11474"/>
        <n v="5301"/>
        <n v="8734"/>
        <n v="6319"/>
        <n v="5498"/>
        <n v="9972"/>
        <n v="4279"/>
        <n v="7579"/>
        <n v="1372"/>
        <n v="5320"/>
        <n v="2970"/>
        <n v="4224"/>
        <n v="2980"/>
        <n v="1574"/>
        <n v="3245"/>
        <n v="3280"/>
        <n v="2153"/>
        <n v="2205"/>
        <n v="2946"/>
        <n v="17432"/>
        <n v="1488"/>
        <n v="1034"/>
        <n v="3991"/>
        <n v="2695"/>
        <n v="2032"/>
        <n v="2305"/>
        <n v="622"/>
        <n v="1381"/>
        <n v="1341"/>
        <n v="985"/>
        <n v="922"/>
        <n v="1815"/>
        <n v="837"/>
        <n v="1962"/>
        <n v="1850"/>
        <n v="1583"/>
        <n v="936"/>
        <n v="1895"/>
        <n v="1535"/>
        <n v="1712"/>
        <n v="1757"/>
        <n v="702"/>
        <n v="1109"/>
        <n v="1487"/>
        <n v="452"/>
        <n v="872"/>
        <n v="1006"/>
        <n v="1104"/>
        <n v="1121"/>
        <n v="667"/>
        <n v="882"/>
        <n v="398"/>
        <n v="817"/>
        <n v="869"/>
        <n v="949"/>
        <n v="891"/>
        <n v="531"/>
        <n v="814"/>
        <n v="768"/>
        <n v="1180"/>
        <n v="704"/>
        <n v="532"/>
        <n v="492"/>
        <n v="1235"/>
        <n v="666"/>
        <n v="418"/>
        <n v="600"/>
        <n v="500"/>
        <n v="981"/>
        <n v="1010"/>
        <n v="231"/>
        <n v="540"/>
        <n v="585"/>
        <n v="372"/>
        <n v="815"/>
        <n v="3104"/>
        <n v="234"/>
        <n v="577"/>
        <n v="561"/>
        <n v="241"/>
        <n v="956"/>
        <n v="406"/>
        <n v="3836"/>
        <n v="510"/>
        <n v="589"/>
        <n v="555"/>
        <n v="851"/>
        <n v="309"/>
        <n v="578"/>
        <n v="365"/>
        <n v="610"/>
        <n v="216"/>
        <n v="490"/>
        <n v="363"/>
      </sharedItems>
    </cacheField>
    <cacheField name="近30天销售额($)" numFmtId="0">
      <sharedItems containsSemiMixedTypes="0" containsString="0" containsNumber="1" minValue="0" maxValue="2880468.8" count="100">
        <n v="2880468.8"/>
        <n v="1842979.2"/>
        <n v="1314122.4"/>
        <n v="1025063.8"/>
        <n v="2294964"/>
        <n v="1956472.5"/>
        <n v="2294685.2"/>
        <n v="211987"/>
        <n v="521681.8"/>
        <n v="1263484"/>
        <n v="489816.8"/>
        <n v="1994300.4"/>
        <n v="342277.2"/>
        <n v="1136774.2"/>
        <n v="150892.56"/>
        <n v="850934"/>
        <n v="858330"/>
        <n v="675797.8"/>
        <n v="297970.2"/>
        <n v="62409.1"/>
        <n v="389367.53"/>
        <n v="721436"/>
        <n v="516698.47"/>
        <n v="352777.97"/>
        <n v="117810.55"/>
        <n v="871425.7"/>
        <n v="133905.11"/>
        <n v="185086"/>
        <n v="279330.1"/>
        <n v="170485.7"/>
        <n v="132059.67"/>
        <n v="161326.94"/>
        <n v="33469.82"/>
        <n v="170097.77"/>
        <n v="107266.586"/>
        <n v="196990.16"/>
        <n v="166697.61"/>
        <n v="326681.88"/>
        <n v="40644.723"/>
        <n v="88074.18"/>
        <n v="277481.5"/>
        <n v="126624.164"/>
        <n v="93590.64"/>
        <n v="360031.06"/>
        <n v="184184.64"/>
        <n v="178048"/>
        <n v="208081.52"/>
        <n v="161452.98"/>
        <n v="70920.555"/>
        <n v="178425.12"/>
        <n v="24335.68"/>
        <n v="113351.28"/>
        <n v="48257.82"/>
        <n v="88308.96"/>
        <n v="40221.48"/>
        <n v="53353.33"/>
        <n v="88191.18"/>
        <n v="33833.98"/>
        <n v="81691.83"/>
        <n v="90376"/>
        <n v="81272.36"/>
        <n v="80635.5"/>
        <n v="43127.82"/>
        <n v="131452.86"/>
        <n v="107512.33"/>
        <n v="117988.195"/>
        <n v="111900.8"/>
        <n v="34968.363"/>
        <n v="18691.08"/>
        <n v="185237.66"/>
        <n v="126533.34"/>
        <n v="41540.84"/>
        <n v="71994"/>
        <n v="28425"/>
        <n v="117710.19"/>
        <n v="85829.805"/>
        <n v="43887.69"/>
        <n v="55614.598"/>
        <n v="76044.16"/>
        <n v="27505.682"/>
        <n v="122241.85"/>
        <n v="207129.94"/>
        <n v="21993.66"/>
        <n v="35623.98"/>
        <n v="72369"/>
        <n v="16867.59"/>
        <n v="334552.22"/>
        <n v="54805.94"/>
        <n v="22478.96"/>
        <n v="60894"/>
        <n v="53004.11"/>
        <n v="49944.45"/>
        <n v="93601.484"/>
        <n v="15357.3"/>
        <n v="35830.223"/>
        <n v="54746.35"/>
        <n v="30493.9"/>
        <n v="12627.359"/>
        <n v="112695.1"/>
        <n v="65321.848"/>
      </sharedItems>
    </cacheField>
    <cacheField name="价格($)" numFmtId="0">
      <sharedItems containsSemiMixedTypes="0" containsString="0" containsNumber="1" minValue="0" maxValue="329.99" count="72">
        <n v="89.95"/>
        <n v="99.99"/>
        <n v="109.95"/>
        <n v="109.97"/>
        <n v="89.99"/>
        <n v="225"/>
        <n v="39.99"/>
        <n v="59.77"/>
        <n v="199.95"/>
        <n v="89.09"/>
        <n v="187"/>
        <n v="67.99"/>
        <n v="149.99"/>
        <n v="109.98"/>
        <n v="159.95"/>
        <n v="289"/>
        <n v="159.99"/>
        <n v="39.65"/>
        <n v="119.99"/>
        <n v="219.95"/>
        <n v="329.99"/>
        <n v="163"/>
        <n v="49.99"/>
        <n v="149.95"/>
        <n v="179"/>
        <n v="69.99"/>
        <n v="63.26"/>
        <n v="64.99"/>
        <n v="53.81"/>
        <n v="123.17"/>
        <n v="79.99"/>
        <n v="199.99"/>
        <n v="180.8"/>
        <n v="179.99"/>
        <n v="48.56"/>
        <n v="44.89"/>
        <n v="189.99"/>
        <n v="104"/>
        <n v="118.43"/>
        <n v="229.99"/>
        <n v="79.95"/>
        <n v="73.72"/>
        <n v="169.99"/>
        <n v="47.97"/>
        <n v="35.88"/>
        <n v="84.99"/>
        <n v="85.01"/>
        <n v="85.66"/>
        <n v="90.5"/>
        <n v="81.22"/>
        <n v="161.49"/>
        <n v="139.99"/>
        <n v="158.95"/>
        <n v="65.73"/>
        <n v="37.99"/>
        <n v="56.85"/>
        <n v="239.99"/>
        <n v="102.99"/>
        <n v="129.99"/>
        <n v="66.73"/>
        <n v="93.99"/>
        <n v="61.74"/>
        <n v="129"/>
        <n v="279.95"/>
        <n v="134.99"/>
        <n v="5.86"/>
        <n v="119.4"/>
        <n v="109.99"/>
        <n v="49.7"/>
        <n v="61.99"/>
        <n v="58.46"/>
        <n v="179.95"/>
      </sharedItems>
    </cacheField>
    <cacheField name="毛利率" numFmtId="0">
      <sharedItems containsSemiMixedTypes="0" containsString="0" containsNumber="1" minValue="0" maxValue="0.85" count="97">
        <n v="0.6578"/>
        <n v="0.6128"/>
        <n v="0.6431"/>
        <n v="0.6698"/>
        <n v="0.666"/>
        <n v="0.6672"/>
        <n v="0.7194"/>
        <n v="0.5017"/>
        <n v="0.5535"/>
        <n v="0.7341"/>
        <n v="0.6229"/>
        <n v="0.7362"/>
        <n v="0.6391"/>
        <n v="0.7179"/>
        <n v="0.7262"/>
        <n v="0.7451"/>
        <n v="0.6684"/>
        <n v="0.6435"/>
        <n v="0.5093"/>
        <n v="0.6744"/>
        <n v="0.716"/>
        <n v="0.7342"/>
        <n v="0.6973"/>
        <n v="0.4807"/>
        <n v="0.5881"/>
        <n v="0.7018"/>
        <n v="0.615"/>
        <n v="0.5302"/>
        <n v="0.6357"/>
        <n v="0.5443"/>
        <n v="0.6789"/>
        <n v="0.5761"/>
        <n v="0.7677"/>
        <n v="0.7242"/>
        <n v="0.7096"/>
        <n v="0.5545"/>
        <n v="0.5023"/>
        <n v="0.6283"/>
        <n v="0.5919"/>
        <n v="0.5259"/>
        <n v="0.6772"/>
        <n v="0.6814"/>
        <n v="0.6555"/>
        <n v="0.665"/>
        <n v="0.7529"/>
        <n v="0.5928"/>
        <n v="0.6919"/>
        <n v="0.4977"/>
        <n v="0.6621"/>
        <n v="0.5711"/>
        <n v="0.6129"/>
        <n v="0.5086"/>
        <n v="0.6181"/>
        <n v="0.6351"/>
        <n v="0.5478"/>
        <n v="0.6358"/>
        <n v="0.5909"/>
        <n v="0.5844"/>
        <n v="0.6543"/>
        <n v="0.5958"/>
        <n v="0.7065"/>
        <n v="0.6875"/>
        <n v="0.6603"/>
        <n v="0.7122"/>
        <n v="0.6061"/>
        <n v="0.6444"/>
        <n v="0.7235"/>
        <n v="0.728"/>
        <n v="0.6591"/>
        <n v="0.6149"/>
        <n v="0.5163"/>
        <n v="0.6884"/>
        <n v="0.5922"/>
        <n v="0.6949"/>
        <n v="0.6332"/>
        <n v="0.6491"/>
        <n v="0.5821"/>
        <n v="0.7291"/>
        <n v="0.5405"/>
        <n v="0.599"/>
        <n v="0.5496"/>
        <n v="0.6509"/>
        <n v="0.537"/>
        <n v="0.7634"/>
        <n v="0.6752"/>
        <n v="0.85"/>
        <n v="0.6288"/>
        <n v="0.5972"/>
        <n v="0.5599"/>
        <n v="0.689"/>
        <n v="0.5444"/>
        <n v="0.4898"/>
        <n v="0.6479"/>
        <n v="0.5629"/>
        <n v="0.5542"/>
        <n v="0.7219"/>
        <n v="0.7212"/>
      </sharedItems>
    </cacheField>
    <cacheField name="FBA($)" numFmtId="0">
      <sharedItems containsString="0" containsBlank="1" containsNumber="1" minValue="0" maxValue="33.25" count="44">
        <n v="17.29"/>
        <n v="18.97"/>
        <n v="22.75"/>
        <n v="19.81"/>
        <n v="20.23"/>
        <n v="16.45"/>
        <n v="26.11"/>
        <n v="13.93"/>
        <n v="17.71"/>
        <n v="23.17"/>
        <n v="16.87"/>
        <n v="30.31"/>
        <n v="29.05"/>
        <n v="20.65"/>
        <n v="13.51"/>
        <n v="21.07"/>
        <n v="29.47"/>
        <n v="27.79"/>
        <n v="24.43"/>
        <n v="14.77"/>
        <n v="13.09"/>
        <n v="26.53"/>
        <n v="21.91"/>
        <n v="25.27"/>
        <n v="14.35"/>
        <n v="15.61"/>
        <n v="33.25"/>
        <n v="32.41"/>
        <n v="32.83"/>
        <n v="22.33"/>
        <n v="12.25"/>
        <n v="18.55"/>
        <n v="21.49"/>
        <n v="25.69"/>
        <n v="24.85"/>
        <n v="26.95"/>
        <n v="16.03"/>
        <n v="7.81"/>
        <n v="28.21"/>
        <n v="19.39"/>
        <n v="18.13"/>
        <n v="23.59"/>
        <m/>
        <n v="15.19"/>
      </sharedItems>
    </cacheField>
    <cacheField name="评分" numFmtId="0">
      <sharedItems containsSemiMixedTypes="0" containsString="0" containsNumber="1" minValue="0" maxValue="5" count="13">
        <n v="4.8"/>
        <n v="4.7"/>
        <n v="4.6"/>
        <n v="4.5"/>
        <n v="4.4"/>
        <n v="4.3"/>
        <n v="4.1"/>
        <n v="5"/>
        <n v="4.2"/>
        <n v="4"/>
        <n v="4.9"/>
        <n v="2"/>
        <n v="3.9"/>
      </sharedItems>
    </cacheField>
    <cacheField name="评分数" numFmtId="0">
      <sharedItems containsSemiMixedTypes="0" containsString="0" containsNumber="1" containsInteger="1" minValue="0" maxValue="59811" count="99">
        <n v="48820"/>
        <n v="15150"/>
        <n v="59811"/>
        <n v="13752"/>
        <n v="12358"/>
        <n v="18755"/>
        <n v="5424"/>
        <n v="29723"/>
        <n v="875"/>
        <n v="18050"/>
        <n v="8480"/>
        <n v="24097"/>
        <n v="382"/>
        <n v="16093"/>
        <n v="4736"/>
        <n v="18506"/>
        <n v="2118"/>
        <n v="2434"/>
        <n v="7320"/>
        <n v="5147"/>
        <n v="10832"/>
        <n v="33409"/>
        <n v="764"/>
        <n v="13970"/>
        <n v="21089"/>
        <n v="2387"/>
        <n v="1069"/>
        <n v="10571"/>
        <n v="40740"/>
        <n v="33005"/>
        <n v="2910"/>
        <n v="1929"/>
        <n v="8"/>
        <n v="5601"/>
        <n v="1421"/>
        <n v="167"/>
        <n v="2574"/>
        <n v="2738"/>
        <n v="17288"/>
        <n v="274"/>
        <n v="5162"/>
        <n v="2411"/>
        <n v="1109"/>
        <n v="10554"/>
        <n v="15447"/>
        <n v="7450"/>
        <n v="3064"/>
        <n v="469"/>
        <n v="1535"/>
        <n v="5423"/>
        <n v="3489"/>
        <n v="203"/>
        <n v="16382"/>
        <n v="12125"/>
        <n v="6569"/>
        <n v="268"/>
        <n v="289"/>
        <n v="627"/>
        <n v="7786"/>
        <n v="3107"/>
        <n v="10891"/>
        <n v="807"/>
        <n v="55"/>
        <n v="15778"/>
        <n v="3116"/>
        <n v="914"/>
        <n v="1887"/>
        <n v="1245"/>
        <n v="1289"/>
        <n v="2734"/>
        <n v="2334"/>
        <n v="2141"/>
        <n v="121"/>
        <n v="11972"/>
        <n v="13845"/>
        <n v="11"/>
        <n v="2593"/>
        <n v="1422"/>
        <n v="806"/>
        <n v="66"/>
        <n v="6211"/>
        <n v="1506"/>
        <n v="15252"/>
        <n v="7603"/>
        <n v="547"/>
        <n v="1271"/>
        <n v="1772"/>
        <n v="64"/>
        <n v="199"/>
        <n v="7326"/>
        <n v="5402"/>
        <n v="848"/>
        <n v="1625"/>
        <n v="239"/>
        <n v="2652"/>
        <n v="357"/>
        <n v="4355"/>
        <n v="731"/>
        <n v="1122"/>
      </sharedItems>
    </cacheField>
    <cacheField name="留评率" numFmtId="0">
      <sharedItems containsSemiMixedTypes="0" containsString="0" containsNumber="1" minValue="0" maxValue="1" count="87">
        <n v="0.1977"/>
        <n v="0"/>
        <n v="0.0664"/>
        <n v="0.0452"/>
        <n v="0.0319"/>
        <n v="0.0295"/>
        <n v="0.0681"/>
        <n v="0.0071"/>
        <n v="0.0745"/>
        <n v="0.0349"/>
        <n v="0.0355"/>
        <n v="0.0327"/>
        <n v="0.0289"/>
        <n v="0.0596"/>
        <n v="0.0572"/>
        <n v="0.0725"/>
        <n v="0.2255"/>
        <n v="0.0961"/>
        <n v="0.0518"/>
        <n v="0.0446"/>
        <n v="0.0807"/>
        <n v="0.1198"/>
        <n v="0.0296"/>
        <n v="0.1644"/>
        <n v="0.0661"/>
        <n v="0.082"/>
        <n v="0.0679"/>
        <n v="0.0364"/>
        <n v="0.0113"/>
        <n v="0.0311"/>
        <n v="0.0388"/>
        <n v="0.0488"/>
        <n v="0.0512"/>
        <n v="0.1649"/>
        <n v="0.2941"/>
        <n v="0.0537"/>
        <n v="0.0342"/>
        <n v="0.0686"/>
        <n v="0.058"/>
        <n v="0.0567"/>
        <n v="0.0711"/>
        <n v="0.0969"/>
        <n v="0.0541"/>
        <n v="0.0585"/>
        <n v="0.0796"/>
        <n v="0.1399"/>
        <n v="0.0736"/>
        <n v="0.173"/>
        <n v="0.6191"/>
        <n v="0.1139"/>
        <n v="0.0658"/>
        <n v="0.0528"/>
        <n v="0.0771"/>
        <n v="0.0357"/>
        <n v="0.1201"/>
        <n v="0.0864"/>
        <n v="0.0075"/>
        <n v="0.0676"/>
        <n v="0.1237"/>
        <n v="0.0534"/>
        <n v="0.0483"/>
        <n v="0.0639"/>
        <n v="1"/>
        <n v="0.0672"/>
        <n v="0.0766"/>
        <n v="0.0617"/>
        <n v="0.038"/>
        <n v="0.0306"/>
        <n v="0.095"/>
        <n v="0.0433"/>
        <n v="0.0963"/>
        <n v="0.1111"/>
        <n v="0.1075"/>
        <n v="0.0282"/>
        <n v="0.0409"/>
        <n v="0.1265"/>
        <n v="0.1123"/>
        <n v="0.0102"/>
        <n v="0.0471"/>
        <n v="0.1511"/>
        <n v="0.1207"/>
        <n v="0.027"/>
        <n v="0.1553"/>
        <n v="0.0848"/>
        <n v="0.1288"/>
        <n v="0.0741"/>
        <n v="0.1061"/>
      </sharedItems>
    </cacheField>
    <cacheField name="月新增_x000a_评分数" numFmtId="0">
      <sharedItems containsSemiMixedTypes="0" containsString="0" containsNumber="1" containsInteger="1" minValue="0" maxValue="6330" count="81">
        <n v="6330"/>
        <n v="0"/>
        <n v="794"/>
        <n v="421"/>
        <n v="693"/>
        <n v="338"/>
        <n v="361"/>
        <n v="62"/>
        <n v="471"/>
        <n v="192"/>
        <n v="354"/>
        <n v="140"/>
        <n v="219"/>
        <n v="3055"/>
        <n v="317"/>
        <n v="170"/>
        <n v="216"/>
        <n v="355"/>
        <n v="312"/>
        <n v="96"/>
        <n v="178"/>
        <n v="353"/>
        <n v="44"/>
        <n v="264"/>
        <n v="221"/>
        <n v="138"/>
        <n v="84"/>
        <n v="7"/>
        <n v="43"/>
        <n v="52"/>
        <n v="45"/>
        <n v="93"/>
        <n v="61"/>
        <n v="544"/>
        <n v="85"/>
        <n v="32"/>
        <n v="130"/>
        <n v="89"/>
        <n v="97"/>
        <n v="125"/>
        <n v="68"/>
        <n v="60"/>
        <n v="87"/>
        <n v="36"/>
        <n v="122"/>
        <n v="74"/>
        <n v="191"/>
        <n v="694"/>
        <n v="76"/>
        <n v="58"/>
        <n v="21"/>
        <n v="63"/>
        <n v="31"/>
        <n v="114"/>
        <n v="77"/>
        <n v="4"/>
        <n v="55"/>
        <n v="95"/>
        <n v="34"/>
        <n v="492"/>
        <n v="83"/>
        <n v="997"/>
        <n v="37"/>
        <n v="19"/>
        <n v="30"/>
        <n v="10"/>
        <n v="65"/>
        <n v="40"/>
        <n v="23"/>
        <n v="127"/>
        <n v="358"/>
        <n v="73"/>
        <n v="16"/>
        <n v="59"/>
        <n v="39"/>
        <n v="24"/>
        <n v="67"/>
        <n v="48"/>
        <n v="49"/>
        <n v="47"/>
        <n v="28"/>
      </sharedItems>
    </cacheField>
    <cacheField name="Q&amp;A数" numFmtId="0">
      <sharedItems containsString="0" containsBlank="1" containsNumber="1" containsInteger="1" minValue="0" maxValue="965" count="9">
        <m/>
        <n v="427"/>
        <n v="26"/>
        <n v="163"/>
        <n v="965"/>
        <n v="680"/>
        <n v="73"/>
        <n v="130"/>
        <n v="3"/>
      </sharedItems>
    </cacheField>
    <cacheField name="评级" numFmtId="0">
      <sharedItems count="6">
        <s v="C"/>
        <s v="D"/>
        <s v="B"/>
        <s v="A"/>
        <s v=""/>
        <s v="F"/>
      </sharedItems>
    </cacheField>
    <cacheField name="上架时间2" numFmtId="0">
      <sharedItems count="93">
        <s v="2018-08-13"/>
        <s v="2021-08-22"/>
        <s v="2019-08-20"/>
        <s v="2021-06-04"/>
        <s v="2020-05-26"/>
        <s v="2020-07-12"/>
        <s v="2021-07-30"/>
        <s v="2019-11-07"/>
        <s v="2021-11-29"/>
        <s v="2020-09-01"/>
        <s v="2017-09-25"/>
        <s v="2019-07-25"/>
        <s v="2022-06-09"/>
        <s v="2019-07-05"/>
        <s v="2022-07-19"/>
        <s v="2021-07-26"/>
        <s v="2021-03-02"/>
        <s v="2020-08-20"/>
        <s v="2019-12-09"/>
        <s v="2019-07-26"/>
        <s v="2021-10-08"/>
        <s v="2019-02-11"/>
        <s v="2019-02-01"/>
        <s v="2023-03-17"/>
        <s v="2021-04-01"/>
        <s v="2020-04-07"/>
        <s v="2018-01-29"/>
        <s v="2017-11-07"/>
        <s v="2020-12-15"/>
        <s v="2020-07-13"/>
        <s v="2023-03-01"/>
        <s v="2018-12-11"/>
        <s v="2020-11-30"/>
        <s v="2022-09-22"/>
        <s v="2018-07-30"/>
        <s v="2020-10-12"/>
        <s v="2019-03-29"/>
        <s v="2022-03-07"/>
        <s v="2020-11-21"/>
        <s v="2021-04-16"/>
        <s v="2022-04-13"/>
        <s v="2019-09-01"/>
        <s v="2019-11-01"/>
        <s v="2020-06-03"/>
        <s v="2021-09-28"/>
        <s v="2021-08-06"/>
        <s v="2021-07-05"/>
        <s v="2020-08-11"/>
        <s v="2019-07-22"/>
        <s v="2022-09-24"/>
        <s v="2017-09-02"/>
        <s v="2019-08-27"/>
        <s v="2020-04-28"/>
        <s v="2022-08-22"/>
        <s v="2022-04-25"/>
        <s v="2021-02-19"/>
        <s v="2019-09-19"/>
        <s v="2018-10-10"/>
        <s v="2020-12-22"/>
        <s v="2020-11-09"/>
        <s v="2020-05-15"/>
        <s v="2021-08-05"/>
        <s v="2022-07-22"/>
        <s v="2019-09-04"/>
        <s v="2016-08-29"/>
        <s v="2020-11-12"/>
        <s v="2022-09-13"/>
        <s v="2020-12-03"/>
        <s v="2019-11-08"/>
        <s v="2022-09-21"/>
        <s v="2018-08-20"/>
        <s v="2022-09-05"/>
        <s v="2019-11-18"/>
        <s v="2023-01-01"/>
        <s v="2020-08-18"/>
        <s v="2021-08-30"/>
        <s v="2022-06-08"/>
        <s v="2017-03-31"/>
        <s v="2020-10-08"/>
        <s v="2016-08-11"/>
        <s v="2020-03-30"/>
        <s v="2020-01-29"/>
        <s v="2022-06-10"/>
        <s v="2016-03-26"/>
        <s v="2022-04-15"/>
        <s v="2020-04-14"/>
        <s v="2020-04-30"/>
        <s v="2021-06-27"/>
        <s v="2021-05-30"/>
        <s v="2022-08-09"/>
        <s v="2020-09-08"/>
        <s v="2022-06-24"/>
        <s v="2021-06-01"/>
      </sharedItems>
    </cacheField>
    <cacheField name="上架天数" numFmtId="0">
      <sharedItems containsSemiMixedTypes="0" containsString="0" containsNumber="1" containsInteger="1" minValue="0" maxValue="2557" count="93">
        <n v="1687"/>
        <n v="582"/>
        <n v="1315"/>
        <n v="661"/>
        <n v="1035"/>
        <n v="988"/>
        <n v="605"/>
        <n v="1236"/>
        <n v="483"/>
        <n v="937"/>
        <n v="2009"/>
        <n v="1341"/>
        <n v="291"/>
        <n v="1361"/>
        <n v="251"/>
        <n v="609"/>
        <n v="755"/>
        <n v="949"/>
        <n v="1204"/>
        <n v="1340"/>
        <n v="535"/>
        <n v="1505"/>
        <n v="1515"/>
        <n v="10"/>
        <n v="725"/>
        <n v="1084"/>
        <n v="1883"/>
        <n v="1966"/>
        <n v="832"/>
        <n v="987"/>
        <n v="26"/>
        <n v="1567"/>
        <n v="847"/>
        <n v="186"/>
        <n v="1701"/>
        <n v="896"/>
        <n v="1459"/>
        <n v="385"/>
        <n v="856"/>
        <n v="710"/>
        <n v="348"/>
        <n v="1303"/>
        <n v="1242"/>
        <n v="1027"/>
        <n v="545"/>
        <n v="597"/>
        <n v="630"/>
        <n v="958"/>
        <n v="1344"/>
        <n v="184"/>
        <n v="2032"/>
        <n v="1308"/>
        <n v="1063"/>
        <n v="217"/>
        <n v="336"/>
        <n v="766"/>
        <n v="1285"/>
        <n v="1629"/>
        <n v="825"/>
        <n v="868"/>
        <n v="1046"/>
        <n v="599"/>
        <n v="248"/>
        <n v="1300"/>
        <n v="2401"/>
        <n v="865"/>
        <n v="195"/>
        <n v="844"/>
        <n v="1235"/>
        <n v="187"/>
        <n v="1680"/>
        <n v="203"/>
        <n v="1225"/>
        <n v="85"/>
        <n v="951"/>
        <n v="574"/>
        <n v="292"/>
        <n v="2187"/>
        <n v="900"/>
        <n v="2419"/>
        <n v="1092"/>
        <n v="1153"/>
        <n v="290"/>
        <n v="2557"/>
        <n v="346"/>
        <n v="1077"/>
        <n v="1061"/>
        <n v="638"/>
        <n v="666"/>
        <n v="230"/>
        <n v="930"/>
        <n v="276"/>
        <n v="664"/>
      </sharedItems>
    </cacheField>
    <cacheField name="变体数" numFmtId="0">
      <sharedItems containsSemiMixedTypes="0" containsString="0" containsNumber="1" containsInteger="1" minValue="0" maxValue="5" count="4">
        <n v="1"/>
        <n v="5"/>
        <n v="4"/>
        <n v="3"/>
      </sharedItems>
    </cacheField>
    <cacheField name="卖家数" numFmtId="0">
      <sharedItems containsSemiMixedTypes="0" containsString="0" containsNumber="1" containsInteger="1" minValue="0" maxValue="31" count="19">
        <n v="12"/>
        <n v="1"/>
        <n v="5"/>
        <n v="3"/>
        <n v="4"/>
        <n v="2"/>
        <n v="7"/>
        <n v="10"/>
        <n v="16"/>
        <n v="8"/>
        <n v="14"/>
        <n v="9"/>
        <n v="15"/>
        <n v="17"/>
        <n v="23"/>
        <n v="6"/>
        <n v="18"/>
        <n v="31"/>
        <n v="22"/>
      </sharedItems>
    </cacheField>
    <cacheField name="Buybox卖家" numFmtId="0">
      <sharedItems containsBlank="1" count="29">
        <m/>
        <s v="Amazon"/>
        <s v=""/>
        <s v="charmantroom"/>
        <s v="Innovation IQ"/>
        <s v="TienditaGarza"/>
        <s v="Kalorik LLC"/>
        <s v="Ultrean Inc"/>
        <s v="FLD-FRYER"/>
        <s v="Nekteck Direct"/>
        <s v="Woot"/>
        <s v="VILIWIN Store"/>
        <s v="RBU2017UTEN US"/>
        <s v="THE REAL DEAL"/>
        <s v="BAISELLER"/>
        <s v="DEIME Inc."/>
        <s v="Amazon.com"/>
        <s v="CYBER OUTLET"/>
        <s v="Wotoh Wholesale"/>
        <s v="Tyche-Home Kitchen Small Appliance"/>
        <s v="GOKUL ProLife Store"/>
        <s v="ICONITESUE Official"/>
        <s v="Lillomcom"/>
        <s v="Kitchen Kapers"/>
        <s v="HEROIC SUPPORT LIMITED"/>
        <s v="ZZLJSMY"/>
        <s v="KOOC Official"/>
        <s v="ningboyanxi"/>
        <s v="Easi Life Store"/>
      </sharedItems>
    </cacheField>
    <cacheField name="卖家所属地" numFmtId="0">
      <sharedItems count="4">
        <s v=""/>
        <s v="US"/>
        <s v="CN"/>
        <s v="CN(HK)"/>
      </sharedItems>
    </cacheField>
    <cacheField name="卖家信息" numFmtId="0">
      <sharedItems count="24">
        <s v=""/>
        <s v="公司名称：Spectrum Brands, Inc_x000a_办公地址：_x000a_2620 Westview Drive_x000a_"/>
        <s v="公司名称：TIENDITAGARZA_x000a_办公地址：_x000a_25 Deming Street_x000a_South Windsor_x000a_CT_x000a_06074_x000a_US_x000a_"/>
        <s v="公司名称：Kalorik LLC_x000a_办公地址：_x000a_16175 NW 49th Avenue_x000a_Miami Gardens_x000a_FL_x000a_33014_x000a_US_x000a_"/>
        <s v="公司名称：Ultrean, Inc._x000a_办公地址：_x000a_848 N RAINBOW BLVD STE 9027_x000a_"/>
        <s v="公司名称：zhejiangjinhuafulangdegongmaoyouxiangongsi_x000a_办公地址：_x000a_岭下朱工业功能区_x000a_浙江宁远工贸有限公司内3号厂房_x000a_金华_x000a_金东_x000a_浙江_x000a_321015_x000a_CN_x000a_"/>
        <s v="公司名称：Nekteck, Inc._x000a_办公地址：_x000a_556 Vanguard Way D_x000a_"/>
        <s v="公司名称：Woot Inc_x000a_办公地址：_x000a_4121 International Parkway_x000a_"/>
        <s v="公司名称：STAND LUCK CORPORATION LIMITED_x000a_办公地址：_x000a_NO.165-171 WAN CHAI ROAD_x000a_LUCKY CENTER FLAT/RM 1506 15/F_x000a_WAN CHAI_x000a_HK_x000a_999077_x000a_HK_x000a_"/>
        <s v="公司名称：RBU INTERNATIONAL LTD_x000a_办公地址：_x000a_1521 E Francis St. Unit A_x000a_"/>
        <s v="公司名称：BG GROUP LLC_x000a_电话号码：567-303-3345_x000a_办公地址：_x000a_402 N 37th Dr_x000a_Suite 101_x000a_Phoenix_x000a_AZ_x000a_85009_x000a_US_x000a_"/>
        <s v="公司名称：GUANGZHOUSHI SAIYUNYIQI YOUXIANGONGSI_x000a_办公地址：_x000a_BAIYUNQU TONGHELU NO329_x000a_ROOM217_x000a_GUANGZHOU_x000a_GUANGDONG_x000a_510000_x000a_CN_x000a_"/>
        <s v="公司名称：Ningbo Runchenningjia Dianqi Youxian Gongsi_x000a_办公地址：_x000a_庵东镇工业园区纬三路128号_x000a_宁波_x000a_杭州湾新区_x000a_浙江省_x000a_315336_x000a_CN_x000a_"/>
        <s v="公司名称：selectronics inc._x000a_办公地址：_x000a_4801 Staunton Avenue_x000a_"/>
        <s v="公司名称：Lead Emporium LLC_x000a_办公地址：_x000a_1280 Horseshoe Trl_x000a_Phoenixville_x000a_PA_x000a_19460_x000a_US_x000a_"/>
        <s v="公司名称：ZHONGSHAN TAIKEXUN ELECTRICAL APPLIANCES CO.,LTD_x000a_办公地址：_x000a_xiaolanzhenshengpingdonglu1haohaigangcheng(shangyezhulou)_x000a_"/>
        <s v="公司名称：Gokul Toyal Information Technology Company Limited_x000a_办公地址：_x000a_UNIT 1701,17/F CAROLINE CTR 28 YUN PING RD CAUSEWAY BAY_x000a_HONG KONG_x000a_HONG KONG_x000a_999077_x000a_HK_x000a_"/>
        <s v="公司名称：yunchengshiyanhuquleqiuqiudianzishangwultd_x000a_办公地址：_x000a_人民南路制版小区8号楼802_x000a_运城市_x000a_盐湖区_x000a_山西省_x000a_044000_x000a_CN_x000a_"/>
        <s v="公司名称：suzhoudaketexinxikejiyouxiangongsi_x000a_办公地址：_x000a_muduzhen mududongmenting shangyeguangchang 10zhuang 320shi_x000a_wuzhongqu_x000a_suzhoushi_x000a_jiangsusheng_x000a_215000_x000a_CN_x000a_"/>
        <s v="公司名称：Kitchen Kapers, Inc_x000a_电话号码：800-455-5567_x000a_办公地址：_x000a_1250 Marlkress Road_x000a_"/>
        <s v="公司名称：HEROIC SUPPORT LIMITED_x000a_办公地址：_x000a_RM D 10/F TOWER A BILLION CTR 1 WANG KWONG RD_x000a_KOWLOON BAY BL_x000a_HONG KONG_x000a_999077_x000a_HK_x000a_"/>
        <s v="公司名称：Suzhou Ruijin Info Technology Co., Ltd_x000a_办公地址：_x000a_Room 1007, Building 2, Runjie Plaza_x000a_"/>
        <s v="公司名称：ningboyanxiriyongpinyouxiangongsi_x000a_办公地址：_x000a_朗海村朗海南路2号_x000a_余姚市_x000a_小曹娥镇_x000a_浙江省_x000a_315400_x000a_CN_x000a_"/>
        <s v="公司名称：Yize Information Technology Company Limited_x000a_办公地址：_x000a_UNIT 2,1/F WAH HUNG CTR 41 HUNG TO RD KWUN TONG KLN_x000a_HONG KONG_x000a_HONG KONG_x000a_999077_x000a_HK_x000a_"/>
      </sharedItems>
    </cacheField>
    <cacheField name="配送方式" numFmtId="0">
      <sharedItems count="3">
        <s v="NA"/>
        <s v="FBA"/>
        <s v="AMZ"/>
      </sharedItems>
    </cacheField>
    <cacheField name="重量" numFmtId="0">
      <sharedItems count="87">
        <s v="10.58 pounds"/>
        <s v="12 pounds"/>
        <s v="19 pounds"/>
        <s v="14.63 pounds"/>
        <s v="12.3 pounds"/>
        <s v="9 pounds"/>
        <s v="19.8 pounds"/>
        <s v="1 pounds"/>
        <s v="8.81 pounds"/>
        <s v="17.86 pounds"/>
        <s v="14.6 pounds"/>
        <s v="18.56 pounds"/>
        <s v="11 pounds"/>
        <s v="21.2 pounds"/>
        <s v="16.24 pounds"/>
        <s v="29.7 pounds"/>
        <s v="21.6 pounds"/>
        <s v="12.8 pounds"/>
        <s v="6.64 pounds"/>
        <s v="14.2 pounds"/>
        <s v="26.04 pounds"/>
        <s v="28.7 pounds"/>
        <s v="15 pounds"/>
        <s v="5.69 pounds"/>
        <s v="4.87 Pounds"/>
        <s v="10 pounds"/>
        <s v="17.2 pounds"/>
        <s v="9.97 pounds"/>
        <s v="0.25 pounds"/>
        <s v="6.98 pounds"/>
        <s v="7.33 pounds"/>
        <s v="11.62 pounds"/>
        <s v="22.05 pounds"/>
        <s v="3.31 pounds"/>
        <s v="8.14 pounds"/>
        <s v="22 pounds"/>
        <s v="20.3 Pounds"/>
        <s v="19.6 pounds"/>
        <s v="17.11 pounds"/>
        <s v="16.28 pounds"/>
        <s v="21.52 pounds"/>
        <s v="8.82 pounds"/>
        <s v="3 pounds"/>
        <s v="14.92 pounds"/>
        <s v="23 pounds"/>
        <s v="5.7 Pounds"/>
        <s v="13.11 pounds"/>
        <s v="5.24 pounds"/>
        <s v="13.87 pounds"/>
        <s v="18.76 pounds"/>
        <s v="20.1 pounds"/>
        <s v="22.6 pounds"/>
        <s v="13.76 Pounds"/>
        <s v="23.4 pounds"/>
        <s v="15.72 pounds"/>
        <s v="27.9 pounds"/>
        <s v="16.31 pounds"/>
        <s v="10.2 pounds"/>
        <s v="15.7 pounds"/>
        <s v="12.5 pounds"/>
        <s v="4.44 Pounds"/>
        <s v="15.42 pounds"/>
        <s v="14 pounds"/>
        <s v="14.02 pounds"/>
        <s v="25.2 pounds"/>
        <s v="12.1 pounds"/>
        <s v="11.9 pounds"/>
        <s v="17.73 Pounds"/>
        <s v="24.2 pounds"/>
        <s v="22.5 pounds"/>
        <s v="15.2 pounds"/>
        <s v="13.45 pounds"/>
        <s v="10.7 pounds"/>
        <s v="17.43 pounds"/>
        <s v="13 pounds"/>
        <s v="25.3 pounds"/>
        <s v="25.4 pounds"/>
        <s v="28.66 Pounds"/>
        <s v="20.94 pounds"/>
        <s v="18.41 pounds"/>
        <s v="25 pounds"/>
        <s v="11.82 pounds"/>
        <s v="9.43 pounds"/>
        <s v="18.21 pounds"/>
        <s v="5 Pounds"/>
        <s v="11.58 pounds"/>
        <s v="15.65 Pounds"/>
      </sharedItems>
    </cacheField>
    <cacheField name="体积" numFmtId="0">
      <sharedItems count="99">
        <s v="8.5 x 12.1 x 11 inches"/>
        <s v="10.8 x 14.4 x 12 inches"/>
        <s v="13.2 x 13.2 x 14.4 inches"/>
        <s v="12.8 x 11.8 x 14.9 inches"/>
        <s v="11.8 x 13.9 x 12 inches"/>
        <s v="10.2 x 13 x 11 inches"/>
        <s v="17.1 x 13.9 x 12.8 inches"/>
        <s v="10.7 x 8.7 x 11.3 inches"/>
        <s v="13.6 x 11.5 x 13.2 inches"/>
        <s v="13.9 x 15.6 x 12.4 inches"/>
        <s v="9 x 9 x 12.5 inches"/>
        <s v="19.7 x 7.6 x 15 inches"/>
        <s v="12.7 x 12.7 x 13.8 inches"/>
        <s v="14 x 11 x 14.8 inches"/>
        <s v="13.5 x 12.7 x 14.9 inches"/>
        <s v="13.8 x 11.8 x 13.4 inches"/>
        <s v="15 x 20 x 20 inches"/>
        <s v="16.3 x 16.9 x 15.5 inches"/>
        <s v="12.8 x 13.5 x 10 inches"/>
        <s v="11 x 8.5 x 10.7 inches"/>
        <s v="11.8 x 12.2 x 14.6 inches"/>
        <s v="16.1 x 14.6 x 14.2 inches"/>
        <s v="19.5 x 17.6 x 11.5 inches"/>
        <s v="20 x 15 x 10 inches"/>
        <s v="9.8 x 9.8 x 12.5 inches"/>
        <s v="10.1&quot;D x 8.3&quot;W x 10.5&quot;H"/>
        <s v="13.1 x 13.1 x 13.8 inches"/>
        <s v="15.7 x 12.5 x 14 inches"/>
        <s v="14.3 x 13.3 x 13 inches"/>
        <s v="13.5 x 12.5 x 11.5 inches"/>
        <s v="8.7 x 10.7 x 11.3 inches"/>
        <s v="11 x 13 x 17 inches"/>
        <s v="14.3 x 12.8 x 12.8 inches"/>
        <s v="13 x 18 x 15 inches"/>
        <s v="9.8 x 16.7 x 9.8 inches"/>
        <s v="12&quot;D x 11.2&quot;W x 12.4&quot;H"/>
        <s v="17.1 x 12.6 x 12.4 inches"/>
        <s v="16.2 x 14 x 13.2 inches"/>
        <s v="10.2 x 10.2 x 14 inches"/>
        <s v="11.8 x 11.8 x 13.2 inches"/>
        <s v="12.99&quot;D x 14.56&quot;W x 11.02&quot;H"/>
        <s v="17&quot;D x 16&quot;W x 14&quot;H"/>
        <s v="20.1 x 16.5 x 12.5 inches"/>
        <s v="11.7 x 11.7 x 14 inches"/>
        <s v="15.1 x 16.5 x 13.1 inches"/>
        <s v="12 x 14 x 13 inches"/>
        <s v="15.3 x 20.2 x 8.1 inches"/>
        <s v="11.5 x 11.5 x 12.2 inches"/>
        <s v="14&quot;D x 13&quot;W x 14.5&quot;H"/>
        <s v="14.4 x 14.2 x 11.8 inches"/>
        <s v="15.4 x 14.6 x 13.4 inches"/>
        <s v="8.1&quot;D x 10.2&quot;W x 11.4&quot;H"/>
        <s v="11.8 x 11.8 x 14.5 inches"/>
        <s v="7.8 x 7.8 x 8 inches"/>
        <s v="10.6 x 10.8 x 13 inches"/>
        <s v="17.7 x 11.8 x 15.7 inches"/>
        <s v="18.25 x 17.25 x 17 inches"/>
        <s v="18 x 17.18 x 16.6 inches"/>
        <s v="10.5&quot;D x 10.5&quot;W x 13&quot;H"/>
        <s v="11.5 x 12 x 14 inches"/>
        <s v="13.4 x 15.5 x 15.5 inches"/>
        <s v="12 x 11 x 13.5 inches"/>
        <s v="13 x 15.4 x 16.9 inches"/>
        <s v="10 x 20 x 13 inches"/>
        <s v="14 x 11 x 13 inches"/>
        <s v="7.6 x 19.7 x 15 inches"/>
        <s v="8.9 x 14 x 13.5 inches"/>
        <s v="8.5&quot;D x 6.5&quot;W x 9.8&quot;H"/>
        <s v="15.3 x 14.8 x 14.8 inches"/>
        <s v="13 x 11 x 13.7 inches"/>
        <s v="10 x 8 x 8 inches"/>
        <s v="18.5 x 17.5 x 17.5 inches"/>
        <s v="12.5 x 14.8 x 14.8 inches"/>
        <s v="11.7 x 14.2 x 12.6 inches"/>
        <s v="15.9&quot;D x 15.9&quot;W x 17.7&quot;H"/>
        <s v="16.9 x 18 x 14.4 inches"/>
        <s v="19.6 x 16.2 x 13.4 inches"/>
        <s v="15.5 x 16.7 x 14 inches"/>
        <s v="15 x 12 x 14 inches"/>
        <s v="13 x 18.8 x 7.4 inches"/>
        <s v="11.65&quot;D x 11.42&quot;W x 12.8&quot;H"/>
        <s v="15 x 15 x 15 inches"/>
        <s v="12 x 8 x 8 inches"/>
        <s v="24 x 17.2 x 12.9 inches"/>
        <s v="18.8 x 15.6 x 14.2 inches"/>
        <s v="10.94&quot;D x 18.9&quot;W x 15.87&quot;H"/>
        <s v="1 x 1 x 1 inches"/>
        <s v="10.8 x 10.8 x 12.6 inches"/>
        <s v="15.7&quot;D x 16.5&quot;W x 15.7&quot;H"/>
        <s v="13.2 x 13.3 x 14.6 inches"/>
        <s v="14.2 x 15.7 x 13.4 inches"/>
        <s v="13.7 x 15 x 13.5 inches"/>
        <s v="15.1 x 15.1 x 14.7 inches"/>
        <s v="16.2 x 14.2 x 17.3 inches"/>
        <s v="15 x 15.7 x 14 inches"/>
        <s v="9.45&quot;D x 7.87&quot;W x 11.02&quot;H"/>
        <s v="11 x 13 x 12 inches"/>
        <s v="18.2 x 19.8 x 16.4 inches"/>
        <s v="14.57&quot;D x 11.81&quot;W x 14.57&quot;H"/>
      </sharedItems>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Cache/pivotCacheRecords2.xml><?xml version="1.0" encoding="utf-8"?>
<pivotCacheRecords xmlns="http://schemas.openxmlformats.org/spreadsheetml/2006/main" xmlns:r="http://schemas.openxmlformats.org/officeDocument/2006/relationships" count="100">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0"/>
    <x v="1"/>
    <x v="1"/>
    <x v="1"/>
    <x v="1"/>
    <x v="1"/>
    <x v="1"/>
    <x v="0"/>
    <x v="0"/>
    <x v="1"/>
    <x v="0"/>
    <x v="1"/>
    <x v="1"/>
    <x v="1"/>
    <x v="1"/>
    <x v="1"/>
    <x v="1"/>
    <x v="0"/>
    <x v="0"/>
    <x v="1"/>
    <x v="1"/>
    <x v="1"/>
    <x v="0"/>
    <x v="0"/>
    <x v="0"/>
    <x v="0"/>
    <x v="0"/>
    <x v="1"/>
    <x v="1"/>
    <x v="0"/>
    <x v="0"/>
    <x v="0"/>
    <x v="1"/>
    <x v="1"/>
    <x v="1"/>
    <x v="1"/>
    <x v="1"/>
    <x v="1"/>
    <x v="1"/>
    <x v="1"/>
    <x v="1"/>
    <x v="0"/>
    <x v="0"/>
    <x v="1"/>
    <x v="1"/>
    <x v="0"/>
    <x v="1"/>
    <x v="1"/>
    <x v="0"/>
    <x v="0"/>
    <x v="0"/>
    <x v="1"/>
    <x v="1"/>
  </r>
  <r>
    <x v="2"/>
    <x v="2"/>
    <x v="2"/>
    <x v="0"/>
    <x v="2"/>
    <x v="2"/>
    <x v="2"/>
    <x v="2"/>
    <x v="2"/>
    <x v="1"/>
    <x v="0"/>
    <x v="0"/>
    <x v="2"/>
    <x v="0"/>
    <x v="2"/>
    <x v="2"/>
    <x v="2"/>
    <x v="2"/>
    <x v="2"/>
    <x v="2"/>
    <x v="1"/>
    <x v="1"/>
    <x v="2"/>
    <x v="2"/>
    <x v="0"/>
    <x v="1"/>
    <x v="0"/>
    <x v="0"/>
    <x v="0"/>
    <x v="1"/>
    <x v="2"/>
    <x v="0"/>
    <x v="0"/>
    <x v="0"/>
    <x v="0"/>
    <x v="2"/>
    <x v="2"/>
    <x v="2"/>
    <x v="2"/>
    <x v="2"/>
    <x v="2"/>
    <x v="2"/>
    <x v="2"/>
    <x v="2"/>
    <x v="0"/>
    <x v="1"/>
    <x v="2"/>
    <x v="2"/>
    <x v="0"/>
    <x v="1"/>
    <x v="1"/>
    <x v="0"/>
    <x v="0"/>
    <x v="0"/>
    <x v="2"/>
    <x v="2"/>
  </r>
  <r>
    <x v="3"/>
    <x v="3"/>
    <x v="3"/>
    <x v="0"/>
    <x v="3"/>
    <x v="3"/>
    <x v="2"/>
    <x v="3"/>
    <x v="3"/>
    <x v="1"/>
    <x v="0"/>
    <x v="0"/>
    <x v="3"/>
    <x v="1"/>
    <x v="3"/>
    <x v="0"/>
    <x v="3"/>
    <x v="3"/>
    <x v="3"/>
    <x v="3"/>
    <x v="0"/>
    <x v="0"/>
    <x v="3"/>
    <x v="3"/>
    <x v="1"/>
    <x v="0"/>
    <x v="0"/>
    <x v="0"/>
    <x v="1"/>
    <x v="2"/>
    <x v="2"/>
    <x v="1"/>
    <x v="0"/>
    <x v="0"/>
    <x v="0"/>
    <x v="3"/>
    <x v="3"/>
    <x v="2"/>
    <x v="3"/>
    <x v="3"/>
    <x v="1"/>
    <x v="3"/>
    <x v="3"/>
    <x v="3"/>
    <x v="0"/>
    <x v="1"/>
    <x v="3"/>
    <x v="3"/>
    <x v="0"/>
    <x v="2"/>
    <x v="1"/>
    <x v="0"/>
    <x v="0"/>
    <x v="0"/>
    <x v="3"/>
    <x v="3"/>
  </r>
  <r>
    <x v="4"/>
    <x v="4"/>
    <x v="4"/>
    <x v="0"/>
    <x v="4"/>
    <x v="4"/>
    <x v="1"/>
    <x v="4"/>
    <x v="4"/>
    <x v="2"/>
    <x v="1"/>
    <x v="0"/>
    <x v="4"/>
    <x v="2"/>
    <x v="4"/>
    <x v="0"/>
    <x v="1"/>
    <x v="1"/>
    <x v="1"/>
    <x v="1"/>
    <x v="0"/>
    <x v="0"/>
    <x v="4"/>
    <x v="3"/>
    <x v="0"/>
    <x v="1"/>
    <x v="0"/>
    <x v="0"/>
    <x v="0"/>
    <x v="3"/>
    <x v="2"/>
    <x v="2"/>
    <x v="0"/>
    <x v="0"/>
    <x v="0"/>
    <x v="4"/>
    <x v="4"/>
    <x v="3"/>
    <x v="4"/>
    <x v="4"/>
    <x v="1"/>
    <x v="4"/>
    <x v="1"/>
    <x v="1"/>
    <x v="0"/>
    <x v="0"/>
    <x v="4"/>
    <x v="4"/>
    <x v="0"/>
    <x v="3"/>
    <x v="1"/>
    <x v="0"/>
    <x v="0"/>
    <x v="0"/>
    <x v="4"/>
    <x v="4"/>
  </r>
  <r>
    <x v="5"/>
    <x v="5"/>
    <x v="5"/>
    <x v="0"/>
    <x v="5"/>
    <x v="5"/>
    <x v="2"/>
    <x v="5"/>
    <x v="5"/>
    <x v="2"/>
    <x v="0"/>
    <x v="0"/>
    <x v="5"/>
    <x v="3"/>
    <x v="5"/>
    <x v="3"/>
    <x v="0"/>
    <x v="0"/>
    <x v="0"/>
    <x v="0"/>
    <x v="0"/>
    <x v="0"/>
    <x v="3"/>
    <x v="4"/>
    <x v="0"/>
    <x v="0"/>
    <x v="0"/>
    <x v="1"/>
    <x v="2"/>
    <x v="3"/>
    <x v="0"/>
    <x v="2"/>
    <x v="0"/>
    <x v="0"/>
    <x v="0"/>
    <x v="5"/>
    <x v="5"/>
    <x v="4"/>
    <x v="5"/>
    <x v="5"/>
    <x v="1"/>
    <x v="5"/>
    <x v="4"/>
    <x v="4"/>
    <x v="0"/>
    <x v="1"/>
    <x v="5"/>
    <x v="5"/>
    <x v="0"/>
    <x v="4"/>
    <x v="1"/>
    <x v="0"/>
    <x v="0"/>
    <x v="0"/>
    <x v="5"/>
    <x v="5"/>
  </r>
  <r>
    <x v="6"/>
    <x v="6"/>
    <x v="6"/>
    <x v="0"/>
    <x v="6"/>
    <x v="6"/>
    <x v="0"/>
    <x v="6"/>
    <x v="6"/>
    <x v="1"/>
    <x v="0"/>
    <x v="0"/>
    <x v="6"/>
    <x v="0"/>
    <x v="6"/>
    <x v="0"/>
    <x v="2"/>
    <x v="2"/>
    <x v="2"/>
    <x v="2"/>
    <x v="0"/>
    <x v="2"/>
    <x v="3"/>
    <x v="5"/>
    <x v="1"/>
    <x v="0"/>
    <x v="0"/>
    <x v="0"/>
    <x v="1"/>
    <x v="3"/>
    <x v="3"/>
    <x v="1"/>
    <x v="0"/>
    <x v="0"/>
    <x v="0"/>
    <x v="6"/>
    <x v="6"/>
    <x v="5"/>
    <x v="6"/>
    <x v="6"/>
    <x v="0"/>
    <x v="6"/>
    <x v="5"/>
    <x v="5"/>
    <x v="0"/>
    <x v="0"/>
    <x v="6"/>
    <x v="6"/>
    <x v="0"/>
    <x v="0"/>
    <x v="1"/>
    <x v="0"/>
    <x v="0"/>
    <x v="0"/>
    <x v="6"/>
    <x v="6"/>
  </r>
  <r>
    <x v="7"/>
    <x v="7"/>
    <x v="7"/>
    <x v="0"/>
    <x v="7"/>
    <x v="7"/>
    <x v="3"/>
    <x v="7"/>
    <x v="7"/>
    <x v="3"/>
    <x v="0"/>
    <x v="0"/>
    <x v="7"/>
    <x v="0"/>
    <x v="7"/>
    <x v="0"/>
    <x v="4"/>
    <x v="4"/>
    <x v="4"/>
    <x v="4"/>
    <x v="0"/>
    <x v="0"/>
    <x v="5"/>
    <x v="6"/>
    <x v="0"/>
    <x v="0"/>
    <x v="1"/>
    <x v="0"/>
    <x v="3"/>
    <x v="0"/>
    <x v="4"/>
    <x v="0"/>
    <x v="1"/>
    <x v="0"/>
    <x v="0"/>
    <x v="7"/>
    <x v="7"/>
    <x v="6"/>
    <x v="7"/>
    <x v="7"/>
    <x v="3"/>
    <x v="7"/>
    <x v="6"/>
    <x v="6"/>
    <x v="0"/>
    <x v="1"/>
    <x v="7"/>
    <x v="7"/>
    <x v="0"/>
    <x v="5"/>
    <x v="1"/>
    <x v="0"/>
    <x v="0"/>
    <x v="0"/>
    <x v="7"/>
    <x v="7"/>
  </r>
  <r>
    <x v="8"/>
    <x v="8"/>
    <x v="8"/>
    <x v="0"/>
    <x v="8"/>
    <x v="8"/>
    <x v="4"/>
    <x v="8"/>
    <x v="8"/>
    <x v="3"/>
    <x v="0"/>
    <x v="0"/>
    <x v="8"/>
    <x v="0"/>
    <x v="8"/>
    <x v="0"/>
    <x v="3"/>
    <x v="3"/>
    <x v="3"/>
    <x v="3"/>
    <x v="0"/>
    <x v="0"/>
    <x v="4"/>
    <x v="1"/>
    <x v="0"/>
    <x v="0"/>
    <x v="0"/>
    <x v="0"/>
    <x v="0"/>
    <x v="0"/>
    <x v="5"/>
    <x v="3"/>
    <x v="0"/>
    <x v="1"/>
    <x v="0"/>
    <x v="8"/>
    <x v="8"/>
    <x v="7"/>
    <x v="8"/>
    <x v="8"/>
    <x v="2"/>
    <x v="8"/>
    <x v="7"/>
    <x v="7"/>
    <x v="0"/>
    <x v="0"/>
    <x v="8"/>
    <x v="8"/>
    <x v="0"/>
    <x v="6"/>
    <x v="1"/>
    <x v="0"/>
    <x v="0"/>
    <x v="0"/>
    <x v="8"/>
    <x v="8"/>
  </r>
  <r>
    <x v="9"/>
    <x v="9"/>
    <x v="9"/>
    <x v="0"/>
    <x v="9"/>
    <x v="9"/>
    <x v="0"/>
    <x v="9"/>
    <x v="9"/>
    <x v="1"/>
    <x v="0"/>
    <x v="0"/>
    <x v="9"/>
    <x v="0"/>
    <x v="9"/>
    <x v="0"/>
    <x v="5"/>
    <x v="5"/>
    <x v="5"/>
    <x v="5"/>
    <x v="0"/>
    <x v="2"/>
    <x v="3"/>
    <x v="5"/>
    <x v="1"/>
    <x v="0"/>
    <x v="2"/>
    <x v="0"/>
    <x v="4"/>
    <x v="3"/>
    <x v="6"/>
    <x v="2"/>
    <x v="0"/>
    <x v="0"/>
    <x v="0"/>
    <x v="9"/>
    <x v="9"/>
    <x v="8"/>
    <x v="9"/>
    <x v="9"/>
    <x v="0"/>
    <x v="9"/>
    <x v="8"/>
    <x v="8"/>
    <x v="0"/>
    <x v="1"/>
    <x v="9"/>
    <x v="9"/>
    <x v="0"/>
    <x v="7"/>
    <x v="1"/>
    <x v="0"/>
    <x v="0"/>
    <x v="0"/>
    <x v="9"/>
    <x v="9"/>
  </r>
  <r>
    <x v="10"/>
    <x v="10"/>
    <x v="10"/>
    <x v="0"/>
    <x v="10"/>
    <x v="10"/>
    <x v="5"/>
    <x v="10"/>
    <x v="10"/>
    <x v="4"/>
    <x v="0"/>
    <x v="0"/>
    <x v="10"/>
    <x v="0"/>
    <x v="10"/>
    <x v="0"/>
    <x v="6"/>
    <x v="6"/>
    <x v="6"/>
    <x v="6"/>
    <x v="0"/>
    <x v="0"/>
    <x v="2"/>
    <x v="7"/>
    <x v="0"/>
    <x v="0"/>
    <x v="0"/>
    <x v="0"/>
    <x v="0"/>
    <x v="0"/>
    <x v="0"/>
    <x v="0"/>
    <x v="1"/>
    <x v="0"/>
    <x v="0"/>
    <x v="10"/>
    <x v="10"/>
    <x v="9"/>
    <x v="10"/>
    <x v="4"/>
    <x v="3"/>
    <x v="10"/>
    <x v="9"/>
    <x v="9"/>
    <x v="0"/>
    <x v="2"/>
    <x v="10"/>
    <x v="10"/>
    <x v="0"/>
    <x v="2"/>
    <x v="1"/>
    <x v="0"/>
    <x v="0"/>
    <x v="0"/>
    <x v="10"/>
    <x v="10"/>
  </r>
  <r>
    <x v="11"/>
    <x v="11"/>
    <x v="11"/>
    <x v="0"/>
    <x v="11"/>
    <x v="11"/>
    <x v="0"/>
    <x v="11"/>
    <x v="11"/>
    <x v="5"/>
    <x v="0"/>
    <x v="0"/>
    <x v="11"/>
    <x v="0"/>
    <x v="9"/>
    <x v="2"/>
    <x v="7"/>
    <x v="7"/>
    <x v="7"/>
    <x v="7"/>
    <x v="2"/>
    <x v="0"/>
    <x v="6"/>
    <x v="8"/>
    <x v="1"/>
    <x v="1"/>
    <x v="0"/>
    <x v="0"/>
    <x v="4"/>
    <x v="3"/>
    <x v="7"/>
    <x v="0"/>
    <x v="0"/>
    <x v="0"/>
    <x v="0"/>
    <x v="11"/>
    <x v="11"/>
    <x v="10"/>
    <x v="11"/>
    <x v="2"/>
    <x v="2"/>
    <x v="11"/>
    <x v="10"/>
    <x v="10"/>
    <x v="0"/>
    <x v="0"/>
    <x v="11"/>
    <x v="11"/>
    <x v="0"/>
    <x v="8"/>
    <x v="0"/>
    <x v="0"/>
    <x v="0"/>
    <x v="0"/>
    <x v="11"/>
    <x v="11"/>
  </r>
  <r>
    <x v="12"/>
    <x v="12"/>
    <x v="12"/>
    <x v="1"/>
    <x v="12"/>
    <x v="12"/>
    <x v="6"/>
    <x v="12"/>
    <x v="12"/>
    <x v="3"/>
    <x v="0"/>
    <x v="0"/>
    <x v="12"/>
    <x v="0"/>
    <x v="11"/>
    <x v="4"/>
    <x v="0"/>
    <x v="0"/>
    <x v="0"/>
    <x v="0"/>
    <x v="0"/>
    <x v="0"/>
    <x v="1"/>
    <x v="0"/>
    <x v="1"/>
    <x v="0"/>
    <x v="0"/>
    <x v="0"/>
    <x v="4"/>
    <x v="0"/>
    <x v="8"/>
    <x v="4"/>
    <x v="1"/>
    <x v="2"/>
    <x v="0"/>
    <x v="12"/>
    <x v="12"/>
    <x v="11"/>
    <x v="12"/>
    <x v="10"/>
    <x v="4"/>
    <x v="12"/>
    <x v="11"/>
    <x v="11"/>
    <x v="0"/>
    <x v="1"/>
    <x v="12"/>
    <x v="12"/>
    <x v="1"/>
    <x v="5"/>
    <x v="2"/>
    <x v="0"/>
    <x v="0"/>
    <x v="1"/>
    <x v="5"/>
    <x v="12"/>
  </r>
  <r>
    <x v="13"/>
    <x v="13"/>
    <x v="13"/>
    <x v="0"/>
    <x v="13"/>
    <x v="13"/>
    <x v="0"/>
    <x v="13"/>
    <x v="13"/>
    <x v="6"/>
    <x v="0"/>
    <x v="0"/>
    <x v="13"/>
    <x v="0"/>
    <x v="10"/>
    <x v="1"/>
    <x v="8"/>
    <x v="8"/>
    <x v="8"/>
    <x v="8"/>
    <x v="0"/>
    <x v="0"/>
    <x v="2"/>
    <x v="8"/>
    <x v="1"/>
    <x v="0"/>
    <x v="0"/>
    <x v="0"/>
    <x v="4"/>
    <x v="0"/>
    <x v="9"/>
    <x v="0"/>
    <x v="0"/>
    <x v="0"/>
    <x v="0"/>
    <x v="13"/>
    <x v="13"/>
    <x v="12"/>
    <x v="13"/>
    <x v="3"/>
    <x v="1"/>
    <x v="13"/>
    <x v="12"/>
    <x v="12"/>
    <x v="0"/>
    <x v="0"/>
    <x v="13"/>
    <x v="13"/>
    <x v="0"/>
    <x v="9"/>
    <x v="0"/>
    <x v="0"/>
    <x v="0"/>
    <x v="0"/>
    <x v="12"/>
    <x v="13"/>
  </r>
  <r>
    <x v="14"/>
    <x v="14"/>
    <x v="14"/>
    <x v="0"/>
    <x v="14"/>
    <x v="14"/>
    <x v="1"/>
    <x v="14"/>
    <x v="14"/>
    <x v="7"/>
    <x v="0"/>
    <x v="0"/>
    <x v="14"/>
    <x v="0"/>
    <x v="12"/>
    <x v="0"/>
    <x v="2"/>
    <x v="2"/>
    <x v="2"/>
    <x v="2"/>
    <x v="0"/>
    <x v="1"/>
    <x v="7"/>
    <x v="7"/>
    <x v="1"/>
    <x v="1"/>
    <x v="0"/>
    <x v="1"/>
    <x v="2"/>
    <x v="4"/>
    <x v="2"/>
    <x v="4"/>
    <x v="0"/>
    <x v="0"/>
    <x v="0"/>
    <x v="14"/>
    <x v="14"/>
    <x v="13"/>
    <x v="2"/>
    <x v="2"/>
    <x v="1"/>
    <x v="14"/>
    <x v="1"/>
    <x v="13"/>
    <x v="0"/>
    <x v="2"/>
    <x v="14"/>
    <x v="14"/>
    <x v="0"/>
    <x v="1"/>
    <x v="1"/>
    <x v="0"/>
    <x v="0"/>
    <x v="0"/>
    <x v="13"/>
    <x v="14"/>
  </r>
  <r>
    <x v="15"/>
    <x v="15"/>
    <x v="15"/>
    <x v="0"/>
    <x v="15"/>
    <x v="15"/>
    <x v="2"/>
    <x v="15"/>
    <x v="15"/>
    <x v="4"/>
    <x v="0"/>
    <x v="0"/>
    <x v="15"/>
    <x v="0"/>
    <x v="13"/>
    <x v="2"/>
    <x v="3"/>
    <x v="3"/>
    <x v="3"/>
    <x v="3"/>
    <x v="0"/>
    <x v="0"/>
    <x v="3"/>
    <x v="3"/>
    <x v="1"/>
    <x v="1"/>
    <x v="0"/>
    <x v="0"/>
    <x v="4"/>
    <x v="3"/>
    <x v="10"/>
    <x v="1"/>
    <x v="1"/>
    <x v="0"/>
    <x v="0"/>
    <x v="15"/>
    <x v="15"/>
    <x v="14"/>
    <x v="14"/>
    <x v="3"/>
    <x v="3"/>
    <x v="15"/>
    <x v="13"/>
    <x v="14"/>
    <x v="0"/>
    <x v="1"/>
    <x v="3"/>
    <x v="3"/>
    <x v="0"/>
    <x v="4"/>
    <x v="1"/>
    <x v="0"/>
    <x v="0"/>
    <x v="0"/>
    <x v="14"/>
    <x v="15"/>
  </r>
  <r>
    <x v="16"/>
    <x v="16"/>
    <x v="16"/>
    <x v="0"/>
    <x v="16"/>
    <x v="16"/>
    <x v="7"/>
    <x v="16"/>
    <x v="16"/>
    <x v="2"/>
    <x v="0"/>
    <x v="0"/>
    <x v="16"/>
    <x v="4"/>
    <x v="14"/>
    <x v="3"/>
    <x v="9"/>
    <x v="9"/>
    <x v="9"/>
    <x v="9"/>
    <x v="2"/>
    <x v="3"/>
    <x v="8"/>
    <x v="7"/>
    <x v="2"/>
    <x v="1"/>
    <x v="0"/>
    <x v="0"/>
    <x v="1"/>
    <x v="5"/>
    <x v="3"/>
    <x v="1"/>
    <x v="0"/>
    <x v="0"/>
    <x v="0"/>
    <x v="16"/>
    <x v="16"/>
    <x v="15"/>
    <x v="15"/>
    <x v="11"/>
    <x v="2"/>
    <x v="16"/>
    <x v="14"/>
    <x v="15"/>
    <x v="0"/>
    <x v="0"/>
    <x v="15"/>
    <x v="15"/>
    <x v="0"/>
    <x v="10"/>
    <x v="3"/>
    <x v="0"/>
    <x v="1"/>
    <x v="0"/>
    <x v="15"/>
    <x v="16"/>
  </r>
  <r>
    <x v="17"/>
    <x v="17"/>
    <x v="17"/>
    <x v="0"/>
    <x v="17"/>
    <x v="17"/>
    <x v="1"/>
    <x v="17"/>
    <x v="17"/>
    <x v="7"/>
    <x v="0"/>
    <x v="0"/>
    <x v="17"/>
    <x v="5"/>
    <x v="15"/>
    <x v="3"/>
    <x v="10"/>
    <x v="10"/>
    <x v="10"/>
    <x v="10"/>
    <x v="0"/>
    <x v="1"/>
    <x v="4"/>
    <x v="7"/>
    <x v="1"/>
    <x v="1"/>
    <x v="0"/>
    <x v="1"/>
    <x v="5"/>
    <x v="5"/>
    <x v="10"/>
    <x v="5"/>
    <x v="1"/>
    <x v="0"/>
    <x v="0"/>
    <x v="17"/>
    <x v="17"/>
    <x v="16"/>
    <x v="16"/>
    <x v="12"/>
    <x v="3"/>
    <x v="17"/>
    <x v="1"/>
    <x v="1"/>
    <x v="1"/>
    <x v="2"/>
    <x v="16"/>
    <x v="16"/>
    <x v="0"/>
    <x v="1"/>
    <x v="1"/>
    <x v="0"/>
    <x v="0"/>
    <x v="0"/>
    <x v="16"/>
    <x v="17"/>
  </r>
  <r>
    <x v="18"/>
    <x v="18"/>
    <x v="18"/>
    <x v="0"/>
    <x v="18"/>
    <x v="18"/>
    <x v="8"/>
    <x v="18"/>
    <x v="18"/>
    <x v="4"/>
    <x v="0"/>
    <x v="0"/>
    <x v="18"/>
    <x v="0"/>
    <x v="16"/>
    <x v="3"/>
    <x v="5"/>
    <x v="5"/>
    <x v="5"/>
    <x v="5"/>
    <x v="0"/>
    <x v="0"/>
    <x v="0"/>
    <x v="3"/>
    <x v="0"/>
    <x v="1"/>
    <x v="0"/>
    <x v="0"/>
    <x v="0"/>
    <x v="3"/>
    <x v="1"/>
    <x v="2"/>
    <x v="0"/>
    <x v="0"/>
    <x v="0"/>
    <x v="18"/>
    <x v="18"/>
    <x v="1"/>
    <x v="17"/>
    <x v="13"/>
    <x v="2"/>
    <x v="18"/>
    <x v="15"/>
    <x v="16"/>
    <x v="0"/>
    <x v="0"/>
    <x v="17"/>
    <x v="17"/>
    <x v="0"/>
    <x v="3"/>
    <x v="1"/>
    <x v="0"/>
    <x v="0"/>
    <x v="0"/>
    <x v="17"/>
    <x v="18"/>
  </r>
  <r>
    <x v="19"/>
    <x v="19"/>
    <x v="19"/>
    <x v="0"/>
    <x v="19"/>
    <x v="19"/>
    <x v="9"/>
    <x v="19"/>
    <x v="19"/>
    <x v="1"/>
    <x v="0"/>
    <x v="0"/>
    <x v="19"/>
    <x v="0"/>
    <x v="17"/>
    <x v="0"/>
    <x v="11"/>
    <x v="11"/>
    <x v="11"/>
    <x v="11"/>
    <x v="0"/>
    <x v="0"/>
    <x v="3"/>
    <x v="6"/>
    <x v="3"/>
    <x v="0"/>
    <x v="1"/>
    <x v="0"/>
    <x v="1"/>
    <x v="0"/>
    <x v="4"/>
    <x v="0"/>
    <x v="1"/>
    <x v="0"/>
    <x v="0"/>
    <x v="19"/>
    <x v="19"/>
    <x v="17"/>
    <x v="18"/>
    <x v="14"/>
    <x v="3"/>
    <x v="19"/>
    <x v="16"/>
    <x v="17"/>
    <x v="0"/>
    <x v="1"/>
    <x v="18"/>
    <x v="18"/>
    <x v="0"/>
    <x v="2"/>
    <x v="1"/>
    <x v="0"/>
    <x v="0"/>
    <x v="0"/>
    <x v="18"/>
    <x v="19"/>
  </r>
  <r>
    <x v="20"/>
    <x v="20"/>
    <x v="20"/>
    <x v="0"/>
    <x v="20"/>
    <x v="20"/>
    <x v="8"/>
    <x v="20"/>
    <x v="20"/>
    <x v="4"/>
    <x v="0"/>
    <x v="0"/>
    <x v="20"/>
    <x v="0"/>
    <x v="16"/>
    <x v="0"/>
    <x v="2"/>
    <x v="2"/>
    <x v="2"/>
    <x v="2"/>
    <x v="0"/>
    <x v="4"/>
    <x v="9"/>
    <x v="3"/>
    <x v="3"/>
    <x v="0"/>
    <x v="0"/>
    <x v="0"/>
    <x v="0"/>
    <x v="4"/>
    <x v="11"/>
    <x v="2"/>
    <x v="1"/>
    <x v="0"/>
    <x v="0"/>
    <x v="20"/>
    <x v="20"/>
    <x v="18"/>
    <x v="19"/>
    <x v="15"/>
    <x v="5"/>
    <x v="20"/>
    <x v="17"/>
    <x v="18"/>
    <x v="2"/>
    <x v="0"/>
    <x v="17"/>
    <x v="17"/>
    <x v="0"/>
    <x v="9"/>
    <x v="1"/>
    <x v="0"/>
    <x v="0"/>
    <x v="0"/>
    <x v="19"/>
    <x v="20"/>
  </r>
  <r>
    <x v="21"/>
    <x v="21"/>
    <x v="21"/>
    <x v="0"/>
    <x v="21"/>
    <x v="21"/>
    <x v="0"/>
    <x v="21"/>
    <x v="21"/>
    <x v="4"/>
    <x v="0"/>
    <x v="0"/>
    <x v="21"/>
    <x v="0"/>
    <x v="18"/>
    <x v="2"/>
    <x v="5"/>
    <x v="5"/>
    <x v="5"/>
    <x v="5"/>
    <x v="3"/>
    <x v="0"/>
    <x v="4"/>
    <x v="9"/>
    <x v="0"/>
    <x v="0"/>
    <x v="0"/>
    <x v="0"/>
    <x v="1"/>
    <x v="6"/>
    <x v="3"/>
    <x v="0"/>
    <x v="0"/>
    <x v="0"/>
    <x v="0"/>
    <x v="21"/>
    <x v="21"/>
    <x v="19"/>
    <x v="20"/>
    <x v="16"/>
    <x v="0"/>
    <x v="21"/>
    <x v="18"/>
    <x v="15"/>
    <x v="0"/>
    <x v="1"/>
    <x v="19"/>
    <x v="19"/>
    <x v="0"/>
    <x v="11"/>
    <x v="1"/>
    <x v="0"/>
    <x v="0"/>
    <x v="0"/>
    <x v="20"/>
    <x v="21"/>
  </r>
  <r>
    <x v="22"/>
    <x v="22"/>
    <x v="22"/>
    <x v="0"/>
    <x v="22"/>
    <x v="22"/>
    <x v="10"/>
    <x v="22"/>
    <x v="22"/>
    <x v="4"/>
    <x v="0"/>
    <x v="0"/>
    <x v="22"/>
    <x v="0"/>
    <x v="19"/>
    <x v="0"/>
    <x v="9"/>
    <x v="9"/>
    <x v="9"/>
    <x v="9"/>
    <x v="2"/>
    <x v="1"/>
    <x v="3"/>
    <x v="10"/>
    <x v="1"/>
    <x v="0"/>
    <x v="0"/>
    <x v="0"/>
    <x v="1"/>
    <x v="5"/>
    <x v="3"/>
    <x v="3"/>
    <x v="1"/>
    <x v="3"/>
    <x v="0"/>
    <x v="22"/>
    <x v="22"/>
    <x v="20"/>
    <x v="21"/>
    <x v="17"/>
    <x v="5"/>
    <x v="22"/>
    <x v="19"/>
    <x v="19"/>
    <x v="3"/>
    <x v="3"/>
    <x v="20"/>
    <x v="20"/>
    <x v="0"/>
    <x v="4"/>
    <x v="0"/>
    <x v="0"/>
    <x v="0"/>
    <x v="0"/>
    <x v="21"/>
    <x v="22"/>
  </r>
  <r>
    <x v="23"/>
    <x v="23"/>
    <x v="23"/>
    <x v="0"/>
    <x v="23"/>
    <x v="23"/>
    <x v="11"/>
    <x v="23"/>
    <x v="23"/>
    <x v="3"/>
    <x v="0"/>
    <x v="0"/>
    <x v="23"/>
    <x v="0"/>
    <x v="20"/>
    <x v="3"/>
    <x v="9"/>
    <x v="9"/>
    <x v="9"/>
    <x v="9"/>
    <x v="2"/>
    <x v="1"/>
    <x v="4"/>
    <x v="1"/>
    <x v="1"/>
    <x v="1"/>
    <x v="0"/>
    <x v="0"/>
    <x v="6"/>
    <x v="5"/>
    <x v="12"/>
    <x v="0"/>
    <x v="1"/>
    <x v="0"/>
    <x v="0"/>
    <x v="23"/>
    <x v="23"/>
    <x v="21"/>
    <x v="22"/>
    <x v="18"/>
    <x v="3"/>
    <x v="23"/>
    <x v="20"/>
    <x v="20"/>
    <x v="4"/>
    <x v="1"/>
    <x v="21"/>
    <x v="21"/>
    <x v="0"/>
    <x v="9"/>
    <x v="4"/>
    <x v="1"/>
    <x v="2"/>
    <x v="0"/>
    <x v="22"/>
    <x v="23"/>
  </r>
  <r>
    <x v="24"/>
    <x v="24"/>
    <x v="24"/>
    <x v="0"/>
    <x v="24"/>
    <x v="24"/>
    <x v="8"/>
    <x v="24"/>
    <x v="24"/>
    <x v="2"/>
    <x v="0"/>
    <x v="0"/>
    <x v="24"/>
    <x v="0"/>
    <x v="18"/>
    <x v="0"/>
    <x v="12"/>
    <x v="12"/>
    <x v="12"/>
    <x v="12"/>
    <x v="0"/>
    <x v="0"/>
    <x v="5"/>
    <x v="6"/>
    <x v="0"/>
    <x v="0"/>
    <x v="1"/>
    <x v="0"/>
    <x v="3"/>
    <x v="0"/>
    <x v="4"/>
    <x v="0"/>
    <x v="0"/>
    <x v="0"/>
    <x v="0"/>
    <x v="24"/>
    <x v="24"/>
    <x v="6"/>
    <x v="23"/>
    <x v="19"/>
    <x v="2"/>
    <x v="24"/>
    <x v="21"/>
    <x v="21"/>
    <x v="0"/>
    <x v="1"/>
    <x v="22"/>
    <x v="22"/>
    <x v="0"/>
    <x v="3"/>
    <x v="1"/>
    <x v="0"/>
    <x v="0"/>
    <x v="0"/>
    <x v="23"/>
    <x v="24"/>
  </r>
  <r>
    <x v="25"/>
    <x v="25"/>
    <x v="25"/>
    <x v="0"/>
    <x v="25"/>
    <x v="25"/>
    <x v="1"/>
    <x v="25"/>
    <x v="25"/>
    <x v="4"/>
    <x v="0"/>
    <x v="0"/>
    <x v="25"/>
    <x v="0"/>
    <x v="20"/>
    <x v="1"/>
    <x v="11"/>
    <x v="11"/>
    <x v="11"/>
    <x v="11"/>
    <x v="0"/>
    <x v="0"/>
    <x v="0"/>
    <x v="10"/>
    <x v="0"/>
    <x v="0"/>
    <x v="0"/>
    <x v="0"/>
    <x v="0"/>
    <x v="0"/>
    <x v="13"/>
    <x v="6"/>
    <x v="0"/>
    <x v="0"/>
    <x v="0"/>
    <x v="25"/>
    <x v="25"/>
    <x v="22"/>
    <x v="24"/>
    <x v="20"/>
    <x v="1"/>
    <x v="25"/>
    <x v="1"/>
    <x v="1"/>
    <x v="0"/>
    <x v="0"/>
    <x v="23"/>
    <x v="23"/>
    <x v="0"/>
    <x v="1"/>
    <x v="1"/>
    <x v="0"/>
    <x v="0"/>
    <x v="0"/>
    <x v="24"/>
    <x v="25"/>
  </r>
  <r>
    <x v="26"/>
    <x v="26"/>
    <x v="26"/>
    <x v="0"/>
    <x v="26"/>
    <x v="26"/>
    <x v="12"/>
    <x v="26"/>
    <x v="26"/>
    <x v="3"/>
    <x v="0"/>
    <x v="0"/>
    <x v="26"/>
    <x v="0"/>
    <x v="21"/>
    <x v="0"/>
    <x v="13"/>
    <x v="13"/>
    <x v="13"/>
    <x v="13"/>
    <x v="0"/>
    <x v="0"/>
    <x v="10"/>
    <x v="11"/>
    <x v="0"/>
    <x v="0"/>
    <x v="0"/>
    <x v="1"/>
    <x v="7"/>
    <x v="0"/>
    <x v="9"/>
    <x v="1"/>
    <x v="0"/>
    <x v="0"/>
    <x v="0"/>
    <x v="26"/>
    <x v="26"/>
    <x v="23"/>
    <x v="5"/>
    <x v="5"/>
    <x v="2"/>
    <x v="26"/>
    <x v="22"/>
    <x v="22"/>
    <x v="0"/>
    <x v="1"/>
    <x v="24"/>
    <x v="24"/>
    <x v="0"/>
    <x v="4"/>
    <x v="1"/>
    <x v="0"/>
    <x v="0"/>
    <x v="0"/>
    <x v="25"/>
    <x v="26"/>
  </r>
  <r>
    <x v="27"/>
    <x v="27"/>
    <x v="27"/>
    <x v="0"/>
    <x v="27"/>
    <x v="27"/>
    <x v="13"/>
    <x v="27"/>
    <x v="27"/>
    <x v="3"/>
    <x v="0"/>
    <x v="0"/>
    <x v="27"/>
    <x v="0"/>
    <x v="22"/>
    <x v="3"/>
    <x v="9"/>
    <x v="9"/>
    <x v="9"/>
    <x v="9"/>
    <x v="2"/>
    <x v="5"/>
    <x v="8"/>
    <x v="3"/>
    <x v="2"/>
    <x v="1"/>
    <x v="0"/>
    <x v="0"/>
    <x v="6"/>
    <x v="5"/>
    <x v="14"/>
    <x v="2"/>
    <x v="1"/>
    <x v="0"/>
    <x v="0"/>
    <x v="27"/>
    <x v="27"/>
    <x v="24"/>
    <x v="25"/>
    <x v="21"/>
    <x v="4"/>
    <x v="27"/>
    <x v="23"/>
    <x v="15"/>
    <x v="0"/>
    <x v="2"/>
    <x v="25"/>
    <x v="25"/>
    <x v="0"/>
    <x v="12"/>
    <x v="5"/>
    <x v="1"/>
    <x v="3"/>
    <x v="0"/>
    <x v="26"/>
    <x v="27"/>
  </r>
  <r>
    <x v="28"/>
    <x v="28"/>
    <x v="28"/>
    <x v="0"/>
    <x v="28"/>
    <x v="28"/>
    <x v="14"/>
    <x v="28"/>
    <x v="28"/>
    <x v="2"/>
    <x v="0"/>
    <x v="0"/>
    <x v="28"/>
    <x v="0"/>
    <x v="23"/>
    <x v="0"/>
    <x v="14"/>
    <x v="14"/>
    <x v="14"/>
    <x v="14"/>
    <x v="0"/>
    <x v="0"/>
    <x v="5"/>
    <x v="1"/>
    <x v="0"/>
    <x v="0"/>
    <x v="0"/>
    <x v="0"/>
    <x v="8"/>
    <x v="0"/>
    <x v="8"/>
    <x v="0"/>
    <x v="0"/>
    <x v="0"/>
    <x v="0"/>
    <x v="28"/>
    <x v="28"/>
    <x v="25"/>
    <x v="26"/>
    <x v="5"/>
    <x v="1"/>
    <x v="28"/>
    <x v="24"/>
    <x v="23"/>
    <x v="0"/>
    <x v="1"/>
    <x v="26"/>
    <x v="26"/>
    <x v="0"/>
    <x v="1"/>
    <x v="6"/>
    <x v="0"/>
    <x v="4"/>
    <x v="0"/>
    <x v="27"/>
    <x v="28"/>
  </r>
  <r>
    <x v="29"/>
    <x v="29"/>
    <x v="29"/>
    <x v="0"/>
    <x v="29"/>
    <x v="29"/>
    <x v="15"/>
    <x v="29"/>
    <x v="29"/>
    <x v="4"/>
    <x v="0"/>
    <x v="0"/>
    <x v="29"/>
    <x v="0"/>
    <x v="21"/>
    <x v="0"/>
    <x v="1"/>
    <x v="1"/>
    <x v="1"/>
    <x v="1"/>
    <x v="0"/>
    <x v="0"/>
    <x v="6"/>
    <x v="3"/>
    <x v="0"/>
    <x v="0"/>
    <x v="0"/>
    <x v="0"/>
    <x v="0"/>
    <x v="0"/>
    <x v="8"/>
    <x v="0"/>
    <x v="0"/>
    <x v="0"/>
    <x v="0"/>
    <x v="29"/>
    <x v="29"/>
    <x v="26"/>
    <x v="27"/>
    <x v="4"/>
    <x v="2"/>
    <x v="29"/>
    <x v="25"/>
    <x v="24"/>
    <x v="5"/>
    <x v="1"/>
    <x v="27"/>
    <x v="27"/>
    <x v="0"/>
    <x v="5"/>
    <x v="1"/>
    <x v="0"/>
    <x v="0"/>
    <x v="0"/>
    <x v="28"/>
    <x v="29"/>
  </r>
  <r>
    <x v="30"/>
    <x v="30"/>
    <x v="30"/>
    <x v="0"/>
    <x v="30"/>
    <x v="30"/>
    <x v="3"/>
    <x v="30"/>
    <x v="30"/>
    <x v="3"/>
    <x v="0"/>
    <x v="0"/>
    <x v="30"/>
    <x v="0"/>
    <x v="24"/>
    <x v="4"/>
    <x v="4"/>
    <x v="4"/>
    <x v="4"/>
    <x v="4"/>
    <x v="0"/>
    <x v="0"/>
    <x v="5"/>
    <x v="6"/>
    <x v="0"/>
    <x v="0"/>
    <x v="0"/>
    <x v="0"/>
    <x v="0"/>
    <x v="0"/>
    <x v="8"/>
    <x v="5"/>
    <x v="0"/>
    <x v="0"/>
    <x v="0"/>
    <x v="30"/>
    <x v="30"/>
    <x v="27"/>
    <x v="28"/>
    <x v="7"/>
    <x v="2"/>
    <x v="30"/>
    <x v="26"/>
    <x v="25"/>
    <x v="0"/>
    <x v="1"/>
    <x v="28"/>
    <x v="28"/>
    <x v="0"/>
    <x v="5"/>
    <x v="1"/>
    <x v="0"/>
    <x v="0"/>
    <x v="0"/>
    <x v="29"/>
    <x v="30"/>
  </r>
  <r>
    <x v="31"/>
    <x v="31"/>
    <x v="31"/>
    <x v="0"/>
    <x v="31"/>
    <x v="31"/>
    <x v="16"/>
    <x v="31"/>
    <x v="31"/>
    <x v="3"/>
    <x v="0"/>
    <x v="0"/>
    <x v="31"/>
    <x v="0"/>
    <x v="21"/>
    <x v="3"/>
    <x v="7"/>
    <x v="7"/>
    <x v="7"/>
    <x v="7"/>
    <x v="1"/>
    <x v="1"/>
    <x v="0"/>
    <x v="1"/>
    <x v="1"/>
    <x v="1"/>
    <x v="1"/>
    <x v="0"/>
    <x v="3"/>
    <x v="4"/>
    <x v="8"/>
    <x v="2"/>
    <x v="2"/>
    <x v="0"/>
    <x v="0"/>
    <x v="31"/>
    <x v="31"/>
    <x v="25"/>
    <x v="26"/>
    <x v="5"/>
    <x v="6"/>
    <x v="31"/>
    <x v="27"/>
    <x v="26"/>
    <x v="0"/>
    <x v="0"/>
    <x v="29"/>
    <x v="29"/>
    <x v="0"/>
    <x v="1"/>
    <x v="1"/>
    <x v="0"/>
    <x v="0"/>
    <x v="0"/>
    <x v="30"/>
    <x v="31"/>
  </r>
  <r>
    <x v="32"/>
    <x v="32"/>
    <x v="32"/>
    <x v="0"/>
    <x v="32"/>
    <x v="32"/>
    <x v="17"/>
    <x v="32"/>
    <x v="32"/>
    <x v="8"/>
    <x v="0"/>
    <x v="0"/>
    <x v="32"/>
    <x v="0"/>
    <x v="24"/>
    <x v="0"/>
    <x v="15"/>
    <x v="15"/>
    <x v="15"/>
    <x v="15"/>
    <x v="0"/>
    <x v="0"/>
    <x v="6"/>
    <x v="11"/>
    <x v="3"/>
    <x v="0"/>
    <x v="0"/>
    <x v="0"/>
    <x v="8"/>
    <x v="0"/>
    <x v="5"/>
    <x v="6"/>
    <x v="3"/>
    <x v="4"/>
    <x v="0"/>
    <x v="32"/>
    <x v="32"/>
    <x v="28"/>
    <x v="29"/>
    <x v="5"/>
    <x v="7"/>
    <x v="32"/>
    <x v="28"/>
    <x v="27"/>
    <x v="0"/>
    <x v="4"/>
    <x v="30"/>
    <x v="30"/>
    <x v="0"/>
    <x v="1"/>
    <x v="1"/>
    <x v="0"/>
    <x v="0"/>
    <x v="0"/>
    <x v="5"/>
    <x v="32"/>
  </r>
  <r>
    <x v="33"/>
    <x v="33"/>
    <x v="33"/>
    <x v="0"/>
    <x v="33"/>
    <x v="33"/>
    <x v="18"/>
    <x v="33"/>
    <x v="33"/>
    <x v="2"/>
    <x v="0"/>
    <x v="0"/>
    <x v="33"/>
    <x v="0"/>
    <x v="25"/>
    <x v="3"/>
    <x v="16"/>
    <x v="16"/>
    <x v="16"/>
    <x v="16"/>
    <x v="1"/>
    <x v="1"/>
    <x v="3"/>
    <x v="7"/>
    <x v="1"/>
    <x v="1"/>
    <x v="1"/>
    <x v="0"/>
    <x v="3"/>
    <x v="5"/>
    <x v="15"/>
    <x v="0"/>
    <x v="0"/>
    <x v="0"/>
    <x v="0"/>
    <x v="33"/>
    <x v="33"/>
    <x v="29"/>
    <x v="30"/>
    <x v="15"/>
    <x v="2"/>
    <x v="33"/>
    <x v="29"/>
    <x v="28"/>
    <x v="0"/>
    <x v="0"/>
    <x v="31"/>
    <x v="31"/>
    <x v="0"/>
    <x v="13"/>
    <x v="1"/>
    <x v="0"/>
    <x v="0"/>
    <x v="0"/>
    <x v="7"/>
    <x v="33"/>
  </r>
  <r>
    <x v="34"/>
    <x v="34"/>
    <x v="34"/>
    <x v="0"/>
    <x v="34"/>
    <x v="34"/>
    <x v="19"/>
    <x v="34"/>
    <x v="34"/>
    <x v="9"/>
    <x v="0"/>
    <x v="0"/>
    <x v="34"/>
    <x v="0"/>
    <x v="26"/>
    <x v="3"/>
    <x v="7"/>
    <x v="7"/>
    <x v="7"/>
    <x v="7"/>
    <x v="1"/>
    <x v="1"/>
    <x v="11"/>
    <x v="1"/>
    <x v="0"/>
    <x v="1"/>
    <x v="1"/>
    <x v="0"/>
    <x v="3"/>
    <x v="5"/>
    <x v="16"/>
    <x v="5"/>
    <x v="1"/>
    <x v="0"/>
    <x v="0"/>
    <x v="34"/>
    <x v="34"/>
    <x v="30"/>
    <x v="31"/>
    <x v="22"/>
    <x v="5"/>
    <x v="34"/>
    <x v="30"/>
    <x v="29"/>
    <x v="0"/>
    <x v="0"/>
    <x v="32"/>
    <x v="32"/>
    <x v="0"/>
    <x v="5"/>
    <x v="0"/>
    <x v="0"/>
    <x v="0"/>
    <x v="0"/>
    <x v="1"/>
    <x v="34"/>
  </r>
  <r>
    <x v="35"/>
    <x v="35"/>
    <x v="35"/>
    <x v="0"/>
    <x v="35"/>
    <x v="35"/>
    <x v="20"/>
    <x v="35"/>
    <x v="35"/>
    <x v="4"/>
    <x v="0"/>
    <x v="0"/>
    <x v="35"/>
    <x v="0"/>
    <x v="27"/>
    <x v="0"/>
    <x v="2"/>
    <x v="2"/>
    <x v="2"/>
    <x v="2"/>
    <x v="2"/>
    <x v="1"/>
    <x v="11"/>
    <x v="11"/>
    <x v="1"/>
    <x v="1"/>
    <x v="0"/>
    <x v="1"/>
    <x v="7"/>
    <x v="4"/>
    <x v="6"/>
    <x v="4"/>
    <x v="1"/>
    <x v="5"/>
    <x v="0"/>
    <x v="35"/>
    <x v="35"/>
    <x v="31"/>
    <x v="32"/>
    <x v="5"/>
    <x v="5"/>
    <x v="35"/>
    <x v="1"/>
    <x v="1"/>
    <x v="0"/>
    <x v="0"/>
    <x v="33"/>
    <x v="33"/>
    <x v="0"/>
    <x v="1"/>
    <x v="0"/>
    <x v="0"/>
    <x v="0"/>
    <x v="0"/>
    <x v="31"/>
    <x v="35"/>
  </r>
  <r>
    <x v="36"/>
    <x v="36"/>
    <x v="36"/>
    <x v="0"/>
    <x v="36"/>
    <x v="36"/>
    <x v="12"/>
    <x v="36"/>
    <x v="36"/>
    <x v="5"/>
    <x v="0"/>
    <x v="0"/>
    <x v="36"/>
    <x v="0"/>
    <x v="26"/>
    <x v="0"/>
    <x v="17"/>
    <x v="17"/>
    <x v="17"/>
    <x v="17"/>
    <x v="0"/>
    <x v="0"/>
    <x v="5"/>
    <x v="12"/>
    <x v="0"/>
    <x v="0"/>
    <x v="0"/>
    <x v="1"/>
    <x v="9"/>
    <x v="0"/>
    <x v="7"/>
    <x v="0"/>
    <x v="1"/>
    <x v="0"/>
    <x v="0"/>
    <x v="36"/>
    <x v="36"/>
    <x v="32"/>
    <x v="33"/>
    <x v="2"/>
    <x v="3"/>
    <x v="36"/>
    <x v="31"/>
    <x v="30"/>
    <x v="0"/>
    <x v="2"/>
    <x v="34"/>
    <x v="34"/>
    <x v="0"/>
    <x v="14"/>
    <x v="0"/>
    <x v="0"/>
    <x v="0"/>
    <x v="0"/>
    <x v="2"/>
    <x v="36"/>
  </r>
  <r>
    <x v="37"/>
    <x v="37"/>
    <x v="37"/>
    <x v="0"/>
    <x v="37"/>
    <x v="37"/>
    <x v="0"/>
    <x v="37"/>
    <x v="37"/>
    <x v="3"/>
    <x v="0"/>
    <x v="0"/>
    <x v="37"/>
    <x v="0"/>
    <x v="28"/>
    <x v="0"/>
    <x v="18"/>
    <x v="18"/>
    <x v="18"/>
    <x v="18"/>
    <x v="3"/>
    <x v="0"/>
    <x v="12"/>
    <x v="13"/>
    <x v="0"/>
    <x v="0"/>
    <x v="0"/>
    <x v="0"/>
    <x v="0"/>
    <x v="6"/>
    <x v="14"/>
    <x v="5"/>
    <x v="0"/>
    <x v="0"/>
    <x v="0"/>
    <x v="37"/>
    <x v="37"/>
    <x v="33"/>
    <x v="34"/>
    <x v="23"/>
    <x v="0"/>
    <x v="37"/>
    <x v="32"/>
    <x v="31"/>
    <x v="0"/>
    <x v="5"/>
    <x v="35"/>
    <x v="35"/>
    <x v="0"/>
    <x v="4"/>
    <x v="1"/>
    <x v="0"/>
    <x v="0"/>
    <x v="0"/>
    <x v="32"/>
    <x v="37"/>
  </r>
  <r>
    <x v="38"/>
    <x v="38"/>
    <x v="38"/>
    <x v="0"/>
    <x v="38"/>
    <x v="38"/>
    <x v="8"/>
    <x v="38"/>
    <x v="38"/>
    <x v="4"/>
    <x v="0"/>
    <x v="0"/>
    <x v="38"/>
    <x v="0"/>
    <x v="29"/>
    <x v="0"/>
    <x v="12"/>
    <x v="12"/>
    <x v="12"/>
    <x v="12"/>
    <x v="0"/>
    <x v="0"/>
    <x v="5"/>
    <x v="6"/>
    <x v="4"/>
    <x v="0"/>
    <x v="1"/>
    <x v="0"/>
    <x v="3"/>
    <x v="0"/>
    <x v="13"/>
    <x v="0"/>
    <x v="0"/>
    <x v="0"/>
    <x v="0"/>
    <x v="38"/>
    <x v="38"/>
    <x v="34"/>
    <x v="35"/>
    <x v="24"/>
    <x v="2"/>
    <x v="38"/>
    <x v="33"/>
    <x v="25"/>
    <x v="2"/>
    <x v="1"/>
    <x v="36"/>
    <x v="36"/>
    <x v="0"/>
    <x v="9"/>
    <x v="1"/>
    <x v="0"/>
    <x v="0"/>
    <x v="0"/>
    <x v="33"/>
    <x v="38"/>
  </r>
  <r>
    <x v="39"/>
    <x v="39"/>
    <x v="39"/>
    <x v="0"/>
    <x v="39"/>
    <x v="39"/>
    <x v="21"/>
    <x v="39"/>
    <x v="39"/>
    <x v="3"/>
    <x v="0"/>
    <x v="0"/>
    <x v="39"/>
    <x v="0"/>
    <x v="30"/>
    <x v="0"/>
    <x v="14"/>
    <x v="14"/>
    <x v="14"/>
    <x v="14"/>
    <x v="0"/>
    <x v="0"/>
    <x v="3"/>
    <x v="14"/>
    <x v="0"/>
    <x v="0"/>
    <x v="1"/>
    <x v="0"/>
    <x v="3"/>
    <x v="0"/>
    <x v="13"/>
    <x v="3"/>
    <x v="1"/>
    <x v="5"/>
    <x v="0"/>
    <x v="39"/>
    <x v="39"/>
    <x v="35"/>
    <x v="36"/>
    <x v="25"/>
    <x v="5"/>
    <x v="39"/>
    <x v="29"/>
    <x v="32"/>
    <x v="0"/>
    <x v="0"/>
    <x v="37"/>
    <x v="37"/>
    <x v="0"/>
    <x v="1"/>
    <x v="7"/>
    <x v="2"/>
    <x v="5"/>
    <x v="0"/>
    <x v="34"/>
    <x v="39"/>
  </r>
  <r>
    <x v="40"/>
    <x v="40"/>
    <x v="40"/>
    <x v="0"/>
    <x v="40"/>
    <x v="40"/>
    <x v="1"/>
    <x v="40"/>
    <x v="40"/>
    <x v="0"/>
    <x v="0"/>
    <x v="0"/>
    <x v="40"/>
    <x v="0"/>
    <x v="31"/>
    <x v="0"/>
    <x v="10"/>
    <x v="10"/>
    <x v="10"/>
    <x v="10"/>
    <x v="2"/>
    <x v="1"/>
    <x v="4"/>
    <x v="7"/>
    <x v="1"/>
    <x v="1"/>
    <x v="0"/>
    <x v="1"/>
    <x v="10"/>
    <x v="4"/>
    <x v="9"/>
    <x v="5"/>
    <x v="0"/>
    <x v="0"/>
    <x v="0"/>
    <x v="40"/>
    <x v="40"/>
    <x v="12"/>
    <x v="37"/>
    <x v="26"/>
    <x v="2"/>
    <x v="40"/>
    <x v="34"/>
    <x v="33"/>
    <x v="1"/>
    <x v="2"/>
    <x v="38"/>
    <x v="38"/>
    <x v="0"/>
    <x v="1"/>
    <x v="0"/>
    <x v="0"/>
    <x v="0"/>
    <x v="0"/>
    <x v="35"/>
    <x v="17"/>
  </r>
  <r>
    <x v="41"/>
    <x v="41"/>
    <x v="41"/>
    <x v="0"/>
    <x v="41"/>
    <x v="41"/>
    <x v="22"/>
    <x v="41"/>
    <x v="41"/>
    <x v="3"/>
    <x v="0"/>
    <x v="0"/>
    <x v="41"/>
    <x v="0"/>
    <x v="32"/>
    <x v="3"/>
    <x v="17"/>
    <x v="17"/>
    <x v="17"/>
    <x v="17"/>
    <x v="0"/>
    <x v="0"/>
    <x v="4"/>
    <x v="3"/>
    <x v="0"/>
    <x v="0"/>
    <x v="0"/>
    <x v="0"/>
    <x v="0"/>
    <x v="0"/>
    <x v="16"/>
    <x v="1"/>
    <x v="0"/>
    <x v="0"/>
    <x v="0"/>
    <x v="41"/>
    <x v="41"/>
    <x v="30"/>
    <x v="38"/>
    <x v="13"/>
    <x v="1"/>
    <x v="41"/>
    <x v="35"/>
    <x v="34"/>
    <x v="0"/>
    <x v="1"/>
    <x v="39"/>
    <x v="39"/>
    <x v="0"/>
    <x v="12"/>
    <x v="8"/>
    <x v="0"/>
    <x v="6"/>
    <x v="0"/>
    <x v="25"/>
    <x v="40"/>
  </r>
  <r>
    <x v="42"/>
    <x v="42"/>
    <x v="42"/>
    <x v="0"/>
    <x v="42"/>
    <x v="42"/>
    <x v="23"/>
    <x v="42"/>
    <x v="42"/>
    <x v="0"/>
    <x v="2"/>
    <x v="0"/>
    <x v="42"/>
    <x v="6"/>
    <x v="33"/>
    <x v="3"/>
    <x v="7"/>
    <x v="7"/>
    <x v="7"/>
    <x v="7"/>
    <x v="2"/>
    <x v="1"/>
    <x v="11"/>
    <x v="7"/>
    <x v="1"/>
    <x v="1"/>
    <x v="0"/>
    <x v="0"/>
    <x v="6"/>
    <x v="5"/>
    <x v="1"/>
    <x v="4"/>
    <x v="1"/>
    <x v="0"/>
    <x v="0"/>
    <x v="42"/>
    <x v="42"/>
    <x v="1"/>
    <x v="39"/>
    <x v="27"/>
    <x v="4"/>
    <x v="42"/>
    <x v="36"/>
    <x v="35"/>
    <x v="0"/>
    <x v="0"/>
    <x v="40"/>
    <x v="40"/>
    <x v="0"/>
    <x v="3"/>
    <x v="9"/>
    <x v="0"/>
    <x v="7"/>
    <x v="0"/>
    <x v="36"/>
    <x v="41"/>
  </r>
  <r>
    <x v="43"/>
    <x v="43"/>
    <x v="43"/>
    <x v="0"/>
    <x v="43"/>
    <x v="43"/>
    <x v="1"/>
    <x v="43"/>
    <x v="43"/>
    <x v="1"/>
    <x v="0"/>
    <x v="0"/>
    <x v="43"/>
    <x v="7"/>
    <x v="34"/>
    <x v="3"/>
    <x v="19"/>
    <x v="19"/>
    <x v="19"/>
    <x v="19"/>
    <x v="2"/>
    <x v="1"/>
    <x v="4"/>
    <x v="7"/>
    <x v="1"/>
    <x v="1"/>
    <x v="0"/>
    <x v="0"/>
    <x v="6"/>
    <x v="5"/>
    <x v="7"/>
    <x v="0"/>
    <x v="1"/>
    <x v="0"/>
    <x v="0"/>
    <x v="43"/>
    <x v="43"/>
    <x v="36"/>
    <x v="40"/>
    <x v="28"/>
    <x v="3"/>
    <x v="43"/>
    <x v="37"/>
    <x v="36"/>
    <x v="0"/>
    <x v="0"/>
    <x v="41"/>
    <x v="41"/>
    <x v="0"/>
    <x v="3"/>
    <x v="1"/>
    <x v="0"/>
    <x v="0"/>
    <x v="0"/>
    <x v="37"/>
    <x v="42"/>
  </r>
  <r>
    <x v="44"/>
    <x v="44"/>
    <x v="44"/>
    <x v="0"/>
    <x v="44"/>
    <x v="44"/>
    <x v="15"/>
    <x v="44"/>
    <x v="44"/>
    <x v="3"/>
    <x v="0"/>
    <x v="0"/>
    <x v="44"/>
    <x v="0"/>
    <x v="35"/>
    <x v="0"/>
    <x v="17"/>
    <x v="17"/>
    <x v="17"/>
    <x v="17"/>
    <x v="0"/>
    <x v="0"/>
    <x v="6"/>
    <x v="3"/>
    <x v="0"/>
    <x v="0"/>
    <x v="0"/>
    <x v="0"/>
    <x v="0"/>
    <x v="0"/>
    <x v="11"/>
    <x v="0"/>
    <x v="0"/>
    <x v="0"/>
    <x v="0"/>
    <x v="44"/>
    <x v="44"/>
    <x v="18"/>
    <x v="41"/>
    <x v="4"/>
    <x v="1"/>
    <x v="44"/>
    <x v="38"/>
    <x v="37"/>
    <x v="0"/>
    <x v="1"/>
    <x v="42"/>
    <x v="42"/>
    <x v="0"/>
    <x v="1"/>
    <x v="1"/>
    <x v="0"/>
    <x v="0"/>
    <x v="0"/>
    <x v="38"/>
    <x v="43"/>
  </r>
  <r>
    <x v="45"/>
    <x v="45"/>
    <x v="45"/>
    <x v="0"/>
    <x v="45"/>
    <x v="45"/>
    <x v="5"/>
    <x v="45"/>
    <x v="45"/>
    <x v="4"/>
    <x v="0"/>
    <x v="0"/>
    <x v="45"/>
    <x v="0"/>
    <x v="36"/>
    <x v="0"/>
    <x v="5"/>
    <x v="5"/>
    <x v="5"/>
    <x v="5"/>
    <x v="0"/>
    <x v="0"/>
    <x v="8"/>
    <x v="7"/>
    <x v="0"/>
    <x v="0"/>
    <x v="0"/>
    <x v="1"/>
    <x v="7"/>
    <x v="3"/>
    <x v="2"/>
    <x v="2"/>
    <x v="1"/>
    <x v="0"/>
    <x v="0"/>
    <x v="45"/>
    <x v="45"/>
    <x v="37"/>
    <x v="42"/>
    <x v="4"/>
    <x v="3"/>
    <x v="45"/>
    <x v="39"/>
    <x v="38"/>
    <x v="0"/>
    <x v="2"/>
    <x v="43"/>
    <x v="43"/>
    <x v="0"/>
    <x v="5"/>
    <x v="1"/>
    <x v="0"/>
    <x v="0"/>
    <x v="0"/>
    <x v="39"/>
    <x v="44"/>
  </r>
  <r>
    <x v="46"/>
    <x v="46"/>
    <x v="46"/>
    <x v="0"/>
    <x v="46"/>
    <x v="46"/>
    <x v="24"/>
    <x v="46"/>
    <x v="46"/>
    <x v="3"/>
    <x v="0"/>
    <x v="0"/>
    <x v="46"/>
    <x v="0"/>
    <x v="37"/>
    <x v="0"/>
    <x v="20"/>
    <x v="20"/>
    <x v="20"/>
    <x v="20"/>
    <x v="0"/>
    <x v="0"/>
    <x v="12"/>
    <x v="1"/>
    <x v="1"/>
    <x v="1"/>
    <x v="0"/>
    <x v="0"/>
    <x v="0"/>
    <x v="3"/>
    <x v="11"/>
    <x v="3"/>
    <x v="0"/>
    <x v="0"/>
    <x v="0"/>
    <x v="46"/>
    <x v="46"/>
    <x v="38"/>
    <x v="43"/>
    <x v="22"/>
    <x v="0"/>
    <x v="46"/>
    <x v="40"/>
    <x v="39"/>
    <x v="0"/>
    <x v="2"/>
    <x v="44"/>
    <x v="44"/>
    <x v="0"/>
    <x v="1"/>
    <x v="1"/>
    <x v="0"/>
    <x v="0"/>
    <x v="0"/>
    <x v="1"/>
    <x v="45"/>
  </r>
  <r>
    <x v="47"/>
    <x v="47"/>
    <x v="47"/>
    <x v="0"/>
    <x v="47"/>
    <x v="47"/>
    <x v="0"/>
    <x v="47"/>
    <x v="47"/>
    <x v="3"/>
    <x v="0"/>
    <x v="0"/>
    <x v="47"/>
    <x v="0"/>
    <x v="28"/>
    <x v="3"/>
    <x v="21"/>
    <x v="21"/>
    <x v="21"/>
    <x v="21"/>
    <x v="2"/>
    <x v="0"/>
    <x v="10"/>
    <x v="7"/>
    <x v="2"/>
    <x v="1"/>
    <x v="0"/>
    <x v="0"/>
    <x v="6"/>
    <x v="5"/>
    <x v="3"/>
    <x v="1"/>
    <x v="0"/>
    <x v="2"/>
    <x v="0"/>
    <x v="47"/>
    <x v="47"/>
    <x v="39"/>
    <x v="44"/>
    <x v="29"/>
    <x v="2"/>
    <x v="47"/>
    <x v="41"/>
    <x v="40"/>
    <x v="0"/>
    <x v="1"/>
    <x v="45"/>
    <x v="45"/>
    <x v="0"/>
    <x v="15"/>
    <x v="1"/>
    <x v="0"/>
    <x v="0"/>
    <x v="0"/>
    <x v="40"/>
    <x v="46"/>
  </r>
  <r>
    <x v="48"/>
    <x v="48"/>
    <x v="48"/>
    <x v="2"/>
    <x v="48"/>
    <x v="48"/>
    <x v="25"/>
    <x v="48"/>
    <x v="48"/>
    <x v="3"/>
    <x v="0"/>
    <x v="0"/>
    <x v="48"/>
    <x v="0"/>
    <x v="38"/>
    <x v="5"/>
    <x v="22"/>
    <x v="22"/>
    <x v="22"/>
    <x v="22"/>
    <x v="0"/>
    <x v="0"/>
    <x v="6"/>
    <x v="11"/>
    <x v="0"/>
    <x v="0"/>
    <x v="0"/>
    <x v="0"/>
    <x v="0"/>
    <x v="3"/>
    <x v="16"/>
    <x v="1"/>
    <x v="0"/>
    <x v="0"/>
    <x v="0"/>
    <x v="48"/>
    <x v="48"/>
    <x v="40"/>
    <x v="45"/>
    <x v="5"/>
    <x v="1"/>
    <x v="48"/>
    <x v="42"/>
    <x v="41"/>
    <x v="0"/>
    <x v="1"/>
    <x v="46"/>
    <x v="46"/>
    <x v="2"/>
    <x v="5"/>
    <x v="10"/>
    <x v="3"/>
    <x v="8"/>
    <x v="1"/>
    <x v="41"/>
    <x v="47"/>
  </r>
  <r>
    <x v="49"/>
    <x v="49"/>
    <x v="49"/>
    <x v="0"/>
    <x v="49"/>
    <x v="49"/>
    <x v="26"/>
    <x v="49"/>
    <x v="49"/>
    <x v="3"/>
    <x v="0"/>
    <x v="0"/>
    <x v="49"/>
    <x v="0"/>
    <x v="39"/>
    <x v="0"/>
    <x v="17"/>
    <x v="17"/>
    <x v="17"/>
    <x v="17"/>
    <x v="0"/>
    <x v="0"/>
    <x v="2"/>
    <x v="3"/>
    <x v="0"/>
    <x v="0"/>
    <x v="0"/>
    <x v="0"/>
    <x v="0"/>
    <x v="0"/>
    <x v="11"/>
    <x v="2"/>
    <x v="0"/>
    <x v="0"/>
    <x v="0"/>
    <x v="49"/>
    <x v="49"/>
    <x v="18"/>
    <x v="46"/>
    <x v="1"/>
    <x v="2"/>
    <x v="49"/>
    <x v="43"/>
    <x v="42"/>
    <x v="0"/>
    <x v="2"/>
    <x v="47"/>
    <x v="47"/>
    <x v="0"/>
    <x v="5"/>
    <x v="1"/>
    <x v="0"/>
    <x v="0"/>
    <x v="0"/>
    <x v="42"/>
    <x v="48"/>
  </r>
  <r>
    <x v="50"/>
    <x v="50"/>
    <x v="50"/>
    <x v="0"/>
    <x v="50"/>
    <x v="50"/>
    <x v="27"/>
    <x v="50"/>
    <x v="50"/>
    <x v="4"/>
    <x v="0"/>
    <x v="0"/>
    <x v="50"/>
    <x v="0"/>
    <x v="40"/>
    <x v="0"/>
    <x v="1"/>
    <x v="1"/>
    <x v="1"/>
    <x v="1"/>
    <x v="0"/>
    <x v="0"/>
    <x v="5"/>
    <x v="3"/>
    <x v="0"/>
    <x v="0"/>
    <x v="1"/>
    <x v="0"/>
    <x v="3"/>
    <x v="0"/>
    <x v="16"/>
    <x v="0"/>
    <x v="0"/>
    <x v="0"/>
    <x v="0"/>
    <x v="50"/>
    <x v="50"/>
    <x v="41"/>
    <x v="47"/>
    <x v="1"/>
    <x v="2"/>
    <x v="50"/>
    <x v="44"/>
    <x v="43"/>
    <x v="0"/>
    <x v="1"/>
    <x v="48"/>
    <x v="48"/>
    <x v="0"/>
    <x v="1"/>
    <x v="11"/>
    <x v="0"/>
    <x v="9"/>
    <x v="0"/>
    <x v="43"/>
    <x v="49"/>
  </r>
  <r>
    <x v="51"/>
    <x v="51"/>
    <x v="51"/>
    <x v="0"/>
    <x v="51"/>
    <x v="51"/>
    <x v="28"/>
    <x v="51"/>
    <x v="51"/>
    <x v="3"/>
    <x v="0"/>
    <x v="0"/>
    <x v="51"/>
    <x v="0"/>
    <x v="41"/>
    <x v="2"/>
    <x v="23"/>
    <x v="23"/>
    <x v="23"/>
    <x v="23"/>
    <x v="1"/>
    <x v="1"/>
    <x v="8"/>
    <x v="7"/>
    <x v="0"/>
    <x v="1"/>
    <x v="0"/>
    <x v="1"/>
    <x v="0"/>
    <x v="4"/>
    <x v="12"/>
    <x v="4"/>
    <x v="0"/>
    <x v="5"/>
    <x v="0"/>
    <x v="51"/>
    <x v="51"/>
    <x v="42"/>
    <x v="48"/>
    <x v="18"/>
    <x v="0"/>
    <x v="51"/>
    <x v="45"/>
    <x v="44"/>
    <x v="0"/>
    <x v="1"/>
    <x v="49"/>
    <x v="49"/>
    <x v="0"/>
    <x v="5"/>
    <x v="0"/>
    <x v="0"/>
    <x v="0"/>
    <x v="0"/>
    <x v="44"/>
    <x v="50"/>
  </r>
  <r>
    <x v="52"/>
    <x v="52"/>
    <x v="52"/>
    <x v="0"/>
    <x v="52"/>
    <x v="52"/>
    <x v="3"/>
    <x v="52"/>
    <x v="52"/>
    <x v="3"/>
    <x v="0"/>
    <x v="0"/>
    <x v="52"/>
    <x v="0"/>
    <x v="41"/>
    <x v="0"/>
    <x v="12"/>
    <x v="12"/>
    <x v="12"/>
    <x v="12"/>
    <x v="0"/>
    <x v="0"/>
    <x v="5"/>
    <x v="6"/>
    <x v="0"/>
    <x v="0"/>
    <x v="1"/>
    <x v="0"/>
    <x v="3"/>
    <x v="0"/>
    <x v="13"/>
    <x v="0"/>
    <x v="1"/>
    <x v="0"/>
    <x v="0"/>
    <x v="52"/>
    <x v="52"/>
    <x v="43"/>
    <x v="49"/>
    <x v="7"/>
    <x v="3"/>
    <x v="52"/>
    <x v="46"/>
    <x v="45"/>
    <x v="0"/>
    <x v="2"/>
    <x v="50"/>
    <x v="50"/>
    <x v="0"/>
    <x v="16"/>
    <x v="12"/>
    <x v="1"/>
    <x v="10"/>
    <x v="0"/>
    <x v="45"/>
    <x v="51"/>
  </r>
  <r>
    <x v="53"/>
    <x v="53"/>
    <x v="53"/>
    <x v="0"/>
    <x v="53"/>
    <x v="53"/>
    <x v="14"/>
    <x v="53"/>
    <x v="53"/>
    <x v="3"/>
    <x v="0"/>
    <x v="0"/>
    <x v="53"/>
    <x v="0"/>
    <x v="39"/>
    <x v="0"/>
    <x v="1"/>
    <x v="1"/>
    <x v="1"/>
    <x v="1"/>
    <x v="0"/>
    <x v="0"/>
    <x v="8"/>
    <x v="3"/>
    <x v="0"/>
    <x v="0"/>
    <x v="0"/>
    <x v="0"/>
    <x v="0"/>
    <x v="0"/>
    <x v="16"/>
    <x v="0"/>
    <x v="0"/>
    <x v="0"/>
    <x v="0"/>
    <x v="53"/>
    <x v="53"/>
    <x v="30"/>
    <x v="50"/>
    <x v="1"/>
    <x v="1"/>
    <x v="53"/>
    <x v="47"/>
    <x v="46"/>
    <x v="0"/>
    <x v="1"/>
    <x v="51"/>
    <x v="51"/>
    <x v="0"/>
    <x v="1"/>
    <x v="13"/>
    <x v="2"/>
    <x v="11"/>
    <x v="0"/>
    <x v="46"/>
    <x v="52"/>
  </r>
  <r>
    <x v="54"/>
    <x v="54"/>
    <x v="54"/>
    <x v="0"/>
    <x v="54"/>
    <x v="54"/>
    <x v="9"/>
    <x v="54"/>
    <x v="54"/>
    <x v="1"/>
    <x v="0"/>
    <x v="0"/>
    <x v="54"/>
    <x v="0"/>
    <x v="42"/>
    <x v="6"/>
    <x v="24"/>
    <x v="24"/>
    <x v="24"/>
    <x v="24"/>
    <x v="0"/>
    <x v="0"/>
    <x v="5"/>
    <x v="15"/>
    <x v="3"/>
    <x v="0"/>
    <x v="1"/>
    <x v="0"/>
    <x v="3"/>
    <x v="0"/>
    <x v="4"/>
    <x v="2"/>
    <x v="2"/>
    <x v="0"/>
    <x v="0"/>
    <x v="54"/>
    <x v="54"/>
    <x v="44"/>
    <x v="51"/>
    <x v="30"/>
    <x v="6"/>
    <x v="54"/>
    <x v="48"/>
    <x v="47"/>
    <x v="0"/>
    <x v="1"/>
    <x v="52"/>
    <x v="52"/>
    <x v="0"/>
    <x v="2"/>
    <x v="1"/>
    <x v="0"/>
    <x v="0"/>
    <x v="0"/>
    <x v="47"/>
    <x v="53"/>
  </r>
  <r>
    <x v="55"/>
    <x v="55"/>
    <x v="55"/>
    <x v="0"/>
    <x v="55"/>
    <x v="55"/>
    <x v="29"/>
    <x v="55"/>
    <x v="55"/>
    <x v="10"/>
    <x v="0"/>
    <x v="0"/>
    <x v="55"/>
    <x v="0"/>
    <x v="43"/>
    <x v="2"/>
    <x v="25"/>
    <x v="25"/>
    <x v="25"/>
    <x v="25"/>
    <x v="0"/>
    <x v="0"/>
    <x v="8"/>
    <x v="1"/>
    <x v="0"/>
    <x v="1"/>
    <x v="0"/>
    <x v="0"/>
    <x v="0"/>
    <x v="3"/>
    <x v="16"/>
    <x v="4"/>
    <x v="1"/>
    <x v="5"/>
    <x v="0"/>
    <x v="55"/>
    <x v="55"/>
    <x v="30"/>
    <x v="52"/>
    <x v="31"/>
    <x v="3"/>
    <x v="55"/>
    <x v="49"/>
    <x v="48"/>
    <x v="0"/>
    <x v="5"/>
    <x v="53"/>
    <x v="53"/>
    <x v="0"/>
    <x v="1"/>
    <x v="0"/>
    <x v="0"/>
    <x v="0"/>
    <x v="0"/>
    <x v="48"/>
    <x v="54"/>
  </r>
  <r>
    <x v="56"/>
    <x v="56"/>
    <x v="56"/>
    <x v="0"/>
    <x v="56"/>
    <x v="56"/>
    <x v="29"/>
    <x v="56"/>
    <x v="56"/>
    <x v="3"/>
    <x v="0"/>
    <x v="0"/>
    <x v="56"/>
    <x v="0"/>
    <x v="44"/>
    <x v="0"/>
    <x v="26"/>
    <x v="26"/>
    <x v="26"/>
    <x v="26"/>
    <x v="1"/>
    <x v="1"/>
    <x v="8"/>
    <x v="3"/>
    <x v="0"/>
    <x v="1"/>
    <x v="0"/>
    <x v="0"/>
    <x v="0"/>
    <x v="7"/>
    <x v="0"/>
    <x v="4"/>
    <x v="2"/>
    <x v="5"/>
    <x v="0"/>
    <x v="56"/>
    <x v="56"/>
    <x v="45"/>
    <x v="53"/>
    <x v="32"/>
    <x v="8"/>
    <x v="56"/>
    <x v="50"/>
    <x v="49"/>
    <x v="0"/>
    <x v="5"/>
    <x v="54"/>
    <x v="54"/>
    <x v="0"/>
    <x v="1"/>
    <x v="14"/>
    <x v="2"/>
    <x v="12"/>
    <x v="0"/>
    <x v="49"/>
    <x v="55"/>
  </r>
  <r>
    <x v="57"/>
    <x v="57"/>
    <x v="57"/>
    <x v="0"/>
    <x v="57"/>
    <x v="57"/>
    <x v="26"/>
    <x v="57"/>
    <x v="57"/>
    <x v="5"/>
    <x v="0"/>
    <x v="0"/>
    <x v="57"/>
    <x v="4"/>
    <x v="45"/>
    <x v="0"/>
    <x v="17"/>
    <x v="17"/>
    <x v="17"/>
    <x v="17"/>
    <x v="4"/>
    <x v="0"/>
    <x v="8"/>
    <x v="3"/>
    <x v="0"/>
    <x v="0"/>
    <x v="0"/>
    <x v="0"/>
    <x v="0"/>
    <x v="0"/>
    <x v="0"/>
    <x v="5"/>
    <x v="0"/>
    <x v="3"/>
    <x v="0"/>
    <x v="57"/>
    <x v="57"/>
    <x v="46"/>
    <x v="54"/>
    <x v="33"/>
    <x v="2"/>
    <x v="57"/>
    <x v="51"/>
    <x v="50"/>
    <x v="0"/>
    <x v="5"/>
    <x v="55"/>
    <x v="55"/>
    <x v="0"/>
    <x v="4"/>
    <x v="3"/>
    <x v="0"/>
    <x v="1"/>
    <x v="0"/>
    <x v="50"/>
    <x v="56"/>
  </r>
  <r>
    <x v="58"/>
    <x v="58"/>
    <x v="58"/>
    <x v="3"/>
    <x v="58"/>
    <x v="58"/>
    <x v="30"/>
    <x v="58"/>
    <x v="58"/>
    <x v="3"/>
    <x v="2"/>
    <x v="0"/>
    <x v="58"/>
    <x v="6"/>
    <x v="46"/>
    <x v="0"/>
    <x v="27"/>
    <x v="27"/>
    <x v="27"/>
    <x v="27"/>
    <x v="2"/>
    <x v="4"/>
    <x v="2"/>
    <x v="1"/>
    <x v="1"/>
    <x v="1"/>
    <x v="1"/>
    <x v="0"/>
    <x v="3"/>
    <x v="1"/>
    <x v="1"/>
    <x v="1"/>
    <x v="2"/>
    <x v="0"/>
    <x v="0"/>
    <x v="58"/>
    <x v="58"/>
    <x v="1"/>
    <x v="55"/>
    <x v="34"/>
    <x v="8"/>
    <x v="58"/>
    <x v="52"/>
    <x v="51"/>
    <x v="0"/>
    <x v="0"/>
    <x v="6"/>
    <x v="6"/>
    <x v="3"/>
    <x v="3"/>
    <x v="15"/>
    <x v="0"/>
    <x v="0"/>
    <x v="2"/>
    <x v="51"/>
    <x v="57"/>
  </r>
  <r>
    <x v="59"/>
    <x v="59"/>
    <x v="59"/>
    <x v="0"/>
    <x v="59"/>
    <x v="59"/>
    <x v="5"/>
    <x v="59"/>
    <x v="59"/>
    <x v="3"/>
    <x v="0"/>
    <x v="0"/>
    <x v="59"/>
    <x v="0"/>
    <x v="47"/>
    <x v="0"/>
    <x v="3"/>
    <x v="3"/>
    <x v="3"/>
    <x v="3"/>
    <x v="0"/>
    <x v="0"/>
    <x v="6"/>
    <x v="7"/>
    <x v="0"/>
    <x v="0"/>
    <x v="0"/>
    <x v="1"/>
    <x v="7"/>
    <x v="3"/>
    <x v="2"/>
    <x v="0"/>
    <x v="1"/>
    <x v="0"/>
    <x v="0"/>
    <x v="59"/>
    <x v="59"/>
    <x v="37"/>
    <x v="56"/>
    <x v="35"/>
    <x v="3"/>
    <x v="59"/>
    <x v="53"/>
    <x v="52"/>
    <x v="0"/>
    <x v="1"/>
    <x v="56"/>
    <x v="56"/>
    <x v="0"/>
    <x v="9"/>
    <x v="15"/>
    <x v="0"/>
    <x v="0"/>
    <x v="2"/>
    <x v="52"/>
    <x v="58"/>
  </r>
  <r>
    <x v="60"/>
    <x v="60"/>
    <x v="60"/>
    <x v="0"/>
    <x v="60"/>
    <x v="60"/>
    <x v="15"/>
    <x v="60"/>
    <x v="60"/>
    <x v="3"/>
    <x v="0"/>
    <x v="0"/>
    <x v="60"/>
    <x v="0"/>
    <x v="48"/>
    <x v="0"/>
    <x v="28"/>
    <x v="28"/>
    <x v="28"/>
    <x v="28"/>
    <x v="2"/>
    <x v="1"/>
    <x v="13"/>
    <x v="4"/>
    <x v="5"/>
    <x v="1"/>
    <x v="0"/>
    <x v="0"/>
    <x v="0"/>
    <x v="1"/>
    <x v="0"/>
    <x v="0"/>
    <x v="1"/>
    <x v="0"/>
    <x v="0"/>
    <x v="60"/>
    <x v="60"/>
    <x v="47"/>
    <x v="57"/>
    <x v="2"/>
    <x v="4"/>
    <x v="60"/>
    <x v="54"/>
    <x v="53"/>
    <x v="6"/>
    <x v="1"/>
    <x v="57"/>
    <x v="57"/>
    <x v="0"/>
    <x v="1"/>
    <x v="1"/>
    <x v="0"/>
    <x v="0"/>
    <x v="0"/>
    <x v="53"/>
    <x v="59"/>
  </r>
  <r>
    <x v="61"/>
    <x v="61"/>
    <x v="61"/>
    <x v="0"/>
    <x v="61"/>
    <x v="61"/>
    <x v="4"/>
    <x v="61"/>
    <x v="61"/>
    <x v="3"/>
    <x v="0"/>
    <x v="0"/>
    <x v="61"/>
    <x v="0"/>
    <x v="49"/>
    <x v="0"/>
    <x v="17"/>
    <x v="17"/>
    <x v="17"/>
    <x v="17"/>
    <x v="0"/>
    <x v="0"/>
    <x v="4"/>
    <x v="3"/>
    <x v="0"/>
    <x v="0"/>
    <x v="0"/>
    <x v="0"/>
    <x v="0"/>
    <x v="4"/>
    <x v="1"/>
    <x v="5"/>
    <x v="0"/>
    <x v="1"/>
    <x v="0"/>
    <x v="61"/>
    <x v="61"/>
    <x v="48"/>
    <x v="58"/>
    <x v="8"/>
    <x v="2"/>
    <x v="61"/>
    <x v="55"/>
    <x v="54"/>
    <x v="0"/>
    <x v="0"/>
    <x v="58"/>
    <x v="58"/>
    <x v="0"/>
    <x v="1"/>
    <x v="1"/>
    <x v="0"/>
    <x v="0"/>
    <x v="0"/>
    <x v="54"/>
    <x v="60"/>
  </r>
  <r>
    <x v="62"/>
    <x v="62"/>
    <x v="62"/>
    <x v="0"/>
    <x v="62"/>
    <x v="62"/>
    <x v="4"/>
    <x v="62"/>
    <x v="62"/>
    <x v="6"/>
    <x v="0"/>
    <x v="0"/>
    <x v="62"/>
    <x v="0"/>
    <x v="50"/>
    <x v="3"/>
    <x v="5"/>
    <x v="5"/>
    <x v="5"/>
    <x v="5"/>
    <x v="0"/>
    <x v="0"/>
    <x v="4"/>
    <x v="3"/>
    <x v="0"/>
    <x v="0"/>
    <x v="0"/>
    <x v="0"/>
    <x v="0"/>
    <x v="1"/>
    <x v="0"/>
    <x v="5"/>
    <x v="2"/>
    <x v="6"/>
    <x v="0"/>
    <x v="62"/>
    <x v="62"/>
    <x v="49"/>
    <x v="59"/>
    <x v="13"/>
    <x v="8"/>
    <x v="62"/>
    <x v="56"/>
    <x v="55"/>
    <x v="0"/>
    <x v="1"/>
    <x v="59"/>
    <x v="59"/>
    <x v="0"/>
    <x v="1"/>
    <x v="1"/>
    <x v="0"/>
    <x v="0"/>
    <x v="0"/>
    <x v="22"/>
    <x v="61"/>
  </r>
  <r>
    <x v="63"/>
    <x v="63"/>
    <x v="63"/>
    <x v="0"/>
    <x v="63"/>
    <x v="63"/>
    <x v="5"/>
    <x v="63"/>
    <x v="63"/>
    <x v="4"/>
    <x v="0"/>
    <x v="0"/>
    <x v="63"/>
    <x v="0"/>
    <x v="42"/>
    <x v="0"/>
    <x v="29"/>
    <x v="29"/>
    <x v="29"/>
    <x v="29"/>
    <x v="2"/>
    <x v="1"/>
    <x v="11"/>
    <x v="1"/>
    <x v="0"/>
    <x v="1"/>
    <x v="0"/>
    <x v="1"/>
    <x v="7"/>
    <x v="1"/>
    <x v="12"/>
    <x v="2"/>
    <x v="1"/>
    <x v="0"/>
    <x v="0"/>
    <x v="63"/>
    <x v="63"/>
    <x v="50"/>
    <x v="60"/>
    <x v="9"/>
    <x v="4"/>
    <x v="63"/>
    <x v="57"/>
    <x v="56"/>
    <x v="0"/>
    <x v="1"/>
    <x v="60"/>
    <x v="60"/>
    <x v="0"/>
    <x v="1"/>
    <x v="1"/>
    <x v="0"/>
    <x v="0"/>
    <x v="0"/>
    <x v="55"/>
    <x v="62"/>
  </r>
  <r>
    <x v="64"/>
    <x v="64"/>
    <x v="64"/>
    <x v="0"/>
    <x v="64"/>
    <x v="64"/>
    <x v="8"/>
    <x v="64"/>
    <x v="64"/>
    <x v="4"/>
    <x v="0"/>
    <x v="0"/>
    <x v="64"/>
    <x v="0"/>
    <x v="51"/>
    <x v="0"/>
    <x v="30"/>
    <x v="30"/>
    <x v="30"/>
    <x v="30"/>
    <x v="0"/>
    <x v="2"/>
    <x v="6"/>
    <x v="3"/>
    <x v="0"/>
    <x v="0"/>
    <x v="0"/>
    <x v="0"/>
    <x v="0"/>
    <x v="0"/>
    <x v="17"/>
    <x v="1"/>
    <x v="1"/>
    <x v="0"/>
    <x v="0"/>
    <x v="64"/>
    <x v="64"/>
    <x v="51"/>
    <x v="61"/>
    <x v="2"/>
    <x v="3"/>
    <x v="64"/>
    <x v="58"/>
    <x v="57"/>
    <x v="0"/>
    <x v="0"/>
    <x v="61"/>
    <x v="61"/>
    <x v="0"/>
    <x v="9"/>
    <x v="0"/>
    <x v="0"/>
    <x v="0"/>
    <x v="0"/>
    <x v="56"/>
    <x v="63"/>
  </r>
  <r>
    <x v="65"/>
    <x v="65"/>
    <x v="65"/>
    <x v="0"/>
    <x v="65"/>
    <x v="65"/>
    <x v="8"/>
    <x v="65"/>
    <x v="65"/>
    <x v="3"/>
    <x v="0"/>
    <x v="0"/>
    <x v="65"/>
    <x v="0"/>
    <x v="30"/>
    <x v="0"/>
    <x v="31"/>
    <x v="31"/>
    <x v="31"/>
    <x v="31"/>
    <x v="0"/>
    <x v="0"/>
    <x v="6"/>
    <x v="14"/>
    <x v="1"/>
    <x v="1"/>
    <x v="0"/>
    <x v="0"/>
    <x v="0"/>
    <x v="7"/>
    <x v="1"/>
    <x v="4"/>
    <x v="0"/>
    <x v="1"/>
    <x v="0"/>
    <x v="65"/>
    <x v="65"/>
    <x v="1"/>
    <x v="62"/>
    <x v="1"/>
    <x v="2"/>
    <x v="65"/>
    <x v="59"/>
    <x v="51"/>
    <x v="0"/>
    <x v="1"/>
    <x v="62"/>
    <x v="62"/>
    <x v="0"/>
    <x v="1"/>
    <x v="1"/>
    <x v="0"/>
    <x v="0"/>
    <x v="0"/>
    <x v="57"/>
    <x v="64"/>
  </r>
  <r>
    <x v="66"/>
    <x v="66"/>
    <x v="66"/>
    <x v="0"/>
    <x v="66"/>
    <x v="66"/>
    <x v="0"/>
    <x v="66"/>
    <x v="66"/>
    <x v="5"/>
    <x v="0"/>
    <x v="0"/>
    <x v="66"/>
    <x v="0"/>
    <x v="52"/>
    <x v="2"/>
    <x v="9"/>
    <x v="9"/>
    <x v="9"/>
    <x v="9"/>
    <x v="2"/>
    <x v="1"/>
    <x v="6"/>
    <x v="7"/>
    <x v="1"/>
    <x v="1"/>
    <x v="0"/>
    <x v="0"/>
    <x v="1"/>
    <x v="8"/>
    <x v="10"/>
    <x v="0"/>
    <x v="1"/>
    <x v="0"/>
    <x v="0"/>
    <x v="66"/>
    <x v="66"/>
    <x v="52"/>
    <x v="63"/>
    <x v="22"/>
    <x v="3"/>
    <x v="66"/>
    <x v="60"/>
    <x v="58"/>
    <x v="0"/>
    <x v="0"/>
    <x v="63"/>
    <x v="63"/>
    <x v="0"/>
    <x v="1"/>
    <x v="16"/>
    <x v="0"/>
    <x v="13"/>
    <x v="0"/>
    <x v="58"/>
    <x v="65"/>
  </r>
  <r>
    <x v="67"/>
    <x v="67"/>
    <x v="67"/>
    <x v="0"/>
    <x v="67"/>
    <x v="67"/>
    <x v="17"/>
    <x v="67"/>
    <x v="67"/>
    <x v="3"/>
    <x v="0"/>
    <x v="0"/>
    <x v="67"/>
    <x v="0"/>
    <x v="43"/>
    <x v="7"/>
    <x v="32"/>
    <x v="32"/>
    <x v="32"/>
    <x v="32"/>
    <x v="0"/>
    <x v="0"/>
    <x v="5"/>
    <x v="16"/>
    <x v="6"/>
    <x v="1"/>
    <x v="1"/>
    <x v="0"/>
    <x v="3"/>
    <x v="1"/>
    <x v="8"/>
    <x v="0"/>
    <x v="1"/>
    <x v="0"/>
    <x v="0"/>
    <x v="67"/>
    <x v="67"/>
    <x v="53"/>
    <x v="64"/>
    <x v="36"/>
    <x v="5"/>
    <x v="67"/>
    <x v="61"/>
    <x v="58"/>
    <x v="0"/>
    <x v="1"/>
    <x v="64"/>
    <x v="64"/>
    <x v="0"/>
    <x v="1"/>
    <x v="1"/>
    <x v="0"/>
    <x v="0"/>
    <x v="0"/>
    <x v="59"/>
    <x v="66"/>
  </r>
  <r>
    <x v="68"/>
    <x v="68"/>
    <x v="68"/>
    <x v="0"/>
    <x v="68"/>
    <x v="68"/>
    <x v="9"/>
    <x v="68"/>
    <x v="68"/>
    <x v="4"/>
    <x v="0"/>
    <x v="0"/>
    <x v="68"/>
    <x v="0"/>
    <x v="53"/>
    <x v="0"/>
    <x v="24"/>
    <x v="24"/>
    <x v="24"/>
    <x v="24"/>
    <x v="0"/>
    <x v="0"/>
    <x v="5"/>
    <x v="6"/>
    <x v="3"/>
    <x v="0"/>
    <x v="1"/>
    <x v="0"/>
    <x v="3"/>
    <x v="0"/>
    <x v="4"/>
    <x v="5"/>
    <x v="1"/>
    <x v="0"/>
    <x v="0"/>
    <x v="68"/>
    <x v="68"/>
    <x v="54"/>
    <x v="65"/>
    <x v="37"/>
    <x v="5"/>
    <x v="68"/>
    <x v="62"/>
    <x v="59"/>
    <x v="0"/>
    <x v="2"/>
    <x v="65"/>
    <x v="65"/>
    <x v="0"/>
    <x v="13"/>
    <x v="1"/>
    <x v="0"/>
    <x v="0"/>
    <x v="0"/>
    <x v="60"/>
    <x v="67"/>
  </r>
  <r>
    <x v="69"/>
    <x v="69"/>
    <x v="69"/>
    <x v="0"/>
    <x v="69"/>
    <x v="69"/>
    <x v="31"/>
    <x v="69"/>
    <x v="69"/>
    <x v="11"/>
    <x v="0"/>
    <x v="0"/>
    <x v="69"/>
    <x v="0"/>
    <x v="54"/>
    <x v="3"/>
    <x v="26"/>
    <x v="26"/>
    <x v="26"/>
    <x v="26"/>
    <x v="2"/>
    <x v="1"/>
    <x v="4"/>
    <x v="3"/>
    <x v="1"/>
    <x v="1"/>
    <x v="0"/>
    <x v="0"/>
    <x v="0"/>
    <x v="1"/>
    <x v="9"/>
    <x v="4"/>
    <x v="1"/>
    <x v="0"/>
    <x v="0"/>
    <x v="69"/>
    <x v="69"/>
    <x v="12"/>
    <x v="66"/>
    <x v="1"/>
    <x v="4"/>
    <x v="69"/>
    <x v="63"/>
    <x v="60"/>
    <x v="0"/>
    <x v="0"/>
    <x v="66"/>
    <x v="66"/>
    <x v="0"/>
    <x v="15"/>
    <x v="0"/>
    <x v="0"/>
    <x v="0"/>
    <x v="0"/>
    <x v="61"/>
    <x v="68"/>
  </r>
  <r>
    <x v="70"/>
    <x v="70"/>
    <x v="70"/>
    <x v="0"/>
    <x v="70"/>
    <x v="70"/>
    <x v="32"/>
    <x v="70"/>
    <x v="70"/>
    <x v="3"/>
    <x v="0"/>
    <x v="0"/>
    <x v="70"/>
    <x v="0"/>
    <x v="52"/>
    <x v="2"/>
    <x v="2"/>
    <x v="2"/>
    <x v="2"/>
    <x v="2"/>
    <x v="0"/>
    <x v="0"/>
    <x v="8"/>
    <x v="3"/>
    <x v="0"/>
    <x v="0"/>
    <x v="0"/>
    <x v="0"/>
    <x v="0"/>
    <x v="3"/>
    <x v="7"/>
    <x v="5"/>
    <x v="1"/>
    <x v="0"/>
    <x v="0"/>
    <x v="70"/>
    <x v="70"/>
    <x v="36"/>
    <x v="67"/>
    <x v="9"/>
    <x v="3"/>
    <x v="70"/>
    <x v="1"/>
    <x v="61"/>
    <x v="0"/>
    <x v="1"/>
    <x v="67"/>
    <x v="67"/>
    <x v="0"/>
    <x v="3"/>
    <x v="9"/>
    <x v="0"/>
    <x v="7"/>
    <x v="0"/>
    <x v="62"/>
    <x v="69"/>
  </r>
  <r>
    <x v="71"/>
    <x v="71"/>
    <x v="71"/>
    <x v="0"/>
    <x v="71"/>
    <x v="71"/>
    <x v="26"/>
    <x v="71"/>
    <x v="71"/>
    <x v="5"/>
    <x v="0"/>
    <x v="0"/>
    <x v="71"/>
    <x v="4"/>
    <x v="55"/>
    <x v="0"/>
    <x v="17"/>
    <x v="17"/>
    <x v="17"/>
    <x v="17"/>
    <x v="0"/>
    <x v="0"/>
    <x v="8"/>
    <x v="16"/>
    <x v="0"/>
    <x v="0"/>
    <x v="0"/>
    <x v="0"/>
    <x v="0"/>
    <x v="0"/>
    <x v="2"/>
    <x v="0"/>
    <x v="0"/>
    <x v="0"/>
    <x v="0"/>
    <x v="71"/>
    <x v="71"/>
    <x v="37"/>
    <x v="68"/>
    <x v="1"/>
    <x v="2"/>
    <x v="71"/>
    <x v="64"/>
    <x v="35"/>
    <x v="0"/>
    <x v="0"/>
    <x v="68"/>
    <x v="68"/>
    <x v="0"/>
    <x v="17"/>
    <x v="17"/>
    <x v="1"/>
    <x v="14"/>
    <x v="0"/>
    <x v="63"/>
    <x v="70"/>
  </r>
  <r>
    <x v="72"/>
    <x v="72"/>
    <x v="72"/>
    <x v="0"/>
    <x v="72"/>
    <x v="72"/>
    <x v="33"/>
    <x v="72"/>
    <x v="72"/>
    <x v="11"/>
    <x v="0"/>
    <x v="0"/>
    <x v="72"/>
    <x v="0"/>
    <x v="56"/>
    <x v="0"/>
    <x v="33"/>
    <x v="33"/>
    <x v="33"/>
    <x v="33"/>
    <x v="2"/>
    <x v="1"/>
    <x v="8"/>
    <x v="3"/>
    <x v="0"/>
    <x v="1"/>
    <x v="0"/>
    <x v="0"/>
    <x v="6"/>
    <x v="1"/>
    <x v="11"/>
    <x v="4"/>
    <x v="2"/>
    <x v="5"/>
    <x v="0"/>
    <x v="72"/>
    <x v="72"/>
    <x v="18"/>
    <x v="69"/>
    <x v="38"/>
    <x v="8"/>
    <x v="72"/>
    <x v="65"/>
    <x v="62"/>
    <x v="0"/>
    <x v="5"/>
    <x v="69"/>
    <x v="69"/>
    <x v="0"/>
    <x v="1"/>
    <x v="18"/>
    <x v="0"/>
    <x v="15"/>
    <x v="0"/>
    <x v="64"/>
    <x v="71"/>
  </r>
  <r>
    <x v="73"/>
    <x v="73"/>
    <x v="73"/>
    <x v="0"/>
    <x v="73"/>
    <x v="73"/>
    <x v="3"/>
    <x v="73"/>
    <x v="73"/>
    <x v="3"/>
    <x v="0"/>
    <x v="0"/>
    <x v="73"/>
    <x v="0"/>
    <x v="57"/>
    <x v="4"/>
    <x v="3"/>
    <x v="3"/>
    <x v="3"/>
    <x v="3"/>
    <x v="0"/>
    <x v="0"/>
    <x v="5"/>
    <x v="3"/>
    <x v="0"/>
    <x v="0"/>
    <x v="1"/>
    <x v="0"/>
    <x v="3"/>
    <x v="0"/>
    <x v="5"/>
    <x v="0"/>
    <x v="0"/>
    <x v="0"/>
    <x v="0"/>
    <x v="73"/>
    <x v="73"/>
    <x v="55"/>
    <x v="70"/>
    <x v="1"/>
    <x v="2"/>
    <x v="73"/>
    <x v="66"/>
    <x v="63"/>
    <x v="0"/>
    <x v="0"/>
    <x v="70"/>
    <x v="70"/>
    <x v="0"/>
    <x v="5"/>
    <x v="1"/>
    <x v="0"/>
    <x v="0"/>
    <x v="0"/>
    <x v="65"/>
    <x v="72"/>
  </r>
  <r>
    <x v="74"/>
    <x v="74"/>
    <x v="74"/>
    <x v="0"/>
    <x v="74"/>
    <x v="74"/>
    <x v="1"/>
    <x v="74"/>
    <x v="74"/>
    <x v="7"/>
    <x v="0"/>
    <x v="0"/>
    <x v="74"/>
    <x v="0"/>
    <x v="58"/>
    <x v="0"/>
    <x v="1"/>
    <x v="1"/>
    <x v="1"/>
    <x v="1"/>
    <x v="0"/>
    <x v="0"/>
    <x v="10"/>
    <x v="3"/>
    <x v="0"/>
    <x v="0"/>
    <x v="0"/>
    <x v="1"/>
    <x v="7"/>
    <x v="3"/>
    <x v="11"/>
    <x v="4"/>
    <x v="4"/>
    <x v="6"/>
    <x v="0"/>
    <x v="74"/>
    <x v="74"/>
    <x v="18"/>
    <x v="71"/>
    <x v="39"/>
    <x v="9"/>
    <x v="62"/>
    <x v="67"/>
    <x v="64"/>
    <x v="0"/>
    <x v="2"/>
    <x v="71"/>
    <x v="71"/>
    <x v="0"/>
    <x v="1"/>
    <x v="1"/>
    <x v="0"/>
    <x v="0"/>
    <x v="0"/>
    <x v="66"/>
    <x v="73"/>
  </r>
  <r>
    <x v="75"/>
    <x v="75"/>
    <x v="75"/>
    <x v="0"/>
    <x v="75"/>
    <x v="75"/>
    <x v="14"/>
    <x v="75"/>
    <x v="75"/>
    <x v="3"/>
    <x v="0"/>
    <x v="0"/>
    <x v="75"/>
    <x v="0"/>
    <x v="59"/>
    <x v="0"/>
    <x v="34"/>
    <x v="34"/>
    <x v="34"/>
    <x v="34"/>
    <x v="2"/>
    <x v="4"/>
    <x v="6"/>
    <x v="3"/>
    <x v="0"/>
    <x v="1"/>
    <x v="0"/>
    <x v="0"/>
    <x v="0"/>
    <x v="3"/>
    <x v="11"/>
    <x v="0"/>
    <x v="1"/>
    <x v="0"/>
    <x v="0"/>
    <x v="75"/>
    <x v="75"/>
    <x v="18"/>
    <x v="72"/>
    <x v="22"/>
    <x v="3"/>
    <x v="74"/>
    <x v="68"/>
    <x v="19"/>
    <x v="0"/>
    <x v="0"/>
    <x v="72"/>
    <x v="72"/>
    <x v="0"/>
    <x v="4"/>
    <x v="0"/>
    <x v="0"/>
    <x v="0"/>
    <x v="0"/>
    <x v="67"/>
    <x v="74"/>
  </r>
  <r>
    <x v="76"/>
    <x v="76"/>
    <x v="76"/>
    <x v="0"/>
    <x v="76"/>
    <x v="76"/>
    <x v="34"/>
    <x v="76"/>
    <x v="76"/>
    <x v="4"/>
    <x v="0"/>
    <x v="0"/>
    <x v="76"/>
    <x v="0"/>
    <x v="60"/>
    <x v="2"/>
    <x v="35"/>
    <x v="35"/>
    <x v="35"/>
    <x v="35"/>
    <x v="2"/>
    <x v="1"/>
    <x v="14"/>
    <x v="7"/>
    <x v="1"/>
    <x v="1"/>
    <x v="0"/>
    <x v="0"/>
    <x v="1"/>
    <x v="1"/>
    <x v="3"/>
    <x v="6"/>
    <x v="3"/>
    <x v="4"/>
    <x v="0"/>
    <x v="76"/>
    <x v="76"/>
    <x v="56"/>
    <x v="73"/>
    <x v="16"/>
    <x v="10"/>
    <x v="75"/>
    <x v="69"/>
    <x v="65"/>
    <x v="0"/>
    <x v="4"/>
    <x v="73"/>
    <x v="73"/>
    <x v="0"/>
    <x v="5"/>
    <x v="19"/>
    <x v="3"/>
    <x v="16"/>
    <x v="0"/>
    <x v="68"/>
    <x v="75"/>
  </r>
  <r>
    <x v="77"/>
    <x v="77"/>
    <x v="77"/>
    <x v="0"/>
    <x v="77"/>
    <x v="77"/>
    <x v="26"/>
    <x v="77"/>
    <x v="77"/>
    <x v="3"/>
    <x v="0"/>
    <x v="0"/>
    <x v="77"/>
    <x v="4"/>
    <x v="61"/>
    <x v="2"/>
    <x v="3"/>
    <x v="3"/>
    <x v="3"/>
    <x v="3"/>
    <x v="3"/>
    <x v="0"/>
    <x v="4"/>
    <x v="0"/>
    <x v="2"/>
    <x v="1"/>
    <x v="0"/>
    <x v="0"/>
    <x v="1"/>
    <x v="1"/>
    <x v="2"/>
    <x v="5"/>
    <x v="1"/>
    <x v="0"/>
    <x v="0"/>
    <x v="77"/>
    <x v="77"/>
    <x v="57"/>
    <x v="74"/>
    <x v="29"/>
    <x v="3"/>
    <x v="76"/>
    <x v="70"/>
    <x v="29"/>
    <x v="0"/>
    <x v="1"/>
    <x v="35"/>
    <x v="35"/>
    <x v="0"/>
    <x v="1"/>
    <x v="3"/>
    <x v="0"/>
    <x v="1"/>
    <x v="0"/>
    <x v="69"/>
    <x v="76"/>
  </r>
  <r>
    <x v="78"/>
    <x v="78"/>
    <x v="78"/>
    <x v="0"/>
    <x v="78"/>
    <x v="78"/>
    <x v="8"/>
    <x v="78"/>
    <x v="78"/>
    <x v="1"/>
    <x v="0"/>
    <x v="0"/>
    <x v="78"/>
    <x v="0"/>
    <x v="62"/>
    <x v="3"/>
    <x v="23"/>
    <x v="23"/>
    <x v="23"/>
    <x v="23"/>
    <x v="2"/>
    <x v="1"/>
    <x v="2"/>
    <x v="7"/>
    <x v="1"/>
    <x v="1"/>
    <x v="1"/>
    <x v="0"/>
    <x v="3"/>
    <x v="1"/>
    <x v="15"/>
    <x v="2"/>
    <x v="1"/>
    <x v="0"/>
    <x v="0"/>
    <x v="78"/>
    <x v="78"/>
    <x v="58"/>
    <x v="75"/>
    <x v="6"/>
    <x v="5"/>
    <x v="77"/>
    <x v="71"/>
    <x v="66"/>
    <x v="0"/>
    <x v="0"/>
    <x v="74"/>
    <x v="74"/>
    <x v="0"/>
    <x v="4"/>
    <x v="1"/>
    <x v="0"/>
    <x v="0"/>
    <x v="0"/>
    <x v="70"/>
    <x v="77"/>
  </r>
  <r>
    <x v="79"/>
    <x v="79"/>
    <x v="79"/>
    <x v="0"/>
    <x v="79"/>
    <x v="79"/>
    <x v="35"/>
    <x v="79"/>
    <x v="79"/>
    <x v="3"/>
    <x v="0"/>
    <x v="0"/>
    <x v="79"/>
    <x v="0"/>
    <x v="63"/>
    <x v="0"/>
    <x v="17"/>
    <x v="17"/>
    <x v="17"/>
    <x v="17"/>
    <x v="0"/>
    <x v="0"/>
    <x v="3"/>
    <x v="7"/>
    <x v="0"/>
    <x v="0"/>
    <x v="0"/>
    <x v="0"/>
    <x v="0"/>
    <x v="0"/>
    <x v="0"/>
    <x v="1"/>
    <x v="0"/>
    <x v="1"/>
    <x v="0"/>
    <x v="79"/>
    <x v="79"/>
    <x v="4"/>
    <x v="76"/>
    <x v="3"/>
    <x v="2"/>
    <x v="78"/>
    <x v="72"/>
    <x v="67"/>
    <x v="0"/>
    <x v="1"/>
    <x v="75"/>
    <x v="75"/>
    <x v="0"/>
    <x v="5"/>
    <x v="20"/>
    <x v="2"/>
    <x v="17"/>
    <x v="0"/>
    <x v="48"/>
    <x v="78"/>
  </r>
  <r>
    <x v="80"/>
    <x v="80"/>
    <x v="80"/>
    <x v="0"/>
    <x v="80"/>
    <x v="80"/>
    <x v="6"/>
    <x v="80"/>
    <x v="80"/>
    <x v="4"/>
    <x v="0"/>
    <x v="0"/>
    <x v="80"/>
    <x v="0"/>
    <x v="64"/>
    <x v="0"/>
    <x v="9"/>
    <x v="9"/>
    <x v="9"/>
    <x v="9"/>
    <x v="2"/>
    <x v="1"/>
    <x v="8"/>
    <x v="7"/>
    <x v="1"/>
    <x v="1"/>
    <x v="0"/>
    <x v="0"/>
    <x v="1"/>
    <x v="1"/>
    <x v="9"/>
    <x v="4"/>
    <x v="0"/>
    <x v="6"/>
    <x v="0"/>
    <x v="80"/>
    <x v="80"/>
    <x v="12"/>
    <x v="77"/>
    <x v="40"/>
    <x v="2"/>
    <x v="79"/>
    <x v="73"/>
    <x v="68"/>
    <x v="0"/>
    <x v="5"/>
    <x v="76"/>
    <x v="76"/>
    <x v="0"/>
    <x v="1"/>
    <x v="21"/>
    <x v="2"/>
    <x v="18"/>
    <x v="0"/>
    <x v="71"/>
    <x v="79"/>
  </r>
  <r>
    <x v="81"/>
    <x v="81"/>
    <x v="81"/>
    <x v="0"/>
    <x v="81"/>
    <x v="81"/>
    <x v="36"/>
    <x v="81"/>
    <x v="81"/>
    <x v="4"/>
    <x v="0"/>
    <x v="0"/>
    <x v="81"/>
    <x v="0"/>
    <x v="63"/>
    <x v="0"/>
    <x v="36"/>
    <x v="36"/>
    <x v="36"/>
    <x v="36"/>
    <x v="0"/>
    <x v="0"/>
    <x v="5"/>
    <x v="3"/>
    <x v="0"/>
    <x v="0"/>
    <x v="1"/>
    <x v="0"/>
    <x v="3"/>
    <x v="0"/>
    <x v="8"/>
    <x v="0"/>
    <x v="0"/>
    <x v="0"/>
    <x v="0"/>
    <x v="81"/>
    <x v="81"/>
    <x v="59"/>
    <x v="78"/>
    <x v="13"/>
    <x v="1"/>
    <x v="80"/>
    <x v="74"/>
    <x v="69"/>
    <x v="0"/>
    <x v="0"/>
    <x v="77"/>
    <x v="77"/>
    <x v="0"/>
    <x v="5"/>
    <x v="1"/>
    <x v="0"/>
    <x v="0"/>
    <x v="0"/>
    <x v="72"/>
    <x v="80"/>
  </r>
  <r>
    <x v="82"/>
    <x v="82"/>
    <x v="82"/>
    <x v="0"/>
    <x v="82"/>
    <x v="82"/>
    <x v="26"/>
    <x v="82"/>
    <x v="82"/>
    <x v="4"/>
    <x v="0"/>
    <x v="0"/>
    <x v="82"/>
    <x v="4"/>
    <x v="65"/>
    <x v="1"/>
    <x v="2"/>
    <x v="2"/>
    <x v="2"/>
    <x v="2"/>
    <x v="0"/>
    <x v="0"/>
    <x v="8"/>
    <x v="3"/>
    <x v="0"/>
    <x v="1"/>
    <x v="0"/>
    <x v="0"/>
    <x v="0"/>
    <x v="0"/>
    <x v="1"/>
    <x v="5"/>
    <x v="1"/>
    <x v="0"/>
    <x v="0"/>
    <x v="82"/>
    <x v="82"/>
    <x v="60"/>
    <x v="79"/>
    <x v="41"/>
    <x v="3"/>
    <x v="81"/>
    <x v="1"/>
    <x v="70"/>
    <x v="7"/>
    <x v="0"/>
    <x v="78"/>
    <x v="78"/>
    <x v="0"/>
    <x v="1"/>
    <x v="3"/>
    <x v="0"/>
    <x v="1"/>
    <x v="0"/>
    <x v="73"/>
    <x v="81"/>
  </r>
  <r>
    <x v="83"/>
    <x v="83"/>
    <x v="83"/>
    <x v="0"/>
    <x v="83"/>
    <x v="83"/>
    <x v="15"/>
    <x v="83"/>
    <x v="83"/>
    <x v="4"/>
    <x v="0"/>
    <x v="0"/>
    <x v="83"/>
    <x v="0"/>
    <x v="53"/>
    <x v="0"/>
    <x v="15"/>
    <x v="15"/>
    <x v="15"/>
    <x v="15"/>
    <x v="0"/>
    <x v="0"/>
    <x v="6"/>
    <x v="11"/>
    <x v="0"/>
    <x v="0"/>
    <x v="1"/>
    <x v="0"/>
    <x v="0"/>
    <x v="0"/>
    <x v="8"/>
    <x v="0"/>
    <x v="0"/>
    <x v="0"/>
    <x v="0"/>
    <x v="83"/>
    <x v="83"/>
    <x v="61"/>
    <x v="80"/>
    <x v="31"/>
    <x v="2"/>
    <x v="82"/>
    <x v="75"/>
    <x v="71"/>
    <x v="0"/>
    <x v="1"/>
    <x v="79"/>
    <x v="79"/>
    <x v="0"/>
    <x v="1"/>
    <x v="1"/>
    <x v="0"/>
    <x v="0"/>
    <x v="0"/>
    <x v="74"/>
    <x v="82"/>
  </r>
  <r>
    <x v="84"/>
    <x v="84"/>
    <x v="84"/>
    <x v="0"/>
    <x v="84"/>
    <x v="84"/>
    <x v="26"/>
    <x v="84"/>
    <x v="84"/>
    <x v="4"/>
    <x v="0"/>
    <x v="0"/>
    <x v="84"/>
    <x v="4"/>
    <x v="66"/>
    <x v="0"/>
    <x v="37"/>
    <x v="37"/>
    <x v="37"/>
    <x v="37"/>
    <x v="2"/>
    <x v="1"/>
    <x v="6"/>
    <x v="1"/>
    <x v="1"/>
    <x v="1"/>
    <x v="1"/>
    <x v="0"/>
    <x v="3"/>
    <x v="1"/>
    <x v="15"/>
    <x v="2"/>
    <x v="2"/>
    <x v="0"/>
    <x v="0"/>
    <x v="84"/>
    <x v="84"/>
    <x v="62"/>
    <x v="81"/>
    <x v="33"/>
    <x v="8"/>
    <x v="83"/>
    <x v="76"/>
    <x v="51"/>
    <x v="0"/>
    <x v="2"/>
    <x v="80"/>
    <x v="80"/>
    <x v="0"/>
    <x v="1"/>
    <x v="0"/>
    <x v="0"/>
    <x v="0"/>
    <x v="0"/>
    <x v="75"/>
    <x v="83"/>
  </r>
  <r>
    <x v="85"/>
    <x v="85"/>
    <x v="85"/>
    <x v="0"/>
    <x v="85"/>
    <x v="85"/>
    <x v="37"/>
    <x v="85"/>
    <x v="85"/>
    <x v="4"/>
    <x v="0"/>
    <x v="0"/>
    <x v="85"/>
    <x v="0"/>
    <x v="67"/>
    <x v="2"/>
    <x v="3"/>
    <x v="3"/>
    <x v="3"/>
    <x v="3"/>
    <x v="2"/>
    <x v="0"/>
    <x v="0"/>
    <x v="9"/>
    <x v="2"/>
    <x v="0"/>
    <x v="0"/>
    <x v="0"/>
    <x v="0"/>
    <x v="3"/>
    <x v="8"/>
    <x v="0"/>
    <x v="0"/>
    <x v="3"/>
    <x v="0"/>
    <x v="85"/>
    <x v="85"/>
    <x v="25"/>
    <x v="82"/>
    <x v="22"/>
    <x v="1"/>
    <x v="84"/>
    <x v="2"/>
    <x v="72"/>
    <x v="0"/>
    <x v="0"/>
    <x v="81"/>
    <x v="81"/>
    <x v="0"/>
    <x v="1"/>
    <x v="9"/>
    <x v="0"/>
    <x v="7"/>
    <x v="0"/>
    <x v="76"/>
    <x v="84"/>
  </r>
  <r>
    <x v="86"/>
    <x v="86"/>
    <x v="86"/>
    <x v="0"/>
    <x v="86"/>
    <x v="86"/>
    <x v="38"/>
    <x v="86"/>
    <x v="86"/>
    <x v="3"/>
    <x v="3"/>
    <x v="0"/>
    <x v="86"/>
    <x v="8"/>
    <x v="9"/>
    <x v="0"/>
    <x v="38"/>
    <x v="38"/>
    <x v="38"/>
    <x v="38"/>
    <x v="2"/>
    <x v="1"/>
    <x v="12"/>
    <x v="7"/>
    <x v="2"/>
    <x v="1"/>
    <x v="0"/>
    <x v="0"/>
    <x v="0"/>
    <x v="4"/>
    <x v="3"/>
    <x v="4"/>
    <x v="1"/>
    <x v="0"/>
    <x v="0"/>
    <x v="86"/>
    <x v="86"/>
    <x v="63"/>
    <x v="83"/>
    <x v="11"/>
    <x v="3"/>
    <x v="85"/>
    <x v="65"/>
    <x v="73"/>
    <x v="0"/>
    <x v="3"/>
    <x v="82"/>
    <x v="82"/>
    <x v="0"/>
    <x v="6"/>
    <x v="22"/>
    <x v="0"/>
    <x v="19"/>
    <x v="0"/>
    <x v="77"/>
    <x v="85"/>
  </r>
  <r>
    <x v="87"/>
    <x v="87"/>
    <x v="87"/>
    <x v="0"/>
    <x v="87"/>
    <x v="87"/>
    <x v="39"/>
    <x v="87"/>
    <x v="87"/>
    <x v="1"/>
    <x v="0"/>
    <x v="0"/>
    <x v="87"/>
    <x v="9"/>
    <x v="68"/>
    <x v="0"/>
    <x v="27"/>
    <x v="27"/>
    <x v="27"/>
    <x v="27"/>
    <x v="2"/>
    <x v="4"/>
    <x v="10"/>
    <x v="3"/>
    <x v="1"/>
    <x v="1"/>
    <x v="0"/>
    <x v="1"/>
    <x v="7"/>
    <x v="1"/>
    <x v="17"/>
    <x v="0"/>
    <x v="1"/>
    <x v="0"/>
    <x v="0"/>
    <x v="87"/>
    <x v="87"/>
    <x v="64"/>
    <x v="84"/>
    <x v="41"/>
    <x v="4"/>
    <x v="86"/>
    <x v="1"/>
    <x v="1"/>
    <x v="0"/>
    <x v="2"/>
    <x v="83"/>
    <x v="83"/>
    <x v="0"/>
    <x v="18"/>
    <x v="23"/>
    <x v="3"/>
    <x v="20"/>
    <x v="0"/>
    <x v="78"/>
    <x v="86"/>
  </r>
  <r>
    <x v="88"/>
    <x v="88"/>
    <x v="88"/>
    <x v="0"/>
    <x v="88"/>
    <x v="88"/>
    <x v="40"/>
    <x v="88"/>
    <x v="88"/>
    <x v="5"/>
    <x v="0"/>
    <x v="0"/>
    <x v="88"/>
    <x v="0"/>
    <x v="69"/>
    <x v="8"/>
    <x v="4"/>
    <x v="4"/>
    <x v="4"/>
    <x v="4"/>
    <x v="0"/>
    <x v="0"/>
    <x v="5"/>
    <x v="16"/>
    <x v="3"/>
    <x v="0"/>
    <x v="1"/>
    <x v="0"/>
    <x v="3"/>
    <x v="0"/>
    <x v="18"/>
    <x v="2"/>
    <x v="5"/>
    <x v="6"/>
    <x v="0"/>
    <x v="88"/>
    <x v="88"/>
    <x v="65"/>
    <x v="85"/>
    <x v="42"/>
    <x v="11"/>
    <x v="87"/>
    <x v="77"/>
    <x v="74"/>
    <x v="8"/>
    <x v="3"/>
    <x v="25"/>
    <x v="25"/>
    <x v="0"/>
    <x v="1"/>
    <x v="24"/>
    <x v="0"/>
    <x v="0"/>
    <x v="0"/>
    <x v="41"/>
    <x v="87"/>
  </r>
  <r>
    <x v="89"/>
    <x v="89"/>
    <x v="89"/>
    <x v="0"/>
    <x v="89"/>
    <x v="89"/>
    <x v="41"/>
    <x v="89"/>
    <x v="89"/>
    <x v="4"/>
    <x v="0"/>
    <x v="0"/>
    <x v="89"/>
    <x v="10"/>
    <x v="70"/>
    <x v="0"/>
    <x v="9"/>
    <x v="9"/>
    <x v="9"/>
    <x v="9"/>
    <x v="2"/>
    <x v="4"/>
    <x v="2"/>
    <x v="1"/>
    <x v="0"/>
    <x v="1"/>
    <x v="1"/>
    <x v="0"/>
    <x v="3"/>
    <x v="1"/>
    <x v="11"/>
    <x v="4"/>
    <x v="4"/>
    <x v="5"/>
    <x v="0"/>
    <x v="89"/>
    <x v="89"/>
    <x v="66"/>
    <x v="86"/>
    <x v="33"/>
    <x v="12"/>
    <x v="88"/>
    <x v="78"/>
    <x v="75"/>
    <x v="0"/>
    <x v="4"/>
    <x v="84"/>
    <x v="84"/>
    <x v="0"/>
    <x v="1"/>
    <x v="1"/>
    <x v="0"/>
    <x v="0"/>
    <x v="0"/>
    <x v="44"/>
    <x v="88"/>
  </r>
  <r>
    <x v="90"/>
    <x v="90"/>
    <x v="90"/>
    <x v="0"/>
    <x v="90"/>
    <x v="90"/>
    <x v="22"/>
    <x v="90"/>
    <x v="90"/>
    <x v="3"/>
    <x v="0"/>
    <x v="0"/>
    <x v="90"/>
    <x v="0"/>
    <x v="71"/>
    <x v="3"/>
    <x v="39"/>
    <x v="39"/>
    <x v="39"/>
    <x v="39"/>
    <x v="2"/>
    <x v="4"/>
    <x v="8"/>
    <x v="1"/>
    <x v="0"/>
    <x v="1"/>
    <x v="0"/>
    <x v="0"/>
    <x v="0"/>
    <x v="1"/>
    <x v="16"/>
    <x v="2"/>
    <x v="1"/>
    <x v="0"/>
    <x v="0"/>
    <x v="90"/>
    <x v="90"/>
    <x v="30"/>
    <x v="87"/>
    <x v="2"/>
    <x v="3"/>
    <x v="89"/>
    <x v="79"/>
    <x v="37"/>
    <x v="0"/>
    <x v="2"/>
    <x v="85"/>
    <x v="85"/>
    <x v="0"/>
    <x v="1"/>
    <x v="8"/>
    <x v="0"/>
    <x v="6"/>
    <x v="0"/>
    <x v="79"/>
    <x v="89"/>
  </r>
  <r>
    <x v="91"/>
    <x v="91"/>
    <x v="91"/>
    <x v="0"/>
    <x v="91"/>
    <x v="91"/>
    <x v="22"/>
    <x v="91"/>
    <x v="91"/>
    <x v="3"/>
    <x v="0"/>
    <x v="0"/>
    <x v="91"/>
    <x v="0"/>
    <x v="59"/>
    <x v="0"/>
    <x v="27"/>
    <x v="27"/>
    <x v="27"/>
    <x v="27"/>
    <x v="2"/>
    <x v="1"/>
    <x v="8"/>
    <x v="0"/>
    <x v="1"/>
    <x v="1"/>
    <x v="0"/>
    <x v="0"/>
    <x v="6"/>
    <x v="1"/>
    <x v="0"/>
    <x v="2"/>
    <x v="1"/>
    <x v="0"/>
    <x v="0"/>
    <x v="91"/>
    <x v="91"/>
    <x v="4"/>
    <x v="88"/>
    <x v="6"/>
    <x v="4"/>
    <x v="90"/>
    <x v="80"/>
    <x v="76"/>
    <x v="0"/>
    <x v="2"/>
    <x v="86"/>
    <x v="86"/>
    <x v="0"/>
    <x v="1"/>
    <x v="8"/>
    <x v="0"/>
    <x v="6"/>
    <x v="0"/>
    <x v="80"/>
    <x v="90"/>
  </r>
  <r>
    <x v="92"/>
    <x v="92"/>
    <x v="92"/>
    <x v="0"/>
    <x v="92"/>
    <x v="92"/>
    <x v="42"/>
    <x v="92"/>
    <x v="92"/>
    <x v="3"/>
    <x v="0"/>
    <x v="0"/>
    <x v="92"/>
    <x v="0"/>
    <x v="72"/>
    <x v="8"/>
    <x v="22"/>
    <x v="22"/>
    <x v="22"/>
    <x v="22"/>
    <x v="0"/>
    <x v="0"/>
    <x v="6"/>
    <x v="1"/>
    <x v="0"/>
    <x v="0"/>
    <x v="0"/>
    <x v="0"/>
    <x v="0"/>
    <x v="0"/>
    <x v="2"/>
    <x v="1"/>
    <x v="1"/>
    <x v="1"/>
    <x v="0"/>
    <x v="92"/>
    <x v="92"/>
    <x v="67"/>
    <x v="89"/>
    <x v="8"/>
    <x v="3"/>
    <x v="91"/>
    <x v="81"/>
    <x v="68"/>
    <x v="0"/>
    <x v="0"/>
    <x v="87"/>
    <x v="87"/>
    <x v="0"/>
    <x v="1"/>
    <x v="25"/>
    <x v="0"/>
    <x v="21"/>
    <x v="0"/>
    <x v="81"/>
    <x v="91"/>
  </r>
  <r>
    <x v="93"/>
    <x v="93"/>
    <x v="93"/>
    <x v="0"/>
    <x v="93"/>
    <x v="93"/>
    <x v="43"/>
    <x v="93"/>
    <x v="93"/>
    <x v="3"/>
    <x v="0"/>
    <x v="0"/>
    <x v="93"/>
    <x v="0"/>
    <x v="73"/>
    <x v="0"/>
    <x v="40"/>
    <x v="40"/>
    <x v="40"/>
    <x v="40"/>
    <x v="0"/>
    <x v="0"/>
    <x v="11"/>
    <x v="11"/>
    <x v="0"/>
    <x v="0"/>
    <x v="0"/>
    <x v="0"/>
    <x v="0"/>
    <x v="0"/>
    <x v="13"/>
    <x v="1"/>
    <x v="0"/>
    <x v="0"/>
    <x v="0"/>
    <x v="93"/>
    <x v="93"/>
    <x v="68"/>
    <x v="90"/>
    <x v="43"/>
    <x v="2"/>
    <x v="92"/>
    <x v="82"/>
    <x v="77"/>
    <x v="0"/>
    <x v="0"/>
    <x v="88"/>
    <x v="88"/>
    <x v="0"/>
    <x v="1"/>
    <x v="1"/>
    <x v="0"/>
    <x v="0"/>
    <x v="0"/>
    <x v="82"/>
    <x v="92"/>
  </r>
  <r>
    <x v="94"/>
    <x v="94"/>
    <x v="94"/>
    <x v="0"/>
    <x v="94"/>
    <x v="94"/>
    <x v="44"/>
    <x v="94"/>
    <x v="94"/>
    <x v="11"/>
    <x v="0"/>
    <x v="0"/>
    <x v="94"/>
    <x v="0"/>
    <x v="74"/>
    <x v="0"/>
    <x v="17"/>
    <x v="17"/>
    <x v="17"/>
    <x v="17"/>
    <x v="0"/>
    <x v="0"/>
    <x v="7"/>
    <x v="3"/>
    <x v="0"/>
    <x v="0"/>
    <x v="0"/>
    <x v="0"/>
    <x v="0"/>
    <x v="0"/>
    <x v="8"/>
    <x v="4"/>
    <x v="2"/>
    <x v="5"/>
    <x v="0"/>
    <x v="94"/>
    <x v="94"/>
    <x v="69"/>
    <x v="91"/>
    <x v="29"/>
    <x v="8"/>
    <x v="93"/>
    <x v="83"/>
    <x v="78"/>
    <x v="0"/>
    <x v="1"/>
    <x v="89"/>
    <x v="89"/>
    <x v="0"/>
    <x v="1"/>
    <x v="26"/>
    <x v="2"/>
    <x v="22"/>
    <x v="0"/>
    <x v="83"/>
    <x v="93"/>
  </r>
  <r>
    <x v="95"/>
    <x v="95"/>
    <x v="95"/>
    <x v="0"/>
    <x v="95"/>
    <x v="95"/>
    <x v="8"/>
    <x v="95"/>
    <x v="95"/>
    <x v="1"/>
    <x v="0"/>
    <x v="0"/>
    <x v="95"/>
    <x v="0"/>
    <x v="75"/>
    <x v="3"/>
    <x v="41"/>
    <x v="41"/>
    <x v="41"/>
    <x v="41"/>
    <x v="2"/>
    <x v="1"/>
    <x v="1"/>
    <x v="7"/>
    <x v="1"/>
    <x v="1"/>
    <x v="0"/>
    <x v="0"/>
    <x v="0"/>
    <x v="1"/>
    <x v="9"/>
    <x v="2"/>
    <x v="1"/>
    <x v="0"/>
    <x v="0"/>
    <x v="95"/>
    <x v="95"/>
    <x v="12"/>
    <x v="92"/>
    <x v="11"/>
    <x v="3"/>
    <x v="94"/>
    <x v="84"/>
    <x v="79"/>
    <x v="0"/>
    <x v="2"/>
    <x v="90"/>
    <x v="90"/>
    <x v="0"/>
    <x v="11"/>
    <x v="1"/>
    <x v="0"/>
    <x v="0"/>
    <x v="0"/>
    <x v="70"/>
    <x v="94"/>
  </r>
  <r>
    <x v="96"/>
    <x v="96"/>
    <x v="96"/>
    <x v="0"/>
    <x v="96"/>
    <x v="96"/>
    <x v="8"/>
    <x v="96"/>
    <x v="96"/>
    <x v="3"/>
    <x v="0"/>
    <x v="0"/>
    <x v="96"/>
    <x v="0"/>
    <x v="76"/>
    <x v="7"/>
    <x v="12"/>
    <x v="12"/>
    <x v="12"/>
    <x v="12"/>
    <x v="0"/>
    <x v="0"/>
    <x v="5"/>
    <x v="6"/>
    <x v="0"/>
    <x v="0"/>
    <x v="1"/>
    <x v="0"/>
    <x v="3"/>
    <x v="0"/>
    <x v="13"/>
    <x v="4"/>
    <x v="1"/>
    <x v="2"/>
    <x v="0"/>
    <x v="96"/>
    <x v="96"/>
    <x v="22"/>
    <x v="93"/>
    <x v="24"/>
    <x v="5"/>
    <x v="95"/>
    <x v="1"/>
    <x v="1"/>
    <x v="0"/>
    <x v="1"/>
    <x v="91"/>
    <x v="91"/>
    <x v="0"/>
    <x v="0"/>
    <x v="1"/>
    <x v="0"/>
    <x v="0"/>
    <x v="0"/>
    <x v="84"/>
    <x v="95"/>
  </r>
  <r>
    <x v="97"/>
    <x v="97"/>
    <x v="97"/>
    <x v="0"/>
    <x v="97"/>
    <x v="97"/>
    <x v="36"/>
    <x v="97"/>
    <x v="97"/>
    <x v="4"/>
    <x v="0"/>
    <x v="0"/>
    <x v="97"/>
    <x v="0"/>
    <x v="77"/>
    <x v="0"/>
    <x v="42"/>
    <x v="42"/>
    <x v="42"/>
    <x v="42"/>
    <x v="0"/>
    <x v="0"/>
    <x v="5"/>
    <x v="1"/>
    <x v="0"/>
    <x v="0"/>
    <x v="1"/>
    <x v="0"/>
    <x v="3"/>
    <x v="0"/>
    <x v="5"/>
    <x v="0"/>
    <x v="0"/>
    <x v="0"/>
    <x v="0"/>
    <x v="97"/>
    <x v="97"/>
    <x v="70"/>
    <x v="94"/>
    <x v="0"/>
    <x v="2"/>
    <x v="96"/>
    <x v="85"/>
    <x v="72"/>
    <x v="0"/>
    <x v="1"/>
    <x v="77"/>
    <x v="77"/>
    <x v="0"/>
    <x v="5"/>
    <x v="1"/>
    <x v="0"/>
    <x v="0"/>
    <x v="0"/>
    <x v="85"/>
    <x v="96"/>
  </r>
  <r>
    <x v="98"/>
    <x v="98"/>
    <x v="98"/>
    <x v="0"/>
    <x v="98"/>
    <x v="98"/>
    <x v="45"/>
    <x v="98"/>
    <x v="98"/>
    <x v="3"/>
    <x v="0"/>
    <x v="0"/>
    <x v="98"/>
    <x v="0"/>
    <x v="78"/>
    <x v="0"/>
    <x v="43"/>
    <x v="43"/>
    <x v="43"/>
    <x v="43"/>
    <x v="2"/>
    <x v="1"/>
    <x v="14"/>
    <x v="7"/>
    <x v="1"/>
    <x v="1"/>
    <x v="0"/>
    <x v="0"/>
    <x v="0"/>
    <x v="1"/>
    <x v="7"/>
    <x v="1"/>
    <x v="1"/>
    <x v="3"/>
    <x v="0"/>
    <x v="98"/>
    <x v="98"/>
    <x v="36"/>
    <x v="95"/>
    <x v="16"/>
    <x v="5"/>
    <x v="97"/>
    <x v="86"/>
    <x v="29"/>
    <x v="0"/>
    <x v="2"/>
    <x v="6"/>
    <x v="6"/>
    <x v="0"/>
    <x v="5"/>
    <x v="27"/>
    <x v="3"/>
    <x v="23"/>
    <x v="0"/>
    <x v="62"/>
    <x v="97"/>
  </r>
  <r>
    <x v="99"/>
    <x v="99"/>
    <x v="99"/>
    <x v="0"/>
    <x v="99"/>
    <x v="99"/>
    <x v="46"/>
    <x v="99"/>
    <x v="99"/>
    <x v="4"/>
    <x v="0"/>
    <x v="0"/>
    <x v="99"/>
    <x v="0"/>
    <x v="79"/>
    <x v="7"/>
    <x v="22"/>
    <x v="22"/>
    <x v="22"/>
    <x v="22"/>
    <x v="0"/>
    <x v="0"/>
    <x v="6"/>
    <x v="3"/>
    <x v="0"/>
    <x v="0"/>
    <x v="1"/>
    <x v="0"/>
    <x v="3"/>
    <x v="0"/>
    <x v="14"/>
    <x v="1"/>
    <x v="1"/>
    <x v="0"/>
    <x v="0"/>
    <x v="99"/>
    <x v="99"/>
    <x v="71"/>
    <x v="96"/>
    <x v="9"/>
    <x v="3"/>
    <x v="98"/>
    <x v="52"/>
    <x v="80"/>
    <x v="0"/>
    <x v="1"/>
    <x v="92"/>
    <x v="92"/>
    <x v="0"/>
    <x v="4"/>
    <x v="0"/>
    <x v="0"/>
    <x v="0"/>
    <x v="0"/>
    <x v="86"/>
    <x v="98"/>
  </r>
</pivotCacheRecords>
</file>

<file path=xl/pivotCache/pivotCacheRecords3.xml><?xml version="1.0" encoding="utf-8"?>
<pivotCacheRecords xmlns="http://schemas.openxmlformats.org/spreadsheetml/2006/main" xmlns:r="http://schemas.openxmlformats.org/officeDocument/2006/relationships" count="100">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1"/>
    <x v="0"/>
    <x v="1"/>
    <x v="1"/>
    <x v="1"/>
    <x v="1"/>
    <x v="1"/>
    <x v="1"/>
    <x v="0"/>
    <x v="0"/>
    <x v="1"/>
    <x v="0"/>
    <x v="1"/>
    <x v="1"/>
    <x v="1"/>
    <x v="1"/>
    <x v="1"/>
    <x v="1"/>
    <x v="0"/>
    <x v="0"/>
    <x v="1"/>
    <x v="1"/>
    <x v="1"/>
    <x v="0"/>
    <x v="0"/>
    <x v="0"/>
    <x v="0"/>
    <x v="0"/>
    <x v="1"/>
    <x v="1"/>
    <x v="0"/>
    <x v="0"/>
    <x v="0"/>
    <x v="1"/>
    <x v="1"/>
    <x v="1"/>
    <x v="1"/>
    <x v="1"/>
    <x v="1"/>
    <x v="1"/>
    <x v="1"/>
    <x v="1"/>
    <x v="0"/>
    <x v="0"/>
    <x v="1"/>
    <x v="1"/>
    <x v="0"/>
    <x v="1"/>
    <x v="1"/>
    <x v="0"/>
    <x v="0"/>
    <x v="0"/>
    <x v="1"/>
    <x v="1"/>
  </r>
  <r>
    <x v="2"/>
    <x v="2"/>
    <x v="2"/>
    <x v="0"/>
    <x v="2"/>
    <x v="2"/>
    <x v="2"/>
    <x v="2"/>
    <x v="2"/>
    <x v="1"/>
    <x v="0"/>
    <x v="0"/>
    <x v="2"/>
    <x v="0"/>
    <x v="2"/>
    <x v="2"/>
    <x v="2"/>
    <x v="2"/>
    <x v="2"/>
    <x v="2"/>
    <x v="1"/>
    <x v="1"/>
    <x v="2"/>
    <x v="2"/>
    <x v="0"/>
    <x v="1"/>
    <x v="0"/>
    <x v="0"/>
    <x v="0"/>
    <x v="1"/>
    <x v="2"/>
    <x v="0"/>
    <x v="0"/>
    <x v="0"/>
    <x v="0"/>
    <x v="2"/>
    <x v="2"/>
    <x v="2"/>
    <x v="2"/>
    <x v="2"/>
    <x v="2"/>
    <x v="2"/>
    <x v="2"/>
    <x v="2"/>
    <x v="0"/>
    <x v="1"/>
    <x v="2"/>
    <x v="2"/>
    <x v="0"/>
    <x v="1"/>
    <x v="1"/>
    <x v="0"/>
    <x v="0"/>
    <x v="0"/>
    <x v="2"/>
    <x v="2"/>
  </r>
  <r>
    <x v="3"/>
    <x v="3"/>
    <x v="3"/>
    <x v="0"/>
    <x v="3"/>
    <x v="3"/>
    <x v="2"/>
    <x v="3"/>
    <x v="3"/>
    <x v="1"/>
    <x v="0"/>
    <x v="0"/>
    <x v="3"/>
    <x v="1"/>
    <x v="3"/>
    <x v="0"/>
    <x v="3"/>
    <x v="3"/>
    <x v="3"/>
    <x v="3"/>
    <x v="0"/>
    <x v="0"/>
    <x v="3"/>
    <x v="3"/>
    <x v="1"/>
    <x v="0"/>
    <x v="0"/>
    <x v="0"/>
    <x v="1"/>
    <x v="2"/>
    <x v="2"/>
    <x v="1"/>
    <x v="0"/>
    <x v="0"/>
    <x v="0"/>
    <x v="3"/>
    <x v="3"/>
    <x v="2"/>
    <x v="3"/>
    <x v="3"/>
    <x v="1"/>
    <x v="3"/>
    <x v="3"/>
    <x v="3"/>
    <x v="0"/>
    <x v="1"/>
    <x v="3"/>
    <x v="3"/>
    <x v="0"/>
    <x v="2"/>
    <x v="1"/>
    <x v="0"/>
    <x v="0"/>
    <x v="0"/>
    <x v="3"/>
    <x v="3"/>
  </r>
  <r>
    <x v="4"/>
    <x v="4"/>
    <x v="4"/>
    <x v="0"/>
    <x v="4"/>
    <x v="4"/>
    <x v="1"/>
    <x v="4"/>
    <x v="4"/>
    <x v="2"/>
    <x v="1"/>
    <x v="0"/>
    <x v="4"/>
    <x v="2"/>
    <x v="4"/>
    <x v="0"/>
    <x v="1"/>
    <x v="1"/>
    <x v="1"/>
    <x v="1"/>
    <x v="0"/>
    <x v="0"/>
    <x v="4"/>
    <x v="3"/>
    <x v="0"/>
    <x v="1"/>
    <x v="0"/>
    <x v="0"/>
    <x v="0"/>
    <x v="3"/>
    <x v="2"/>
    <x v="2"/>
    <x v="0"/>
    <x v="0"/>
    <x v="0"/>
    <x v="4"/>
    <x v="4"/>
    <x v="3"/>
    <x v="4"/>
    <x v="4"/>
    <x v="1"/>
    <x v="4"/>
    <x v="1"/>
    <x v="1"/>
    <x v="0"/>
    <x v="0"/>
    <x v="4"/>
    <x v="4"/>
    <x v="0"/>
    <x v="3"/>
    <x v="1"/>
    <x v="0"/>
    <x v="0"/>
    <x v="0"/>
    <x v="4"/>
    <x v="4"/>
  </r>
  <r>
    <x v="5"/>
    <x v="5"/>
    <x v="5"/>
    <x v="0"/>
    <x v="5"/>
    <x v="5"/>
    <x v="2"/>
    <x v="5"/>
    <x v="5"/>
    <x v="2"/>
    <x v="0"/>
    <x v="0"/>
    <x v="5"/>
    <x v="3"/>
    <x v="5"/>
    <x v="3"/>
    <x v="0"/>
    <x v="0"/>
    <x v="0"/>
    <x v="0"/>
    <x v="0"/>
    <x v="0"/>
    <x v="3"/>
    <x v="4"/>
    <x v="0"/>
    <x v="0"/>
    <x v="0"/>
    <x v="1"/>
    <x v="2"/>
    <x v="3"/>
    <x v="0"/>
    <x v="2"/>
    <x v="0"/>
    <x v="0"/>
    <x v="0"/>
    <x v="5"/>
    <x v="5"/>
    <x v="4"/>
    <x v="5"/>
    <x v="5"/>
    <x v="1"/>
    <x v="5"/>
    <x v="4"/>
    <x v="4"/>
    <x v="0"/>
    <x v="1"/>
    <x v="5"/>
    <x v="5"/>
    <x v="0"/>
    <x v="4"/>
    <x v="1"/>
    <x v="0"/>
    <x v="0"/>
    <x v="0"/>
    <x v="5"/>
    <x v="5"/>
  </r>
  <r>
    <x v="6"/>
    <x v="6"/>
    <x v="6"/>
    <x v="0"/>
    <x v="6"/>
    <x v="6"/>
    <x v="0"/>
    <x v="6"/>
    <x v="6"/>
    <x v="1"/>
    <x v="0"/>
    <x v="0"/>
    <x v="6"/>
    <x v="0"/>
    <x v="6"/>
    <x v="0"/>
    <x v="2"/>
    <x v="2"/>
    <x v="2"/>
    <x v="2"/>
    <x v="0"/>
    <x v="2"/>
    <x v="3"/>
    <x v="5"/>
    <x v="1"/>
    <x v="0"/>
    <x v="0"/>
    <x v="0"/>
    <x v="1"/>
    <x v="3"/>
    <x v="3"/>
    <x v="1"/>
    <x v="0"/>
    <x v="0"/>
    <x v="0"/>
    <x v="6"/>
    <x v="6"/>
    <x v="5"/>
    <x v="6"/>
    <x v="6"/>
    <x v="0"/>
    <x v="6"/>
    <x v="5"/>
    <x v="5"/>
    <x v="0"/>
    <x v="0"/>
    <x v="6"/>
    <x v="6"/>
    <x v="0"/>
    <x v="0"/>
    <x v="1"/>
    <x v="0"/>
    <x v="0"/>
    <x v="0"/>
    <x v="6"/>
    <x v="6"/>
  </r>
  <r>
    <x v="7"/>
    <x v="7"/>
    <x v="7"/>
    <x v="0"/>
    <x v="7"/>
    <x v="7"/>
    <x v="3"/>
    <x v="7"/>
    <x v="7"/>
    <x v="3"/>
    <x v="0"/>
    <x v="0"/>
    <x v="7"/>
    <x v="0"/>
    <x v="7"/>
    <x v="0"/>
    <x v="4"/>
    <x v="4"/>
    <x v="4"/>
    <x v="4"/>
    <x v="0"/>
    <x v="0"/>
    <x v="5"/>
    <x v="6"/>
    <x v="0"/>
    <x v="0"/>
    <x v="1"/>
    <x v="0"/>
    <x v="3"/>
    <x v="0"/>
    <x v="4"/>
    <x v="0"/>
    <x v="1"/>
    <x v="0"/>
    <x v="0"/>
    <x v="7"/>
    <x v="7"/>
    <x v="6"/>
    <x v="7"/>
    <x v="7"/>
    <x v="3"/>
    <x v="7"/>
    <x v="6"/>
    <x v="6"/>
    <x v="0"/>
    <x v="1"/>
    <x v="7"/>
    <x v="7"/>
    <x v="0"/>
    <x v="5"/>
    <x v="1"/>
    <x v="0"/>
    <x v="0"/>
    <x v="0"/>
    <x v="7"/>
    <x v="7"/>
  </r>
  <r>
    <x v="8"/>
    <x v="8"/>
    <x v="8"/>
    <x v="0"/>
    <x v="8"/>
    <x v="8"/>
    <x v="4"/>
    <x v="8"/>
    <x v="8"/>
    <x v="3"/>
    <x v="0"/>
    <x v="0"/>
    <x v="8"/>
    <x v="0"/>
    <x v="8"/>
    <x v="0"/>
    <x v="3"/>
    <x v="3"/>
    <x v="3"/>
    <x v="3"/>
    <x v="0"/>
    <x v="0"/>
    <x v="4"/>
    <x v="1"/>
    <x v="0"/>
    <x v="0"/>
    <x v="0"/>
    <x v="0"/>
    <x v="0"/>
    <x v="0"/>
    <x v="5"/>
    <x v="3"/>
    <x v="0"/>
    <x v="1"/>
    <x v="0"/>
    <x v="8"/>
    <x v="8"/>
    <x v="7"/>
    <x v="8"/>
    <x v="8"/>
    <x v="2"/>
    <x v="8"/>
    <x v="7"/>
    <x v="7"/>
    <x v="0"/>
    <x v="0"/>
    <x v="8"/>
    <x v="8"/>
    <x v="0"/>
    <x v="6"/>
    <x v="1"/>
    <x v="0"/>
    <x v="0"/>
    <x v="0"/>
    <x v="8"/>
    <x v="8"/>
  </r>
  <r>
    <x v="9"/>
    <x v="9"/>
    <x v="9"/>
    <x v="0"/>
    <x v="9"/>
    <x v="9"/>
    <x v="0"/>
    <x v="9"/>
    <x v="9"/>
    <x v="1"/>
    <x v="0"/>
    <x v="0"/>
    <x v="9"/>
    <x v="0"/>
    <x v="9"/>
    <x v="0"/>
    <x v="5"/>
    <x v="5"/>
    <x v="5"/>
    <x v="5"/>
    <x v="0"/>
    <x v="2"/>
    <x v="3"/>
    <x v="5"/>
    <x v="1"/>
    <x v="0"/>
    <x v="0"/>
    <x v="0"/>
    <x v="4"/>
    <x v="3"/>
    <x v="6"/>
    <x v="2"/>
    <x v="0"/>
    <x v="0"/>
    <x v="0"/>
    <x v="9"/>
    <x v="9"/>
    <x v="8"/>
    <x v="9"/>
    <x v="9"/>
    <x v="0"/>
    <x v="9"/>
    <x v="8"/>
    <x v="8"/>
    <x v="0"/>
    <x v="1"/>
    <x v="9"/>
    <x v="9"/>
    <x v="0"/>
    <x v="7"/>
    <x v="1"/>
    <x v="0"/>
    <x v="0"/>
    <x v="0"/>
    <x v="9"/>
    <x v="9"/>
  </r>
  <r>
    <x v="10"/>
    <x v="10"/>
    <x v="10"/>
    <x v="0"/>
    <x v="10"/>
    <x v="10"/>
    <x v="5"/>
    <x v="10"/>
    <x v="10"/>
    <x v="4"/>
    <x v="0"/>
    <x v="0"/>
    <x v="10"/>
    <x v="0"/>
    <x v="10"/>
    <x v="0"/>
    <x v="6"/>
    <x v="6"/>
    <x v="6"/>
    <x v="6"/>
    <x v="0"/>
    <x v="0"/>
    <x v="2"/>
    <x v="7"/>
    <x v="0"/>
    <x v="0"/>
    <x v="0"/>
    <x v="0"/>
    <x v="0"/>
    <x v="0"/>
    <x v="0"/>
    <x v="0"/>
    <x v="1"/>
    <x v="0"/>
    <x v="0"/>
    <x v="10"/>
    <x v="10"/>
    <x v="9"/>
    <x v="10"/>
    <x v="4"/>
    <x v="3"/>
    <x v="10"/>
    <x v="9"/>
    <x v="9"/>
    <x v="0"/>
    <x v="2"/>
    <x v="10"/>
    <x v="10"/>
    <x v="0"/>
    <x v="2"/>
    <x v="1"/>
    <x v="0"/>
    <x v="0"/>
    <x v="0"/>
    <x v="10"/>
    <x v="10"/>
  </r>
  <r>
    <x v="11"/>
    <x v="11"/>
    <x v="11"/>
    <x v="0"/>
    <x v="11"/>
    <x v="11"/>
    <x v="0"/>
    <x v="11"/>
    <x v="11"/>
    <x v="5"/>
    <x v="0"/>
    <x v="0"/>
    <x v="11"/>
    <x v="0"/>
    <x v="9"/>
    <x v="2"/>
    <x v="7"/>
    <x v="7"/>
    <x v="7"/>
    <x v="7"/>
    <x v="2"/>
    <x v="0"/>
    <x v="6"/>
    <x v="8"/>
    <x v="1"/>
    <x v="1"/>
    <x v="0"/>
    <x v="0"/>
    <x v="4"/>
    <x v="3"/>
    <x v="7"/>
    <x v="0"/>
    <x v="0"/>
    <x v="0"/>
    <x v="0"/>
    <x v="11"/>
    <x v="11"/>
    <x v="10"/>
    <x v="11"/>
    <x v="2"/>
    <x v="2"/>
    <x v="11"/>
    <x v="10"/>
    <x v="10"/>
    <x v="0"/>
    <x v="0"/>
    <x v="11"/>
    <x v="11"/>
    <x v="0"/>
    <x v="8"/>
    <x v="2"/>
    <x v="0"/>
    <x v="0"/>
    <x v="0"/>
    <x v="11"/>
    <x v="11"/>
  </r>
  <r>
    <x v="12"/>
    <x v="12"/>
    <x v="12"/>
    <x v="1"/>
    <x v="12"/>
    <x v="12"/>
    <x v="6"/>
    <x v="12"/>
    <x v="12"/>
    <x v="3"/>
    <x v="0"/>
    <x v="0"/>
    <x v="12"/>
    <x v="0"/>
    <x v="11"/>
    <x v="4"/>
    <x v="0"/>
    <x v="0"/>
    <x v="0"/>
    <x v="0"/>
    <x v="0"/>
    <x v="0"/>
    <x v="1"/>
    <x v="0"/>
    <x v="1"/>
    <x v="0"/>
    <x v="0"/>
    <x v="0"/>
    <x v="4"/>
    <x v="0"/>
    <x v="8"/>
    <x v="4"/>
    <x v="1"/>
    <x v="2"/>
    <x v="0"/>
    <x v="12"/>
    <x v="12"/>
    <x v="11"/>
    <x v="12"/>
    <x v="10"/>
    <x v="4"/>
    <x v="12"/>
    <x v="11"/>
    <x v="11"/>
    <x v="0"/>
    <x v="1"/>
    <x v="12"/>
    <x v="12"/>
    <x v="1"/>
    <x v="5"/>
    <x v="3"/>
    <x v="0"/>
    <x v="0"/>
    <x v="1"/>
    <x v="5"/>
    <x v="12"/>
  </r>
  <r>
    <x v="13"/>
    <x v="13"/>
    <x v="13"/>
    <x v="0"/>
    <x v="13"/>
    <x v="13"/>
    <x v="0"/>
    <x v="13"/>
    <x v="13"/>
    <x v="6"/>
    <x v="0"/>
    <x v="0"/>
    <x v="13"/>
    <x v="0"/>
    <x v="10"/>
    <x v="1"/>
    <x v="8"/>
    <x v="8"/>
    <x v="8"/>
    <x v="8"/>
    <x v="0"/>
    <x v="0"/>
    <x v="2"/>
    <x v="8"/>
    <x v="1"/>
    <x v="0"/>
    <x v="0"/>
    <x v="0"/>
    <x v="4"/>
    <x v="0"/>
    <x v="9"/>
    <x v="0"/>
    <x v="0"/>
    <x v="0"/>
    <x v="0"/>
    <x v="13"/>
    <x v="13"/>
    <x v="12"/>
    <x v="13"/>
    <x v="3"/>
    <x v="1"/>
    <x v="13"/>
    <x v="12"/>
    <x v="12"/>
    <x v="0"/>
    <x v="0"/>
    <x v="13"/>
    <x v="13"/>
    <x v="0"/>
    <x v="9"/>
    <x v="2"/>
    <x v="0"/>
    <x v="0"/>
    <x v="0"/>
    <x v="12"/>
    <x v="13"/>
  </r>
  <r>
    <x v="14"/>
    <x v="14"/>
    <x v="14"/>
    <x v="0"/>
    <x v="14"/>
    <x v="14"/>
    <x v="1"/>
    <x v="14"/>
    <x v="14"/>
    <x v="7"/>
    <x v="0"/>
    <x v="0"/>
    <x v="14"/>
    <x v="0"/>
    <x v="12"/>
    <x v="0"/>
    <x v="2"/>
    <x v="2"/>
    <x v="2"/>
    <x v="2"/>
    <x v="0"/>
    <x v="1"/>
    <x v="7"/>
    <x v="7"/>
    <x v="1"/>
    <x v="1"/>
    <x v="0"/>
    <x v="1"/>
    <x v="2"/>
    <x v="4"/>
    <x v="2"/>
    <x v="4"/>
    <x v="0"/>
    <x v="0"/>
    <x v="0"/>
    <x v="14"/>
    <x v="14"/>
    <x v="13"/>
    <x v="2"/>
    <x v="2"/>
    <x v="1"/>
    <x v="14"/>
    <x v="1"/>
    <x v="13"/>
    <x v="0"/>
    <x v="2"/>
    <x v="14"/>
    <x v="14"/>
    <x v="0"/>
    <x v="1"/>
    <x v="1"/>
    <x v="0"/>
    <x v="0"/>
    <x v="0"/>
    <x v="13"/>
    <x v="14"/>
  </r>
  <r>
    <x v="15"/>
    <x v="15"/>
    <x v="15"/>
    <x v="0"/>
    <x v="15"/>
    <x v="15"/>
    <x v="2"/>
    <x v="15"/>
    <x v="15"/>
    <x v="4"/>
    <x v="0"/>
    <x v="0"/>
    <x v="15"/>
    <x v="0"/>
    <x v="13"/>
    <x v="2"/>
    <x v="3"/>
    <x v="3"/>
    <x v="3"/>
    <x v="3"/>
    <x v="0"/>
    <x v="0"/>
    <x v="3"/>
    <x v="3"/>
    <x v="1"/>
    <x v="1"/>
    <x v="0"/>
    <x v="0"/>
    <x v="4"/>
    <x v="3"/>
    <x v="10"/>
    <x v="1"/>
    <x v="1"/>
    <x v="0"/>
    <x v="0"/>
    <x v="15"/>
    <x v="15"/>
    <x v="14"/>
    <x v="14"/>
    <x v="3"/>
    <x v="3"/>
    <x v="15"/>
    <x v="13"/>
    <x v="14"/>
    <x v="0"/>
    <x v="1"/>
    <x v="3"/>
    <x v="3"/>
    <x v="0"/>
    <x v="4"/>
    <x v="1"/>
    <x v="0"/>
    <x v="0"/>
    <x v="0"/>
    <x v="14"/>
    <x v="15"/>
  </r>
  <r>
    <x v="16"/>
    <x v="16"/>
    <x v="16"/>
    <x v="0"/>
    <x v="16"/>
    <x v="16"/>
    <x v="7"/>
    <x v="16"/>
    <x v="16"/>
    <x v="2"/>
    <x v="0"/>
    <x v="0"/>
    <x v="16"/>
    <x v="4"/>
    <x v="14"/>
    <x v="3"/>
    <x v="9"/>
    <x v="9"/>
    <x v="9"/>
    <x v="9"/>
    <x v="2"/>
    <x v="3"/>
    <x v="8"/>
    <x v="7"/>
    <x v="2"/>
    <x v="1"/>
    <x v="0"/>
    <x v="0"/>
    <x v="1"/>
    <x v="5"/>
    <x v="3"/>
    <x v="1"/>
    <x v="0"/>
    <x v="0"/>
    <x v="0"/>
    <x v="16"/>
    <x v="16"/>
    <x v="15"/>
    <x v="15"/>
    <x v="11"/>
    <x v="2"/>
    <x v="16"/>
    <x v="14"/>
    <x v="15"/>
    <x v="0"/>
    <x v="0"/>
    <x v="15"/>
    <x v="15"/>
    <x v="0"/>
    <x v="10"/>
    <x v="4"/>
    <x v="0"/>
    <x v="1"/>
    <x v="0"/>
    <x v="15"/>
    <x v="16"/>
  </r>
  <r>
    <x v="17"/>
    <x v="17"/>
    <x v="17"/>
    <x v="0"/>
    <x v="17"/>
    <x v="17"/>
    <x v="1"/>
    <x v="17"/>
    <x v="17"/>
    <x v="7"/>
    <x v="0"/>
    <x v="0"/>
    <x v="17"/>
    <x v="5"/>
    <x v="15"/>
    <x v="3"/>
    <x v="10"/>
    <x v="10"/>
    <x v="10"/>
    <x v="10"/>
    <x v="0"/>
    <x v="1"/>
    <x v="4"/>
    <x v="7"/>
    <x v="1"/>
    <x v="1"/>
    <x v="0"/>
    <x v="1"/>
    <x v="5"/>
    <x v="5"/>
    <x v="10"/>
    <x v="5"/>
    <x v="1"/>
    <x v="0"/>
    <x v="0"/>
    <x v="17"/>
    <x v="17"/>
    <x v="16"/>
    <x v="16"/>
    <x v="12"/>
    <x v="3"/>
    <x v="17"/>
    <x v="1"/>
    <x v="1"/>
    <x v="1"/>
    <x v="2"/>
    <x v="16"/>
    <x v="16"/>
    <x v="0"/>
    <x v="1"/>
    <x v="1"/>
    <x v="0"/>
    <x v="0"/>
    <x v="0"/>
    <x v="16"/>
    <x v="17"/>
  </r>
  <r>
    <x v="18"/>
    <x v="18"/>
    <x v="18"/>
    <x v="0"/>
    <x v="18"/>
    <x v="18"/>
    <x v="8"/>
    <x v="18"/>
    <x v="18"/>
    <x v="4"/>
    <x v="0"/>
    <x v="0"/>
    <x v="18"/>
    <x v="0"/>
    <x v="16"/>
    <x v="3"/>
    <x v="5"/>
    <x v="5"/>
    <x v="5"/>
    <x v="5"/>
    <x v="0"/>
    <x v="0"/>
    <x v="0"/>
    <x v="3"/>
    <x v="0"/>
    <x v="1"/>
    <x v="0"/>
    <x v="0"/>
    <x v="0"/>
    <x v="3"/>
    <x v="1"/>
    <x v="2"/>
    <x v="0"/>
    <x v="0"/>
    <x v="0"/>
    <x v="18"/>
    <x v="18"/>
    <x v="1"/>
    <x v="17"/>
    <x v="13"/>
    <x v="2"/>
    <x v="18"/>
    <x v="15"/>
    <x v="16"/>
    <x v="0"/>
    <x v="0"/>
    <x v="17"/>
    <x v="17"/>
    <x v="0"/>
    <x v="3"/>
    <x v="1"/>
    <x v="0"/>
    <x v="0"/>
    <x v="0"/>
    <x v="17"/>
    <x v="18"/>
  </r>
  <r>
    <x v="19"/>
    <x v="19"/>
    <x v="19"/>
    <x v="0"/>
    <x v="19"/>
    <x v="19"/>
    <x v="9"/>
    <x v="19"/>
    <x v="19"/>
    <x v="1"/>
    <x v="0"/>
    <x v="0"/>
    <x v="19"/>
    <x v="0"/>
    <x v="17"/>
    <x v="0"/>
    <x v="11"/>
    <x v="11"/>
    <x v="11"/>
    <x v="11"/>
    <x v="0"/>
    <x v="0"/>
    <x v="3"/>
    <x v="6"/>
    <x v="3"/>
    <x v="0"/>
    <x v="1"/>
    <x v="0"/>
    <x v="1"/>
    <x v="0"/>
    <x v="4"/>
    <x v="0"/>
    <x v="1"/>
    <x v="0"/>
    <x v="0"/>
    <x v="19"/>
    <x v="19"/>
    <x v="17"/>
    <x v="18"/>
    <x v="14"/>
    <x v="3"/>
    <x v="19"/>
    <x v="16"/>
    <x v="17"/>
    <x v="0"/>
    <x v="1"/>
    <x v="18"/>
    <x v="18"/>
    <x v="0"/>
    <x v="2"/>
    <x v="1"/>
    <x v="0"/>
    <x v="0"/>
    <x v="0"/>
    <x v="18"/>
    <x v="19"/>
  </r>
  <r>
    <x v="20"/>
    <x v="20"/>
    <x v="20"/>
    <x v="0"/>
    <x v="20"/>
    <x v="20"/>
    <x v="8"/>
    <x v="20"/>
    <x v="20"/>
    <x v="4"/>
    <x v="0"/>
    <x v="0"/>
    <x v="20"/>
    <x v="0"/>
    <x v="16"/>
    <x v="0"/>
    <x v="2"/>
    <x v="2"/>
    <x v="2"/>
    <x v="2"/>
    <x v="0"/>
    <x v="4"/>
    <x v="9"/>
    <x v="3"/>
    <x v="3"/>
    <x v="0"/>
    <x v="0"/>
    <x v="0"/>
    <x v="0"/>
    <x v="4"/>
    <x v="11"/>
    <x v="2"/>
    <x v="1"/>
    <x v="0"/>
    <x v="0"/>
    <x v="20"/>
    <x v="20"/>
    <x v="18"/>
    <x v="19"/>
    <x v="15"/>
    <x v="5"/>
    <x v="20"/>
    <x v="17"/>
    <x v="18"/>
    <x v="2"/>
    <x v="0"/>
    <x v="17"/>
    <x v="17"/>
    <x v="0"/>
    <x v="9"/>
    <x v="1"/>
    <x v="0"/>
    <x v="0"/>
    <x v="0"/>
    <x v="19"/>
    <x v="20"/>
  </r>
  <r>
    <x v="21"/>
    <x v="21"/>
    <x v="21"/>
    <x v="0"/>
    <x v="21"/>
    <x v="21"/>
    <x v="0"/>
    <x v="21"/>
    <x v="21"/>
    <x v="4"/>
    <x v="0"/>
    <x v="0"/>
    <x v="21"/>
    <x v="0"/>
    <x v="18"/>
    <x v="2"/>
    <x v="5"/>
    <x v="5"/>
    <x v="5"/>
    <x v="5"/>
    <x v="3"/>
    <x v="0"/>
    <x v="4"/>
    <x v="9"/>
    <x v="0"/>
    <x v="0"/>
    <x v="0"/>
    <x v="0"/>
    <x v="1"/>
    <x v="6"/>
    <x v="3"/>
    <x v="0"/>
    <x v="0"/>
    <x v="0"/>
    <x v="0"/>
    <x v="21"/>
    <x v="21"/>
    <x v="19"/>
    <x v="20"/>
    <x v="16"/>
    <x v="0"/>
    <x v="21"/>
    <x v="18"/>
    <x v="15"/>
    <x v="0"/>
    <x v="1"/>
    <x v="19"/>
    <x v="19"/>
    <x v="0"/>
    <x v="11"/>
    <x v="1"/>
    <x v="0"/>
    <x v="0"/>
    <x v="0"/>
    <x v="20"/>
    <x v="21"/>
  </r>
  <r>
    <x v="22"/>
    <x v="22"/>
    <x v="22"/>
    <x v="0"/>
    <x v="22"/>
    <x v="22"/>
    <x v="10"/>
    <x v="22"/>
    <x v="22"/>
    <x v="4"/>
    <x v="0"/>
    <x v="0"/>
    <x v="22"/>
    <x v="0"/>
    <x v="19"/>
    <x v="0"/>
    <x v="9"/>
    <x v="9"/>
    <x v="9"/>
    <x v="9"/>
    <x v="2"/>
    <x v="1"/>
    <x v="3"/>
    <x v="10"/>
    <x v="1"/>
    <x v="0"/>
    <x v="0"/>
    <x v="0"/>
    <x v="1"/>
    <x v="5"/>
    <x v="3"/>
    <x v="3"/>
    <x v="1"/>
    <x v="3"/>
    <x v="0"/>
    <x v="22"/>
    <x v="22"/>
    <x v="20"/>
    <x v="21"/>
    <x v="17"/>
    <x v="5"/>
    <x v="22"/>
    <x v="19"/>
    <x v="19"/>
    <x v="3"/>
    <x v="3"/>
    <x v="20"/>
    <x v="20"/>
    <x v="0"/>
    <x v="4"/>
    <x v="2"/>
    <x v="0"/>
    <x v="0"/>
    <x v="0"/>
    <x v="21"/>
    <x v="22"/>
  </r>
  <r>
    <x v="23"/>
    <x v="23"/>
    <x v="23"/>
    <x v="0"/>
    <x v="23"/>
    <x v="23"/>
    <x v="11"/>
    <x v="23"/>
    <x v="23"/>
    <x v="3"/>
    <x v="0"/>
    <x v="0"/>
    <x v="23"/>
    <x v="0"/>
    <x v="20"/>
    <x v="3"/>
    <x v="9"/>
    <x v="9"/>
    <x v="9"/>
    <x v="9"/>
    <x v="2"/>
    <x v="1"/>
    <x v="4"/>
    <x v="1"/>
    <x v="1"/>
    <x v="1"/>
    <x v="0"/>
    <x v="0"/>
    <x v="6"/>
    <x v="5"/>
    <x v="12"/>
    <x v="0"/>
    <x v="1"/>
    <x v="0"/>
    <x v="0"/>
    <x v="23"/>
    <x v="23"/>
    <x v="21"/>
    <x v="22"/>
    <x v="18"/>
    <x v="3"/>
    <x v="23"/>
    <x v="20"/>
    <x v="20"/>
    <x v="4"/>
    <x v="1"/>
    <x v="21"/>
    <x v="21"/>
    <x v="0"/>
    <x v="9"/>
    <x v="5"/>
    <x v="1"/>
    <x v="2"/>
    <x v="0"/>
    <x v="22"/>
    <x v="23"/>
  </r>
  <r>
    <x v="24"/>
    <x v="24"/>
    <x v="24"/>
    <x v="0"/>
    <x v="24"/>
    <x v="24"/>
    <x v="8"/>
    <x v="24"/>
    <x v="24"/>
    <x v="2"/>
    <x v="0"/>
    <x v="0"/>
    <x v="24"/>
    <x v="0"/>
    <x v="18"/>
    <x v="0"/>
    <x v="12"/>
    <x v="12"/>
    <x v="12"/>
    <x v="12"/>
    <x v="0"/>
    <x v="0"/>
    <x v="5"/>
    <x v="6"/>
    <x v="0"/>
    <x v="0"/>
    <x v="1"/>
    <x v="0"/>
    <x v="3"/>
    <x v="0"/>
    <x v="4"/>
    <x v="0"/>
    <x v="0"/>
    <x v="0"/>
    <x v="0"/>
    <x v="24"/>
    <x v="24"/>
    <x v="6"/>
    <x v="23"/>
    <x v="19"/>
    <x v="2"/>
    <x v="24"/>
    <x v="21"/>
    <x v="21"/>
    <x v="0"/>
    <x v="1"/>
    <x v="22"/>
    <x v="22"/>
    <x v="0"/>
    <x v="3"/>
    <x v="1"/>
    <x v="0"/>
    <x v="0"/>
    <x v="0"/>
    <x v="23"/>
    <x v="24"/>
  </r>
  <r>
    <x v="25"/>
    <x v="25"/>
    <x v="25"/>
    <x v="0"/>
    <x v="25"/>
    <x v="25"/>
    <x v="1"/>
    <x v="25"/>
    <x v="25"/>
    <x v="4"/>
    <x v="0"/>
    <x v="0"/>
    <x v="25"/>
    <x v="0"/>
    <x v="20"/>
    <x v="1"/>
    <x v="11"/>
    <x v="11"/>
    <x v="11"/>
    <x v="11"/>
    <x v="0"/>
    <x v="0"/>
    <x v="0"/>
    <x v="10"/>
    <x v="0"/>
    <x v="0"/>
    <x v="0"/>
    <x v="0"/>
    <x v="0"/>
    <x v="0"/>
    <x v="13"/>
    <x v="6"/>
    <x v="0"/>
    <x v="0"/>
    <x v="0"/>
    <x v="25"/>
    <x v="25"/>
    <x v="22"/>
    <x v="24"/>
    <x v="20"/>
    <x v="1"/>
    <x v="25"/>
    <x v="1"/>
    <x v="1"/>
    <x v="0"/>
    <x v="0"/>
    <x v="23"/>
    <x v="23"/>
    <x v="0"/>
    <x v="1"/>
    <x v="1"/>
    <x v="0"/>
    <x v="0"/>
    <x v="0"/>
    <x v="24"/>
    <x v="25"/>
  </r>
  <r>
    <x v="26"/>
    <x v="26"/>
    <x v="26"/>
    <x v="0"/>
    <x v="26"/>
    <x v="26"/>
    <x v="12"/>
    <x v="26"/>
    <x v="26"/>
    <x v="3"/>
    <x v="0"/>
    <x v="0"/>
    <x v="26"/>
    <x v="0"/>
    <x v="21"/>
    <x v="0"/>
    <x v="13"/>
    <x v="13"/>
    <x v="13"/>
    <x v="13"/>
    <x v="0"/>
    <x v="0"/>
    <x v="10"/>
    <x v="11"/>
    <x v="0"/>
    <x v="0"/>
    <x v="0"/>
    <x v="1"/>
    <x v="7"/>
    <x v="0"/>
    <x v="9"/>
    <x v="1"/>
    <x v="0"/>
    <x v="0"/>
    <x v="0"/>
    <x v="26"/>
    <x v="26"/>
    <x v="23"/>
    <x v="5"/>
    <x v="5"/>
    <x v="2"/>
    <x v="26"/>
    <x v="22"/>
    <x v="22"/>
    <x v="0"/>
    <x v="1"/>
    <x v="24"/>
    <x v="24"/>
    <x v="0"/>
    <x v="4"/>
    <x v="1"/>
    <x v="0"/>
    <x v="0"/>
    <x v="0"/>
    <x v="25"/>
    <x v="26"/>
  </r>
  <r>
    <x v="27"/>
    <x v="27"/>
    <x v="27"/>
    <x v="0"/>
    <x v="27"/>
    <x v="27"/>
    <x v="13"/>
    <x v="27"/>
    <x v="27"/>
    <x v="3"/>
    <x v="0"/>
    <x v="0"/>
    <x v="27"/>
    <x v="0"/>
    <x v="22"/>
    <x v="3"/>
    <x v="9"/>
    <x v="9"/>
    <x v="9"/>
    <x v="9"/>
    <x v="2"/>
    <x v="5"/>
    <x v="8"/>
    <x v="3"/>
    <x v="2"/>
    <x v="1"/>
    <x v="0"/>
    <x v="0"/>
    <x v="6"/>
    <x v="5"/>
    <x v="14"/>
    <x v="2"/>
    <x v="1"/>
    <x v="0"/>
    <x v="0"/>
    <x v="27"/>
    <x v="27"/>
    <x v="24"/>
    <x v="25"/>
    <x v="21"/>
    <x v="4"/>
    <x v="27"/>
    <x v="23"/>
    <x v="15"/>
    <x v="0"/>
    <x v="2"/>
    <x v="25"/>
    <x v="25"/>
    <x v="0"/>
    <x v="12"/>
    <x v="6"/>
    <x v="1"/>
    <x v="3"/>
    <x v="0"/>
    <x v="26"/>
    <x v="27"/>
  </r>
  <r>
    <x v="28"/>
    <x v="28"/>
    <x v="28"/>
    <x v="0"/>
    <x v="28"/>
    <x v="28"/>
    <x v="14"/>
    <x v="28"/>
    <x v="28"/>
    <x v="2"/>
    <x v="0"/>
    <x v="0"/>
    <x v="28"/>
    <x v="0"/>
    <x v="23"/>
    <x v="0"/>
    <x v="14"/>
    <x v="14"/>
    <x v="14"/>
    <x v="14"/>
    <x v="0"/>
    <x v="0"/>
    <x v="5"/>
    <x v="1"/>
    <x v="0"/>
    <x v="0"/>
    <x v="0"/>
    <x v="0"/>
    <x v="8"/>
    <x v="0"/>
    <x v="8"/>
    <x v="0"/>
    <x v="0"/>
    <x v="0"/>
    <x v="0"/>
    <x v="28"/>
    <x v="28"/>
    <x v="25"/>
    <x v="26"/>
    <x v="5"/>
    <x v="1"/>
    <x v="28"/>
    <x v="24"/>
    <x v="23"/>
    <x v="0"/>
    <x v="1"/>
    <x v="26"/>
    <x v="26"/>
    <x v="0"/>
    <x v="1"/>
    <x v="7"/>
    <x v="0"/>
    <x v="4"/>
    <x v="0"/>
    <x v="27"/>
    <x v="28"/>
  </r>
  <r>
    <x v="29"/>
    <x v="29"/>
    <x v="29"/>
    <x v="0"/>
    <x v="29"/>
    <x v="29"/>
    <x v="15"/>
    <x v="29"/>
    <x v="29"/>
    <x v="4"/>
    <x v="0"/>
    <x v="0"/>
    <x v="29"/>
    <x v="0"/>
    <x v="21"/>
    <x v="0"/>
    <x v="1"/>
    <x v="1"/>
    <x v="1"/>
    <x v="1"/>
    <x v="0"/>
    <x v="0"/>
    <x v="6"/>
    <x v="3"/>
    <x v="0"/>
    <x v="0"/>
    <x v="0"/>
    <x v="0"/>
    <x v="0"/>
    <x v="0"/>
    <x v="8"/>
    <x v="0"/>
    <x v="0"/>
    <x v="0"/>
    <x v="0"/>
    <x v="29"/>
    <x v="29"/>
    <x v="26"/>
    <x v="27"/>
    <x v="4"/>
    <x v="2"/>
    <x v="29"/>
    <x v="25"/>
    <x v="24"/>
    <x v="5"/>
    <x v="1"/>
    <x v="27"/>
    <x v="27"/>
    <x v="0"/>
    <x v="5"/>
    <x v="1"/>
    <x v="0"/>
    <x v="0"/>
    <x v="0"/>
    <x v="28"/>
    <x v="29"/>
  </r>
  <r>
    <x v="30"/>
    <x v="30"/>
    <x v="30"/>
    <x v="0"/>
    <x v="30"/>
    <x v="30"/>
    <x v="3"/>
    <x v="30"/>
    <x v="30"/>
    <x v="3"/>
    <x v="0"/>
    <x v="0"/>
    <x v="30"/>
    <x v="0"/>
    <x v="24"/>
    <x v="4"/>
    <x v="4"/>
    <x v="4"/>
    <x v="4"/>
    <x v="4"/>
    <x v="0"/>
    <x v="0"/>
    <x v="5"/>
    <x v="6"/>
    <x v="0"/>
    <x v="0"/>
    <x v="0"/>
    <x v="0"/>
    <x v="0"/>
    <x v="0"/>
    <x v="8"/>
    <x v="5"/>
    <x v="0"/>
    <x v="0"/>
    <x v="0"/>
    <x v="30"/>
    <x v="30"/>
    <x v="27"/>
    <x v="28"/>
    <x v="7"/>
    <x v="2"/>
    <x v="30"/>
    <x v="26"/>
    <x v="25"/>
    <x v="0"/>
    <x v="1"/>
    <x v="28"/>
    <x v="28"/>
    <x v="0"/>
    <x v="5"/>
    <x v="1"/>
    <x v="0"/>
    <x v="0"/>
    <x v="0"/>
    <x v="29"/>
    <x v="30"/>
  </r>
  <r>
    <x v="31"/>
    <x v="31"/>
    <x v="31"/>
    <x v="0"/>
    <x v="31"/>
    <x v="31"/>
    <x v="16"/>
    <x v="31"/>
    <x v="31"/>
    <x v="3"/>
    <x v="0"/>
    <x v="0"/>
    <x v="31"/>
    <x v="0"/>
    <x v="21"/>
    <x v="3"/>
    <x v="7"/>
    <x v="7"/>
    <x v="7"/>
    <x v="7"/>
    <x v="1"/>
    <x v="1"/>
    <x v="0"/>
    <x v="1"/>
    <x v="1"/>
    <x v="1"/>
    <x v="1"/>
    <x v="0"/>
    <x v="3"/>
    <x v="4"/>
    <x v="8"/>
    <x v="2"/>
    <x v="2"/>
    <x v="0"/>
    <x v="0"/>
    <x v="31"/>
    <x v="31"/>
    <x v="25"/>
    <x v="26"/>
    <x v="5"/>
    <x v="6"/>
    <x v="31"/>
    <x v="27"/>
    <x v="26"/>
    <x v="0"/>
    <x v="0"/>
    <x v="29"/>
    <x v="29"/>
    <x v="0"/>
    <x v="1"/>
    <x v="1"/>
    <x v="0"/>
    <x v="0"/>
    <x v="0"/>
    <x v="30"/>
    <x v="31"/>
  </r>
  <r>
    <x v="32"/>
    <x v="32"/>
    <x v="32"/>
    <x v="0"/>
    <x v="32"/>
    <x v="32"/>
    <x v="17"/>
    <x v="32"/>
    <x v="32"/>
    <x v="8"/>
    <x v="0"/>
    <x v="0"/>
    <x v="32"/>
    <x v="0"/>
    <x v="24"/>
    <x v="0"/>
    <x v="15"/>
    <x v="15"/>
    <x v="15"/>
    <x v="15"/>
    <x v="0"/>
    <x v="0"/>
    <x v="6"/>
    <x v="11"/>
    <x v="3"/>
    <x v="0"/>
    <x v="0"/>
    <x v="0"/>
    <x v="8"/>
    <x v="0"/>
    <x v="5"/>
    <x v="6"/>
    <x v="3"/>
    <x v="4"/>
    <x v="0"/>
    <x v="32"/>
    <x v="32"/>
    <x v="28"/>
    <x v="29"/>
    <x v="5"/>
    <x v="7"/>
    <x v="32"/>
    <x v="28"/>
    <x v="27"/>
    <x v="0"/>
    <x v="4"/>
    <x v="30"/>
    <x v="30"/>
    <x v="0"/>
    <x v="1"/>
    <x v="1"/>
    <x v="0"/>
    <x v="0"/>
    <x v="0"/>
    <x v="5"/>
    <x v="32"/>
  </r>
  <r>
    <x v="33"/>
    <x v="33"/>
    <x v="33"/>
    <x v="0"/>
    <x v="33"/>
    <x v="33"/>
    <x v="18"/>
    <x v="33"/>
    <x v="33"/>
    <x v="2"/>
    <x v="0"/>
    <x v="0"/>
    <x v="33"/>
    <x v="0"/>
    <x v="25"/>
    <x v="3"/>
    <x v="16"/>
    <x v="16"/>
    <x v="16"/>
    <x v="16"/>
    <x v="1"/>
    <x v="1"/>
    <x v="3"/>
    <x v="7"/>
    <x v="1"/>
    <x v="1"/>
    <x v="1"/>
    <x v="0"/>
    <x v="3"/>
    <x v="5"/>
    <x v="15"/>
    <x v="0"/>
    <x v="0"/>
    <x v="0"/>
    <x v="0"/>
    <x v="33"/>
    <x v="33"/>
    <x v="29"/>
    <x v="30"/>
    <x v="15"/>
    <x v="2"/>
    <x v="33"/>
    <x v="29"/>
    <x v="28"/>
    <x v="0"/>
    <x v="0"/>
    <x v="31"/>
    <x v="31"/>
    <x v="0"/>
    <x v="13"/>
    <x v="1"/>
    <x v="0"/>
    <x v="0"/>
    <x v="0"/>
    <x v="7"/>
    <x v="33"/>
  </r>
  <r>
    <x v="34"/>
    <x v="34"/>
    <x v="34"/>
    <x v="0"/>
    <x v="34"/>
    <x v="34"/>
    <x v="19"/>
    <x v="34"/>
    <x v="34"/>
    <x v="9"/>
    <x v="0"/>
    <x v="0"/>
    <x v="34"/>
    <x v="0"/>
    <x v="26"/>
    <x v="3"/>
    <x v="7"/>
    <x v="7"/>
    <x v="7"/>
    <x v="7"/>
    <x v="1"/>
    <x v="1"/>
    <x v="11"/>
    <x v="1"/>
    <x v="0"/>
    <x v="1"/>
    <x v="1"/>
    <x v="0"/>
    <x v="3"/>
    <x v="5"/>
    <x v="16"/>
    <x v="5"/>
    <x v="1"/>
    <x v="0"/>
    <x v="0"/>
    <x v="34"/>
    <x v="34"/>
    <x v="30"/>
    <x v="31"/>
    <x v="22"/>
    <x v="5"/>
    <x v="34"/>
    <x v="30"/>
    <x v="29"/>
    <x v="0"/>
    <x v="0"/>
    <x v="32"/>
    <x v="32"/>
    <x v="0"/>
    <x v="5"/>
    <x v="2"/>
    <x v="0"/>
    <x v="0"/>
    <x v="0"/>
    <x v="1"/>
    <x v="34"/>
  </r>
  <r>
    <x v="35"/>
    <x v="35"/>
    <x v="35"/>
    <x v="0"/>
    <x v="35"/>
    <x v="35"/>
    <x v="20"/>
    <x v="35"/>
    <x v="35"/>
    <x v="4"/>
    <x v="0"/>
    <x v="0"/>
    <x v="35"/>
    <x v="0"/>
    <x v="27"/>
    <x v="0"/>
    <x v="2"/>
    <x v="2"/>
    <x v="2"/>
    <x v="2"/>
    <x v="2"/>
    <x v="1"/>
    <x v="11"/>
    <x v="11"/>
    <x v="1"/>
    <x v="1"/>
    <x v="0"/>
    <x v="1"/>
    <x v="7"/>
    <x v="4"/>
    <x v="6"/>
    <x v="4"/>
    <x v="1"/>
    <x v="5"/>
    <x v="0"/>
    <x v="35"/>
    <x v="35"/>
    <x v="31"/>
    <x v="32"/>
    <x v="5"/>
    <x v="5"/>
    <x v="35"/>
    <x v="1"/>
    <x v="1"/>
    <x v="0"/>
    <x v="0"/>
    <x v="33"/>
    <x v="33"/>
    <x v="0"/>
    <x v="1"/>
    <x v="2"/>
    <x v="0"/>
    <x v="0"/>
    <x v="0"/>
    <x v="31"/>
    <x v="35"/>
  </r>
  <r>
    <x v="36"/>
    <x v="36"/>
    <x v="36"/>
    <x v="0"/>
    <x v="36"/>
    <x v="36"/>
    <x v="12"/>
    <x v="36"/>
    <x v="36"/>
    <x v="5"/>
    <x v="0"/>
    <x v="0"/>
    <x v="36"/>
    <x v="0"/>
    <x v="26"/>
    <x v="0"/>
    <x v="17"/>
    <x v="17"/>
    <x v="17"/>
    <x v="17"/>
    <x v="0"/>
    <x v="0"/>
    <x v="5"/>
    <x v="12"/>
    <x v="0"/>
    <x v="0"/>
    <x v="0"/>
    <x v="1"/>
    <x v="9"/>
    <x v="0"/>
    <x v="7"/>
    <x v="0"/>
    <x v="1"/>
    <x v="0"/>
    <x v="0"/>
    <x v="36"/>
    <x v="36"/>
    <x v="32"/>
    <x v="33"/>
    <x v="2"/>
    <x v="3"/>
    <x v="36"/>
    <x v="31"/>
    <x v="30"/>
    <x v="0"/>
    <x v="2"/>
    <x v="34"/>
    <x v="34"/>
    <x v="0"/>
    <x v="14"/>
    <x v="2"/>
    <x v="0"/>
    <x v="0"/>
    <x v="0"/>
    <x v="2"/>
    <x v="36"/>
  </r>
  <r>
    <x v="37"/>
    <x v="37"/>
    <x v="37"/>
    <x v="0"/>
    <x v="37"/>
    <x v="37"/>
    <x v="0"/>
    <x v="37"/>
    <x v="37"/>
    <x v="3"/>
    <x v="0"/>
    <x v="0"/>
    <x v="37"/>
    <x v="0"/>
    <x v="28"/>
    <x v="0"/>
    <x v="18"/>
    <x v="18"/>
    <x v="18"/>
    <x v="18"/>
    <x v="3"/>
    <x v="0"/>
    <x v="12"/>
    <x v="13"/>
    <x v="0"/>
    <x v="0"/>
    <x v="0"/>
    <x v="0"/>
    <x v="0"/>
    <x v="6"/>
    <x v="14"/>
    <x v="5"/>
    <x v="0"/>
    <x v="0"/>
    <x v="0"/>
    <x v="37"/>
    <x v="37"/>
    <x v="33"/>
    <x v="34"/>
    <x v="23"/>
    <x v="0"/>
    <x v="37"/>
    <x v="32"/>
    <x v="31"/>
    <x v="0"/>
    <x v="5"/>
    <x v="35"/>
    <x v="35"/>
    <x v="0"/>
    <x v="4"/>
    <x v="1"/>
    <x v="0"/>
    <x v="0"/>
    <x v="0"/>
    <x v="32"/>
    <x v="37"/>
  </r>
  <r>
    <x v="38"/>
    <x v="38"/>
    <x v="38"/>
    <x v="0"/>
    <x v="38"/>
    <x v="38"/>
    <x v="8"/>
    <x v="38"/>
    <x v="38"/>
    <x v="4"/>
    <x v="0"/>
    <x v="0"/>
    <x v="38"/>
    <x v="0"/>
    <x v="29"/>
    <x v="0"/>
    <x v="12"/>
    <x v="12"/>
    <x v="12"/>
    <x v="12"/>
    <x v="0"/>
    <x v="0"/>
    <x v="5"/>
    <x v="6"/>
    <x v="4"/>
    <x v="0"/>
    <x v="1"/>
    <x v="0"/>
    <x v="3"/>
    <x v="0"/>
    <x v="13"/>
    <x v="0"/>
    <x v="0"/>
    <x v="0"/>
    <x v="0"/>
    <x v="38"/>
    <x v="38"/>
    <x v="34"/>
    <x v="35"/>
    <x v="24"/>
    <x v="2"/>
    <x v="38"/>
    <x v="33"/>
    <x v="25"/>
    <x v="2"/>
    <x v="1"/>
    <x v="36"/>
    <x v="36"/>
    <x v="0"/>
    <x v="9"/>
    <x v="1"/>
    <x v="0"/>
    <x v="0"/>
    <x v="0"/>
    <x v="33"/>
    <x v="38"/>
  </r>
  <r>
    <x v="39"/>
    <x v="39"/>
    <x v="39"/>
    <x v="0"/>
    <x v="39"/>
    <x v="39"/>
    <x v="21"/>
    <x v="39"/>
    <x v="39"/>
    <x v="3"/>
    <x v="0"/>
    <x v="0"/>
    <x v="39"/>
    <x v="0"/>
    <x v="30"/>
    <x v="0"/>
    <x v="14"/>
    <x v="14"/>
    <x v="14"/>
    <x v="14"/>
    <x v="0"/>
    <x v="0"/>
    <x v="3"/>
    <x v="14"/>
    <x v="0"/>
    <x v="0"/>
    <x v="1"/>
    <x v="0"/>
    <x v="3"/>
    <x v="0"/>
    <x v="13"/>
    <x v="3"/>
    <x v="1"/>
    <x v="5"/>
    <x v="0"/>
    <x v="39"/>
    <x v="39"/>
    <x v="35"/>
    <x v="36"/>
    <x v="25"/>
    <x v="5"/>
    <x v="39"/>
    <x v="29"/>
    <x v="32"/>
    <x v="0"/>
    <x v="0"/>
    <x v="37"/>
    <x v="37"/>
    <x v="0"/>
    <x v="1"/>
    <x v="8"/>
    <x v="2"/>
    <x v="5"/>
    <x v="0"/>
    <x v="34"/>
    <x v="39"/>
  </r>
  <r>
    <x v="40"/>
    <x v="40"/>
    <x v="40"/>
    <x v="0"/>
    <x v="40"/>
    <x v="40"/>
    <x v="1"/>
    <x v="40"/>
    <x v="40"/>
    <x v="0"/>
    <x v="0"/>
    <x v="0"/>
    <x v="40"/>
    <x v="0"/>
    <x v="31"/>
    <x v="0"/>
    <x v="10"/>
    <x v="10"/>
    <x v="10"/>
    <x v="10"/>
    <x v="2"/>
    <x v="1"/>
    <x v="4"/>
    <x v="7"/>
    <x v="1"/>
    <x v="1"/>
    <x v="0"/>
    <x v="1"/>
    <x v="10"/>
    <x v="4"/>
    <x v="9"/>
    <x v="5"/>
    <x v="0"/>
    <x v="0"/>
    <x v="0"/>
    <x v="40"/>
    <x v="40"/>
    <x v="12"/>
    <x v="37"/>
    <x v="26"/>
    <x v="2"/>
    <x v="40"/>
    <x v="34"/>
    <x v="33"/>
    <x v="1"/>
    <x v="2"/>
    <x v="38"/>
    <x v="38"/>
    <x v="0"/>
    <x v="1"/>
    <x v="2"/>
    <x v="0"/>
    <x v="0"/>
    <x v="0"/>
    <x v="35"/>
    <x v="17"/>
  </r>
  <r>
    <x v="41"/>
    <x v="41"/>
    <x v="41"/>
    <x v="0"/>
    <x v="41"/>
    <x v="41"/>
    <x v="22"/>
    <x v="41"/>
    <x v="41"/>
    <x v="3"/>
    <x v="0"/>
    <x v="0"/>
    <x v="41"/>
    <x v="0"/>
    <x v="32"/>
    <x v="3"/>
    <x v="17"/>
    <x v="17"/>
    <x v="17"/>
    <x v="17"/>
    <x v="0"/>
    <x v="0"/>
    <x v="4"/>
    <x v="3"/>
    <x v="0"/>
    <x v="0"/>
    <x v="0"/>
    <x v="0"/>
    <x v="0"/>
    <x v="0"/>
    <x v="16"/>
    <x v="1"/>
    <x v="0"/>
    <x v="0"/>
    <x v="0"/>
    <x v="41"/>
    <x v="41"/>
    <x v="30"/>
    <x v="38"/>
    <x v="13"/>
    <x v="1"/>
    <x v="41"/>
    <x v="35"/>
    <x v="34"/>
    <x v="0"/>
    <x v="1"/>
    <x v="39"/>
    <x v="39"/>
    <x v="0"/>
    <x v="12"/>
    <x v="9"/>
    <x v="0"/>
    <x v="6"/>
    <x v="0"/>
    <x v="25"/>
    <x v="40"/>
  </r>
  <r>
    <x v="42"/>
    <x v="42"/>
    <x v="42"/>
    <x v="0"/>
    <x v="42"/>
    <x v="42"/>
    <x v="23"/>
    <x v="42"/>
    <x v="42"/>
    <x v="0"/>
    <x v="2"/>
    <x v="0"/>
    <x v="42"/>
    <x v="6"/>
    <x v="33"/>
    <x v="3"/>
    <x v="7"/>
    <x v="7"/>
    <x v="7"/>
    <x v="7"/>
    <x v="2"/>
    <x v="1"/>
    <x v="11"/>
    <x v="7"/>
    <x v="1"/>
    <x v="1"/>
    <x v="0"/>
    <x v="0"/>
    <x v="6"/>
    <x v="5"/>
    <x v="1"/>
    <x v="4"/>
    <x v="1"/>
    <x v="0"/>
    <x v="0"/>
    <x v="42"/>
    <x v="42"/>
    <x v="1"/>
    <x v="39"/>
    <x v="27"/>
    <x v="4"/>
    <x v="42"/>
    <x v="36"/>
    <x v="35"/>
    <x v="0"/>
    <x v="0"/>
    <x v="40"/>
    <x v="40"/>
    <x v="0"/>
    <x v="3"/>
    <x v="10"/>
    <x v="0"/>
    <x v="7"/>
    <x v="0"/>
    <x v="36"/>
    <x v="41"/>
  </r>
  <r>
    <x v="43"/>
    <x v="43"/>
    <x v="43"/>
    <x v="0"/>
    <x v="43"/>
    <x v="43"/>
    <x v="1"/>
    <x v="43"/>
    <x v="43"/>
    <x v="1"/>
    <x v="0"/>
    <x v="0"/>
    <x v="43"/>
    <x v="7"/>
    <x v="34"/>
    <x v="3"/>
    <x v="19"/>
    <x v="19"/>
    <x v="19"/>
    <x v="19"/>
    <x v="2"/>
    <x v="1"/>
    <x v="4"/>
    <x v="7"/>
    <x v="1"/>
    <x v="1"/>
    <x v="0"/>
    <x v="0"/>
    <x v="6"/>
    <x v="5"/>
    <x v="7"/>
    <x v="0"/>
    <x v="1"/>
    <x v="0"/>
    <x v="0"/>
    <x v="43"/>
    <x v="43"/>
    <x v="36"/>
    <x v="40"/>
    <x v="28"/>
    <x v="3"/>
    <x v="43"/>
    <x v="37"/>
    <x v="36"/>
    <x v="0"/>
    <x v="0"/>
    <x v="41"/>
    <x v="41"/>
    <x v="0"/>
    <x v="3"/>
    <x v="1"/>
    <x v="0"/>
    <x v="0"/>
    <x v="0"/>
    <x v="37"/>
    <x v="42"/>
  </r>
  <r>
    <x v="44"/>
    <x v="44"/>
    <x v="44"/>
    <x v="0"/>
    <x v="44"/>
    <x v="44"/>
    <x v="15"/>
    <x v="44"/>
    <x v="44"/>
    <x v="3"/>
    <x v="0"/>
    <x v="0"/>
    <x v="44"/>
    <x v="0"/>
    <x v="35"/>
    <x v="0"/>
    <x v="17"/>
    <x v="17"/>
    <x v="17"/>
    <x v="17"/>
    <x v="0"/>
    <x v="0"/>
    <x v="6"/>
    <x v="3"/>
    <x v="0"/>
    <x v="0"/>
    <x v="0"/>
    <x v="0"/>
    <x v="0"/>
    <x v="0"/>
    <x v="11"/>
    <x v="0"/>
    <x v="0"/>
    <x v="0"/>
    <x v="0"/>
    <x v="44"/>
    <x v="44"/>
    <x v="18"/>
    <x v="41"/>
    <x v="4"/>
    <x v="1"/>
    <x v="44"/>
    <x v="38"/>
    <x v="37"/>
    <x v="0"/>
    <x v="1"/>
    <x v="42"/>
    <x v="42"/>
    <x v="0"/>
    <x v="1"/>
    <x v="1"/>
    <x v="0"/>
    <x v="0"/>
    <x v="0"/>
    <x v="38"/>
    <x v="43"/>
  </r>
  <r>
    <x v="45"/>
    <x v="45"/>
    <x v="45"/>
    <x v="0"/>
    <x v="45"/>
    <x v="45"/>
    <x v="5"/>
    <x v="45"/>
    <x v="45"/>
    <x v="4"/>
    <x v="0"/>
    <x v="0"/>
    <x v="45"/>
    <x v="0"/>
    <x v="36"/>
    <x v="0"/>
    <x v="5"/>
    <x v="5"/>
    <x v="5"/>
    <x v="5"/>
    <x v="0"/>
    <x v="0"/>
    <x v="8"/>
    <x v="7"/>
    <x v="0"/>
    <x v="0"/>
    <x v="0"/>
    <x v="1"/>
    <x v="7"/>
    <x v="3"/>
    <x v="2"/>
    <x v="2"/>
    <x v="1"/>
    <x v="0"/>
    <x v="0"/>
    <x v="45"/>
    <x v="45"/>
    <x v="37"/>
    <x v="42"/>
    <x v="4"/>
    <x v="3"/>
    <x v="45"/>
    <x v="39"/>
    <x v="38"/>
    <x v="0"/>
    <x v="2"/>
    <x v="43"/>
    <x v="43"/>
    <x v="0"/>
    <x v="5"/>
    <x v="1"/>
    <x v="0"/>
    <x v="0"/>
    <x v="0"/>
    <x v="39"/>
    <x v="44"/>
  </r>
  <r>
    <x v="46"/>
    <x v="46"/>
    <x v="46"/>
    <x v="0"/>
    <x v="46"/>
    <x v="46"/>
    <x v="24"/>
    <x v="46"/>
    <x v="46"/>
    <x v="3"/>
    <x v="0"/>
    <x v="0"/>
    <x v="46"/>
    <x v="0"/>
    <x v="37"/>
    <x v="0"/>
    <x v="20"/>
    <x v="20"/>
    <x v="20"/>
    <x v="20"/>
    <x v="0"/>
    <x v="0"/>
    <x v="12"/>
    <x v="1"/>
    <x v="1"/>
    <x v="1"/>
    <x v="0"/>
    <x v="0"/>
    <x v="0"/>
    <x v="3"/>
    <x v="11"/>
    <x v="3"/>
    <x v="0"/>
    <x v="0"/>
    <x v="0"/>
    <x v="46"/>
    <x v="46"/>
    <x v="38"/>
    <x v="43"/>
    <x v="22"/>
    <x v="0"/>
    <x v="46"/>
    <x v="40"/>
    <x v="39"/>
    <x v="0"/>
    <x v="2"/>
    <x v="44"/>
    <x v="44"/>
    <x v="0"/>
    <x v="1"/>
    <x v="1"/>
    <x v="0"/>
    <x v="0"/>
    <x v="0"/>
    <x v="1"/>
    <x v="45"/>
  </r>
  <r>
    <x v="47"/>
    <x v="47"/>
    <x v="47"/>
    <x v="0"/>
    <x v="47"/>
    <x v="47"/>
    <x v="0"/>
    <x v="47"/>
    <x v="47"/>
    <x v="3"/>
    <x v="0"/>
    <x v="0"/>
    <x v="47"/>
    <x v="0"/>
    <x v="28"/>
    <x v="3"/>
    <x v="21"/>
    <x v="21"/>
    <x v="21"/>
    <x v="21"/>
    <x v="2"/>
    <x v="0"/>
    <x v="10"/>
    <x v="7"/>
    <x v="2"/>
    <x v="1"/>
    <x v="0"/>
    <x v="0"/>
    <x v="6"/>
    <x v="5"/>
    <x v="3"/>
    <x v="1"/>
    <x v="0"/>
    <x v="2"/>
    <x v="0"/>
    <x v="47"/>
    <x v="47"/>
    <x v="39"/>
    <x v="44"/>
    <x v="29"/>
    <x v="2"/>
    <x v="47"/>
    <x v="41"/>
    <x v="40"/>
    <x v="0"/>
    <x v="1"/>
    <x v="45"/>
    <x v="45"/>
    <x v="0"/>
    <x v="15"/>
    <x v="1"/>
    <x v="0"/>
    <x v="0"/>
    <x v="0"/>
    <x v="40"/>
    <x v="46"/>
  </r>
  <r>
    <x v="48"/>
    <x v="48"/>
    <x v="48"/>
    <x v="2"/>
    <x v="48"/>
    <x v="48"/>
    <x v="25"/>
    <x v="48"/>
    <x v="48"/>
    <x v="3"/>
    <x v="0"/>
    <x v="0"/>
    <x v="48"/>
    <x v="0"/>
    <x v="38"/>
    <x v="5"/>
    <x v="22"/>
    <x v="22"/>
    <x v="22"/>
    <x v="22"/>
    <x v="0"/>
    <x v="0"/>
    <x v="6"/>
    <x v="11"/>
    <x v="0"/>
    <x v="0"/>
    <x v="0"/>
    <x v="0"/>
    <x v="0"/>
    <x v="3"/>
    <x v="16"/>
    <x v="1"/>
    <x v="0"/>
    <x v="0"/>
    <x v="0"/>
    <x v="48"/>
    <x v="48"/>
    <x v="40"/>
    <x v="45"/>
    <x v="5"/>
    <x v="1"/>
    <x v="48"/>
    <x v="42"/>
    <x v="41"/>
    <x v="0"/>
    <x v="1"/>
    <x v="46"/>
    <x v="46"/>
    <x v="2"/>
    <x v="5"/>
    <x v="11"/>
    <x v="3"/>
    <x v="8"/>
    <x v="1"/>
    <x v="41"/>
    <x v="47"/>
  </r>
  <r>
    <x v="49"/>
    <x v="49"/>
    <x v="49"/>
    <x v="0"/>
    <x v="49"/>
    <x v="49"/>
    <x v="26"/>
    <x v="49"/>
    <x v="49"/>
    <x v="3"/>
    <x v="0"/>
    <x v="0"/>
    <x v="49"/>
    <x v="0"/>
    <x v="39"/>
    <x v="0"/>
    <x v="17"/>
    <x v="17"/>
    <x v="17"/>
    <x v="17"/>
    <x v="0"/>
    <x v="0"/>
    <x v="2"/>
    <x v="3"/>
    <x v="0"/>
    <x v="0"/>
    <x v="0"/>
    <x v="0"/>
    <x v="0"/>
    <x v="0"/>
    <x v="11"/>
    <x v="2"/>
    <x v="0"/>
    <x v="0"/>
    <x v="0"/>
    <x v="49"/>
    <x v="49"/>
    <x v="18"/>
    <x v="46"/>
    <x v="1"/>
    <x v="2"/>
    <x v="49"/>
    <x v="43"/>
    <x v="42"/>
    <x v="0"/>
    <x v="2"/>
    <x v="47"/>
    <x v="47"/>
    <x v="0"/>
    <x v="5"/>
    <x v="1"/>
    <x v="0"/>
    <x v="0"/>
    <x v="0"/>
    <x v="42"/>
    <x v="48"/>
  </r>
  <r>
    <x v="50"/>
    <x v="50"/>
    <x v="50"/>
    <x v="0"/>
    <x v="50"/>
    <x v="50"/>
    <x v="27"/>
    <x v="50"/>
    <x v="50"/>
    <x v="4"/>
    <x v="0"/>
    <x v="0"/>
    <x v="50"/>
    <x v="0"/>
    <x v="40"/>
    <x v="0"/>
    <x v="1"/>
    <x v="1"/>
    <x v="1"/>
    <x v="1"/>
    <x v="0"/>
    <x v="0"/>
    <x v="5"/>
    <x v="3"/>
    <x v="0"/>
    <x v="0"/>
    <x v="1"/>
    <x v="0"/>
    <x v="3"/>
    <x v="0"/>
    <x v="16"/>
    <x v="0"/>
    <x v="0"/>
    <x v="0"/>
    <x v="0"/>
    <x v="50"/>
    <x v="50"/>
    <x v="41"/>
    <x v="47"/>
    <x v="1"/>
    <x v="2"/>
    <x v="50"/>
    <x v="44"/>
    <x v="43"/>
    <x v="0"/>
    <x v="1"/>
    <x v="48"/>
    <x v="48"/>
    <x v="0"/>
    <x v="1"/>
    <x v="12"/>
    <x v="0"/>
    <x v="9"/>
    <x v="0"/>
    <x v="43"/>
    <x v="49"/>
  </r>
  <r>
    <x v="51"/>
    <x v="51"/>
    <x v="51"/>
    <x v="0"/>
    <x v="51"/>
    <x v="51"/>
    <x v="28"/>
    <x v="51"/>
    <x v="51"/>
    <x v="3"/>
    <x v="0"/>
    <x v="0"/>
    <x v="51"/>
    <x v="0"/>
    <x v="41"/>
    <x v="2"/>
    <x v="23"/>
    <x v="23"/>
    <x v="23"/>
    <x v="23"/>
    <x v="1"/>
    <x v="1"/>
    <x v="8"/>
    <x v="7"/>
    <x v="0"/>
    <x v="1"/>
    <x v="0"/>
    <x v="1"/>
    <x v="0"/>
    <x v="4"/>
    <x v="12"/>
    <x v="4"/>
    <x v="0"/>
    <x v="5"/>
    <x v="0"/>
    <x v="51"/>
    <x v="51"/>
    <x v="42"/>
    <x v="48"/>
    <x v="18"/>
    <x v="0"/>
    <x v="51"/>
    <x v="45"/>
    <x v="44"/>
    <x v="0"/>
    <x v="1"/>
    <x v="49"/>
    <x v="49"/>
    <x v="0"/>
    <x v="5"/>
    <x v="2"/>
    <x v="0"/>
    <x v="0"/>
    <x v="0"/>
    <x v="44"/>
    <x v="50"/>
  </r>
  <r>
    <x v="52"/>
    <x v="52"/>
    <x v="52"/>
    <x v="0"/>
    <x v="52"/>
    <x v="52"/>
    <x v="3"/>
    <x v="52"/>
    <x v="52"/>
    <x v="3"/>
    <x v="0"/>
    <x v="0"/>
    <x v="52"/>
    <x v="0"/>
    <x v="41"/>
    <x v="0"/>
    <x v="12"/>
    <x v="12"/>
    <x v="12"/>
    <x v="12"/>
    <x v="0"/>
    <x v="0"/>
    <x v="5"/>
    <x v="6"/>
    <x v="0"/>
    <x v="0"/>
    <x v="1"/>
    <x v="0"/>
    <x v="3"/>
    <x v="0"/>
    <x v="13"/>
    <x v="0"/>
    <x v="1"/>
    <x v="0"/>
    <x v="0"/>
    <x v="52"/>
    <x v="52"/>
    <x v="43"/>
    <x v="49"/>
    <x v="7"/>
    <x v="3"/>
    <x v="52"/>
    <x v="46"/>
    <x v="45"/>
    <x v="0"/>
    <x v="2"/>
    <x v="50"/>
    <x v="50"/>
    <x v="0"/>
    <x v="16"/>
    <x v="13"/>
    <x v="1"/>
    <x v="10"/>
    <x v="0"/>
    <x v="45"/>
    <x v="51"/>
  </r>
  <r>
    <x v="53"/>
    <x v="53"/>
    <x v="53"/>
    <x v="0"/>
    <x v="53"/>
    <x v="53"/>
    <x v="14"/>
    <x v="53"/>
    <x v="53"/>
    <x v="3"/>
    <x v="0"/>
    <x v="0"/>
    <x v="53"/>
    <x v="0"/>
    <x v="39"/>
    <x v="0"/>
    <x v="1"/>
    <x v="1"/>
    <x v="1"/>
    <x v="1"/>
    <x v="0"/>
    <x v="0"/>
    <x v="8"/>
    <x v="3"/>
    <x v="0"/>
    <x v="0"/>
    <x v="0"/>
    <x v="0"/>
    <x v="0"/>
    <x v="0"/>
    <x v="16"/>
    <x v="0"/>
    <x v="0"/>
    <x v="0"/>
    <x v="0"/>
    <x v="53"/>
    <x v="53"/>
    <x v="30"/>
    <x v="50"/>
    <x v="1"/>
    <x v="1"/>
    <x v="53"/>
    <x v="47"/>
    <x v="46"/>
    <x v="0"/>
    <x v="1"/>
    <x v="51"/>
    <x v="51"/>
    <x v="0"/>
    <x v="1"/>
    <x v="14"/>
    <x v="2"/>
    <x v="11"/>
    <x v="0"/>
    <x v="46"/>
    <x v="52"/>
  </r>
  <r>
    <x v="54"/>
    <x v="54"/>
    <x v="54"/>
    <x v="0"/>
    <x v="54"/>
    <x v="54"/>
    <x v="9"/>
    <x v="54"/>
    <x v="54"/>
    <x v="1"/>
    <x v="0"/>
    <x v="0"/>
    <x v="54"/>
    <x v="0"/>
    <x v="42"/>
    <x v="6"/>
    <x v="24"/>
    <x v="24"/>
    <x v="24"/>
    <x v="24"/>
    <x v="0"/>
    <x v="0"/>
    <x v="5"/>
    <x v="15"/>
    <x v="3"/>
    <x v="0"/>
    <x v="1"/>
    <x v="0"/>
    <x v="3"/>
    <x v="0"/>
    <x v="4"/>
    <x v="2"/>
    <x v="2"/>
    <x v="0"/>
    <x v="0"/>
    <x v="54"/>
    <x v="54"/>
    <x v="44"/>
    <x v="51"/>
    <x v="30"/>
    <x v="6"/>
    <x v="54"/>
    <x v="48"/>
    <x v="47"/>
    <x v="0"/>
    <x v="1"/>
    <x v="52"/>
    <x v="52"/>
    <x v="0"/>
    <x v="2"/>
    <x v="1"/>
    <x v="0"/>
    <x v="0"/>
    <x v="0"/>
    <x v="47"/>
    <x v="53"/>
  </r>
  <r>
    <x v="55"/>
    <x v="55"/>
    <x v="55"/>
    <x v="0"/>
    <x v="55"/>
    <x v="55"/>
    <x v="29"/>
    <x v="55"/>
    <x v="55"/>
    <x v="10"/>
    <x v="0"/>
    <x v="0"/>
    <x v="55"/>
    <x v="0"/>
    <x v="43"/>
    <x v="2"/>
    <x v="25"/>
    <x v="25"/>
    <x v="25"/>
    <x v="25"/>
    <x v="0"/>
    <x v="0"/>
    <x v="8"/>
    <x v="1"/>
    <x v="0"/>
    <x v="1"/>
    <x v="0"/>
    <x v="0"/>
    <x v="0"/>
    <x v="3"/>
    <x v="16"/>
    <x v="4"/>
    <x v="1"/>
    <x v="5"/>
    <x v="0"/>
    <x v="55"/>
    <x v="55"/>
    <x v="30"/>
    <x v="52"/>
    <x v="31"/>
    <x v="3"/>
    <x v="55"/>
    <x v="49"/>
    <x v="48"/>
    <x v="0"/>
    <x v="5"/>
    <x v="53"/>
    <x v="53"/>
    <x v="0"/>
    <x v="1"/>
    <x v="2"/>
    <x v="0"/>
    <x v="0"/>
    <x v="0"/>
    <x v="48"/>
    <x v="54"/>
  </r>
  <r>
    <x v="56"/>
    <x v="56"/>
    <x v="56"/>
    <x v="0"/>
    <x v="56"/>
    <x v="56"/>
    <x v="29"/>
    <x v="56"/>
    <x v="56"/>
    <x v="3"/>
    <x v="0"/>
    <x v="0"/>
    <x v="56"/>
    <x v="0"/>
    <x v="44"/>
    <x v="0"/>
    <x v="26"/>
    <x v="26"/>
    <x v="26"/>
    <x v="26"/>
    <x v="1"/>
    <x v="1"/>
    <x v="8"/>
    <x v="3"/>
    <x v="0"/>
    <x v="1"/>
    <x v="0"/>
    <x v="0"/>
    <x v="0"/>
    <x v="7"/>
    <x v="0"/>
    <x v="4"/>
    <x v="2"/>
    <x v="5"/>
    <x v="0"/>
    <x v="56"/>
    <x v="56"/>
    <x v="45"/>
    <x v="53"/>
    <x v="32"/>
    <x v="8"/>
    <x v="56"/>
    <x v="50"/>
    <x v="49"/>
    <x v="0"/>
    <x v="5"/>
    <x v="54"/>
    <x v="54"/>
    <x v="0"/>
    <x v="1"/>
    <x v="15"/>
    <x v="2"/>
    <x v="12"/>
    <x v="0"/>
    <x v="49"/>
    <x v="55"/>
  </r>
  <r>
    <x v="57"/>
    <x v="57"/>
    <x v="57"/>
    <x v="0"/>
    <x v="57"/>
    <x v="57"/>
    <x v="26"/>
    <x v="57"/>
    <x v="57"/>
    <x v="5"/>
    <x v="0"/>
    <x v="0"/>
    <x v="57"/>
    <x v="4"/>
    <x v="45"/>
    <x v="0"/>
    <x v="17"/>
    <x v="17"/>
    <x v="17"/>
    <x v="17"/>
    <x v="4"/>
    <x v="0"/>
    <x v="8"/>
    <x v="3"/>
    <x v="0"/>
    <x v="0"/>
    <x v="0"/>
    <x v="0"/>
    <x v="0"/>
    <x v="0"/>
    <x v="0"/>
    <x v="5"/>
    <x v="0"/>
    <x v="3"/>
    <x v="0"/>
    <x v="57"/>
    <x v="57"/>
    <x v="46"/>
    <x v="54"/>
    <x v="33"/>
    <x v="2"/>
    <x v="57"/>
    <x v="51"/>
    <x v="50"/>
    <x v="0"/>
    <x v="5"/>
    <x v="55"/>
    <x v="55"/>
    <x v="0"/>
    <x v="4"/>
    <x v="4"/>
    <x v="0"/>
    <x v="1"/>
    <x v="0"/>
    <x v="50"/>
    <x v="56"/>
  </r>
  <r>
    <x v="58"/>
    <x v="58"/>
    <x v="58"/>
    <x v="3"/>
    <x v="58"/>
    <x v="58"/>
    <x v="30"/>
    <x v="58"/>
    <x v="58"/>
    <x v="3"/>
    <x v="2"/>
    <x v="0"/>
    <x v="58"/>
    <x v="6"/>
    <x v="46"/>
    <x v="0"/>
    <x v="27"/>
    <x v="27"/>
    <x v="27"/>
    <x v="27"/>
    <x v="2"/>
    <x v="4"/>
    <x v="2"/>
    <x v="1"/>
    <x v="1"/>
    <x v="1"/>
    <x v="1"/>
    <x v="0"/>
    <x v="3"/>
    <x v="1"/>
    <x v="1"/>
    <x v="1"/>
    <x v="2"/>
    <x v="0"/>
    <x v="0"/>
    <x v="58"/>
    <x v="58"/>
    <x v="1"/>
    <x v="55"/>
    <x v="34"/>
    <x v="8"/>
    <x v="58"/>
    <x v="52"/>
    <x v="51"/>
    <x v="0"/>
    <x v="0"/>
    <x v="6"/>
    <x v="6"/>
    <x v="3"/>
    <x v="3"/>
    <x v="16"/>
    <x v="0"/>
    <x v="0"/>
    <x v="2"/>
    <x v="51"/>
    <x v="57"/>
  </r>
  <r>
    <x v="59"/>
    <x v="59"/>
    <x v="59"/>
    <x v="0"/>
    <x v="59"/>
    <x v="59"/>
    <x v="5"/>
    <x v="59"/>
    <x v="59"/>
    <x v="3"/>
    <x v="0"/>
    <x v="0"/>
    <x v="59"/>
    <x v="0"/>
    <x v="47"/>
    <x v="0"/>
    <x v="3"/>
    <x v="3"/>
    <x v="3"/>
    <x v="3"/>
    <x v="0"/>
    <x v="0"/>
    <x v="6"/>
    <x v="7"/>
    <x v="0"/>
    <x v="0"/>
    <x v="0"/>
    <x v="1"/>
    <x v="7"/>
    <x v="3"/>
    <x v="2"/>
    <x v="0"/>
    <x v="1"/>
    <x v="0"/>
    <x v="0"/>
    <x v="59"/>
    <x v="59"/>
    <x v="37"/>
    <x v="56"/>
    <x v="35"/>
    <x v="3"/>
    <x v="59"/>
    <x v="53"/>
    <x v="52"/>
    <x v="0"/>
    <x v="1"/>
    <x v="56"/>
    <x v="56"/>
    <x v="0"/>
    <x v="9"/>
    <x v="16"/>
    <x v="0"/>
    <x v="0"/>
    <x v="2"/>
    <x v="52"/>
    <x v="58"/>
  </r>
  <r>
    <x v="60"/>
    <x v="60"/>
    <x v="60"/>
    <x v="0"/>
    <x v="60"/>
    <x v="60"/>
    <x v="15"/>
    <x v="60"/>
    <x v="60"/>
    <x v="3"/>
    <x v="0"/>
    <x v="0"/>
    <x v="60"/>
    <x v="0"/>
    <x v="48"/>
    <x v="0"/>
    <x v="28"/>
    <x v="28"/>
    <x v="28"/>
    <x v="28"/>
    <x v="2"/>
    <x v="1"/>
    <x v="13"/>
    <x v="4"/>
    <x v="5"/>
    <x v="1"/>
    <x v="0"/>
    <x v="0"/>
    <x v="0"/>
    <x v="1"/>
    <x v="0"/>
    <x v="0"/>
    <x v="1"/>
    <x v="0"/>
    <x v="0"/>
    <x v="60"/>
    <x v="60"/>
    <x v="47"/>
    <x v="57"/>
    <x v="2"/>
    <x v="4"/>
    <x v="60"/>
    <x v="54"/>
    <x v="53"/>
    <x v="6"/>
    <x v="1"/>
    <x v="57"/>
    <x v="57"/>
    <x v="0"/>
    <x v="1"/>
    <x v="1"/>
    <x v="0"/>
    <x v="0"/>
    <x v="0"/>
    <x v="53"/>
    <x v="59"/>
  </r>
  <r>
    <x v="61"/>
    <x v="61"/>
    <x v="61"/>
    <x v="0"/>
    <x v="61"/>
    <x v="61"/>
    <x v="4"/>
    <x v="61"/>
    <x v="61"/>
    <x v="3"/>
    <x v="0"/>
    <x v="0"/>
    <x v="61"/>
    <x v="0"/>
    <x v="49"/>
    <x v="0"/>
    <x v="17"/>
    <x v="17"/>
    <x v="17"/>
    <x v="17"/>
    <x v="0"/>
    <x v="0"/>
    <x v="4"/>
    <x v="3"/>
    <x v="0"/>
    <x v="0"/>
    <x v="0"/>
    <x v="0"/>
    <x v="0"/>
    <x v="4"/>
    <x v="1"/>
    <x v="5"/>
    <x v="0"/>
    <x v="1"/>
    <x v="0"/>
    <x v="61"/>
    <x v="61"/>
    <x v="48"/>
    <x v="58"/>
    <x v="8"/>
    <x v="2"/>
    <x v="61"/>
    <x v="55"/>
    <x v="54"/>
    <x v="0"/>
    <x v="0"/>
    <x v="58"/>
    <x v="58"/>
    <x v="0"/>
    <x v="1"/>
    <x v="1"/>
    <x v="0"/>
    <x v="0"/>
    <x v="0"/>
    <x v="54"/>
    <x v="60"/>
  </r>
  <r>
    <x v="62"/>
    <x v="62"/>
    <x v="62"/>
    <x v="0"/>
    <x v="62"/>
    <x v="62"/>
    <x v="4"/>
    <x v="62"/>
    <x v="62"/>
    <x v="6"/>
    <x v="0"/>
    <x v="0"/>
    <x v="62"/>
    <x v="0"/>
    <x v="50"/>
    <x v="3"/>
    <x v="5"/>
    <x v="5"/>
    <x v="5"/>
    <x v="5"/>
    <x v="0"/>
    <x v="0"/>
    <x v="4"/>
    <x v="3"/>
    <x v="0"/>
    <x v="0"/>
    <x v="0"/>
    <x v="0"/>
    <x v="0"/>
    <x v="1"/>
    <x v="0"/>
    <x v="5"/>
    <x v="2"/>
    <x v="6"/>
    <x v="0"/>
    <x v="62"/>
    <x v="62"/>
    <x v="49"/>
    <x v="59"/>
    <x v="13"/>
    <x v="8"/>
    <x v="62"/>
    <x v="56"/>
    <x v="55"/>
    <x v="0"/>
    <x v="1"/>
    <x v="59"/>
    <x v="59"/>
    <x v="0"/>
    <x v="1"/>
    <x v="1"/>
    <x v="0"/>
    <x v="0"/>
    <x v="0"/>
    <x v="22"/>
    <x v="61"/>
  </r>
  <r>
    <x v="63"/>
    <x v="63"/>
    <x v="63"/>
    <x v="0"/>
    <x v="63"/>
    <x v="63"/>
    <x v="5"/>
    <x v="63"/>
    <x v="63"/>
    <x v="4"/>
    <x v="0"/>
    <x v="0"/>
    <x v="63"/>
    <x v="0"/>
    <x v="42"/>
    <x v="0"/>
    <x v="29"/>
    <x v="29"/>
    <x v="29"/>
    <x v="29"/>
    <x v="2"/>
    <x v="1"/>
    <x v="11"/>
    <x v="1"/>
    <x v="0"/>
    <x v="1"/>
    <x v="0"/>
    <x v="1"/>
    <x v="7"/>
    <x v="1"/>
    <x v="12"/>
    <x v="2"/>
    <x v="1"/>
    <x v="0"/>
    <x v="0"/>
    <x v="63"/>
    <x v="63"/>
    <x v="50"/>
    <x v="60"/>
    <x v="9"/>
    <x v="4"/>
    <x v="63"/>
    <x v="57"/>
    <x v="56"/>
    <x v="0"/>
    <x v="1"/>
    <x v="60"/>
    <x v="60"/>
    <x v="0"/>
    <x v="1"/>
    <x v="1"/>
    <x v="0"/>
    <x v="0"/>
    <x v="0"/>
    <x v="55"/>
    <x v="62"/>
  </r>
  <r>
    <x v="64"/>
    <x v="64"/>
    <x v="64"/>
    <x v="0"/>
    <x v="64"/>
    <x v="64"/>
    <x v="8"/>
    <x v="64"/>
    <x v="64"/>
    <x v="4"/>
    <x v="0"/>
    <x v="0"/>
    <x v="64"/>
    <x v="0"/>
    <x v="51"/>
    <x v="0"/>
    <x v="30"/>
    <x v="30"/>
    <x v="30"/>
    <x v="30"/>
    <x v="0"/>
    <x v="2"/>
    <x v="6"/>
    <x v="3"/>
    <x v="0"/>
    <x v="0"/>
    <x v="0"/>
    <x v="0"/>
    <x v="0"/>
    <x v="0"/>
    <x v="17"/>
    <x v="1"/>
    <x v="1"/>
    <x v="0"/>
    <x v="0"/>
    <x v="64"/>
    <x v="64"/>
    <x v="51"/>
    <x v="61"/>
    <x v="2"/>
    <x v="3"/>
    <x v="64"/>
    <x v="58"/>
    <x v="57"/>
    <x v="0"/>
    <x v="0"/>
    <x v="61"/>
    <x v="61"/>
    <x v="0"/>
    <x v="9"/>
    <x v="2"/>
    <x v="0"/>
    <x v="0"/>
    <x v="0"/>
    <x v="56"/>
    <x v="63"/>
  </r>
  <r>
    <x v="65"/>
    <x v="65"/>
    <x v="65"/>
    <x v="0"/>
    <x v="65"/>
    <x v="65"/>
    <x v="8"/>
    <x v="65"/>
    <x v="65"/>
    <x v="3"/>
    <x v="0"/>
    <x v="0"/>
    <x v="65"/>
    <x v="0"/>
    <x v="30"/>
    <x v="0"/>
    <x v="31"/>
    <x v="31"/>
    <x v="31"/>
    <x v="31"/>
    <x v="0"/>
    <x v="0"/>
    <x v="6"/>
    <x v="14"/>
    <x v="1"/>
    <x v="1"/>
    <x v="0"/>
    <x v="0"/>
    <x v="0"/>
    <x v="7"/>
    <x v="1"/>
    <x v="4"/>
    <x v="0"/>
    <x v="1"/>
    <x v="0"/>
    <x v="65"/>
    <x v="65"/>
    <x v="1"/>
    <x v="62"/>
    <x v="1"/>
    <x v="2"/>
    <x v="65"/>
    <x v="59"/>
    <x v="51"/>
    <x v="0"/>
    <x v="1"/>
    <x v="62"/>
    <x v="62"/>
    <x v="0"/>
    <x v="1"/>
    <x v="1"/>
    <x v="0"/>
    <x v="0"/>
    <x v="0"/>
    <x v="57"/>
    <x v="64"/>
  </r>
  <r>
    <x v="66"/>
    <x v="66"/>
    <x v="66"/>
    <x v="0"/>
    <x v="66"/>
    <x v="66"/>
    <x v="0"/>
    <x v="66"/>
    <x v="66"/>
    <x v="5"/>
    <x v="0"/>
    <x v="0"/>
    <x v="66"/>
    <x v="0"/>
    <x v="52"/>
    <x v="2"/>
    <x v="9"/>
    <x v="9"/>
    <x v="9"/>
    <x v="9"/>
    <x v="2"/>
    <x v="1"/>
    <x v="6"/>
    <x v="7"/>
    <x v="1"/>
    <x v="1"/>
    <x v="0"/>
    <x v="0"/>
    <x v="1"/>
    <x v="8"/>
    <x v="10"/>
    <x v="0"/>
    <x v="1"/>
    <x v="0"/>
    <x v="0"/>
    <x v="66"/>
    <x v="66"/>
    <x v="52"/>
    <x v="63"/>
    <x v="22"/>
    <x v="3"/>
    <x v="66"/>
    <x v="60"/>
    <x v="58"/>
    <x v="0"/>
    <x v="0"/>
    <x v="63"/>
    <x v="63"/>
    <x v="0"/>
    <x v="1"/>
    <x v="17"/>
    <x v="0"/>
    <x v="13"/>
    <x v="0"/>
    <x v="58"/>
    <x v="65"/>
  </r>
  <r>
    <x v="67"/>
    <x v="67"/>
    <x v="67"/>
    <x v="0"/>
    <x v="67"/>
    <x v="67"/>
    <x v="17"/>
    <x v="67"/>
    <x v="67"/>
    <x v="3"/>
    <x v="0"/>
    <x v="0"/>
    <x v="67"/>
    <x v="0"/>
    <x v="43"/>
    <x v="7"/>
    <x v="32"/>
    <x v="32"/>
    <x v="32"/>
    <x v="32"/>
    <x v="0"/>
    <x v="0"/>
    <x v="5"/>
    <x v="16"/>
    <x v="6"/>
    <x v="1"/>
    <x v="1"/>
    <x v="0"/>
    <x v="3"/>
    <x v="1"/>
    <x v="8"/>
    <x v="0"/>
    <x v="1"/>
    <x v="0"/>
    <x v="0"/>
    <x v="67"/>
    <x v="67"/>
    <x v="53"/>
    <x v="64"/>
    <x v="36"/>
    <x v="5"/>
    <x v="67"/>
    <x v="61"/>
    <x v="58"/>
    <x v="0"/>
    <x v="1"/>
    <x v="64"/>
    <x v="64"/>
    <x v="0"/>
    <x v="1"/>
    <x v="1"/>
    <x v="0"/>
    <x v="0"/>
    <x v="0"/>
    <x v="59"/>
    <x v="66"/>
  </r>
  <r>
    <x v="68"/>
    <x v="68"/>
    <x v="68"/>
    <x v="0"/>
    <x v="68"/>
    <x v="68"/>
    <x v="9"/>
    <x v="68"/>
    <x v="68"/>
    <x v="4"/>
    <x v="0"/>
    <x v="0"/>
    <x v="68"/>
    <x v="0"/>
    <x v="53"/>
    <x v="0"/>
    <x v="24"/>
    <x v="24"/>
    <x v="24"/>
    <x v="24"/>
    <x v="0"/>
    <x v="0"/>
    <x v="5"/>
    <x v="6"/>
    <x v="3"/>
    <x v="0"/>
    <x v="1"/>
    <x v="0"/>
    <x v="3"/>
    <x v="0"/>
    <x v="4"/>
    <x v="5"/>
    <x v="1"/>
    <x v="0"/>
    <x v="0"/>
    <x v="68"/>
    <x v="68"/>
    <x v="54"/>
    <x v="65"/>
    <x v="37"/>
    <x v="5"/>
    <x v="68"/>
    <x v="62"/>
    <x v="59"/>
    <x v="0"/>
    <x v="2"/>
    <x v="65"/>
    <x v="65"/>
    <x v="0"/>
    <x v="13"/>
    <x v="1"/>
    <x v="0"/>
    <x v="0"/>
    <x v="0"/>
    <x v="60"/>
    <x v="67"/>
  </r>
  <r>
    <x v="69"/>
    <x v="69"/>
    <x v="69"/>
    <x v="0"/>
    <x v="69"/>
    <x v="69"/>
    <x v="31"/>
    <x v="69"/>
    <x v="69"/>
    <x v="11"/>
    <x v="0"/>
    <x v="0"/>
    <x v="69"/>
    <x v="0"/>
    <x v="54"/>
    <x v="3"/>
    <x v="26"/>
    <x v="26"/>
    <x v="26"/>
    <x v="26"/>
    <x v="2"/>
    <x v="1"/>
    <x v="4"/>
    <x v="3"/>
    <x v="1"/>
    <x v="1"/>
    <x v="0"/>
    <x v="0"/>
    <x v="0"/>
    <x v="1"/>
    <x v="9"/>
    <x v="4"/>
    <x v="1"/>
    <x v="0"/>
    <x v="0"/>
    <x v="69"/>
    <x v="69"/>
    <x v="12"/>
    <x v="66"/>
    <x v="1"/>
    <x v="4"/>
    <x v="69"/>
    <x v="63"/>
    <x v="60"/>
    <x v="0"/>
    <x v="0"/>
    <x v="66"/>
    <x v="66"/>
    <x v="0"/>
    <x v="15"/>
    <x v="2"/>
    <x v="0"/>
    <x v="0"/>
    <x v="0"/>
    <x v="61"/>
    <x v="68"/>
  </r>
  <r>
    <x v="70"/>
    <x v="70"/>
    <x v="70"/>
    <x v="0"/>
    <x v="70"/>
    <x v="70"/>
    <x v="32"/>
    <x v="70"/>
    <x v="70"/>
    <x v="3"/>
    <x v="0"/>
    <x v="0"/>
    <x v="70"/>
    <x v="0"/>
    <x v="52"/>
    <x v="2"/>
    <x v="2"/>
    <x v="2"/>
    <x v="2"/>
    <x v="2"/>
    <x v="0"/>
    <x v="0"/>
    <x v="8"/>
    <x v="3"/>
    <x v="0"/>
    <x v="0"/>
    <x v="0"/>
    <x v="0"/>
    <x v="0"/>
    <x v="3"/>
    <x v="7"/>
    <x v="5"/>
    <x v="1"/>
    <x v="0"/>
    <x v="0"/>
    <x v="70"/>
    <x v="70"/>
    <x v="36"/>
    <x v="67"/>
    <x v="9"/>
    <x v="3"/>
    <x v="70"/>
    <x v="1"/>
    <x v="61"/>
    <x v="0"/>
    <x v="1"/>
    <x v="67"/>
    <x v="67"/>
    <x v="0"/>
    <x v="3"/>
    <x v="10"/>
    <x v="0"/>
    <x v="7"/>
    <x v="0"/>
    <x v="62"/>
    <x v="69"/>
  </r>
  <r>
    <x v="71"/>
    <x v="71"/>
    <x v="71"/>
    <x v="0"/>
    <x v="71"/>
    <x v="71"/>
    <x v="26"/>
    <x v="71"/>
    <x v="71"/>
    <x v="5"/>
    <x v="0"/>
    <x v="0"/>
    <x v="71"/>
    <x v="4"/>
    <x v="55"/>
    <x v="0"/>
    <x v="17"/>
    <x v="17"/>
    <x v="17"/>
    <x v="17"/>
    <x v="0"/>
    <x v="0"/>
    <x v="8"/>
    <x v="16"/>
    <x v="0"/>
    <x v="0"/>
    <x v="0"/>
    <x v="0"/>
    <x v="0"/>
    <x v="0"/>
    <x v="2"/>
    <x v="0"/>
    <x v="0"/>
    <x v="0"/>
    <x v="0"/>
    <x v="71"/>
    <x v="71"/>
    <x v="37"/>
    <x v="68"/>
    <x v="1"/>
    <x v="2"/>
    <x v="71"/>
    <x v="64"/>
    <x v="35"/>
    <x v="0"/>
    <x v="0"/>
    <x v="68"/>
    <x v="68"/>
    <x v="0"/>
    <x v="17"/>
    <x v="18"/>
    <x v="1"/>
    <x v="14"/>
    <x v="0"/>
    <x v="63"/>
    <x v="70"/>
  </r>
  <r>
    <x v="72"/>
    <x v="72"/>
    <x v="72"/>
    <x v="0"/>
    <x v="72"/>
    <x v="72"/>
    <x v="33"/>
    <x v="72"/>
    <x v="72"/>
    <x v="11"/>
    <x v="0"/>
    <x v="0"/>
    <x v="72"/>
    <x v="0"/>
    <x v="56"/>
    <x v="0"/>
    <x v="33"/>
    <x v="33"/>
    <x v="33"/>
    <x v="33"/>
    <x v="2"/>
    <x v="1"/>
    <x v="8"/>
    <x v="3"/>
    <x v="0"/>
    <x v="1"/>
    <x v="0"/>
    <x v="0"/>
    <x v="6"/>
    <x v="1"/>
    <x v="11"/>
    <x v="4"/>
    <x v="2"/>
    <x v="5"/>
    <x v="0"/>
    <x v="72"/>
    <x v="72"/>
    <x v="18"/>
    <x v="69"/>
    <x v="38"/>
    <x v="8"/>
    <x v="72"/>
    <x v="65"/>
    <x v="62"/>
    <x v="0"/>
    <x v="5"/>
    <x v="69"/>
    <x v="69"/>
    <x v="0"/>
    <x v="1"/>
    <x v="19"/>
    <x v="0"/>
    <x v="15"/>
    <x v="0"/>
    <x v="64"/>
    <x v="71"/>
  </r>
  <r>
    <x v="73"/>
    <x v="73"/>
    <x v="73"/>
    <x v="0"/>
    <x v="73"/>
    <x v="73"/>
    <x v="3"/>
    <x v="73"/>
    <x v="73"/>
    <x v="3"/>
    <x v="0"/>
    <x v="0"/>
    <x v="73"/>
    <x v="0"/>
    <x v="57"/>
    <x v="4"/>
    <x v="3"/>
    <x v="3"/>
    <x v="3"/>
    <x v="3"/>
    <x v="0"/>
    <x v="0"/>
    <x v="5"/>
    <x v="3"/>
    <x v="0"/>
    <x v="0"/>
    <x v="1"/>
    <x v="0"/>
    <x v="3"/>
    <x v="0"/>
    <x v="5"/>
    <x v="0"/>
    <x v="0"/>
    <x v="0"/>
    <x v="0"/>
    <x v="73"/>
    <x v="73"/>
    <x v="55"/>
    <x v="70"/>
    <x v="1"/>
    <x v="2"/>
    <x v="73"/>
    <x v="66"/>
    <x v="63"/>
    <x v="0"/>
    <x v="0"/>
    <x v="70"/>
    <x v="70"/>
    <x v="0"/>
    <x v="5"/>
    <x v="1"/>
    <x v="0"/>
    <x v="0"/>
    <x v="0"/>
    <x v="65"/>
    <x v="72"/>
  </r>
  <r>
    <x v="74"/>
    <x v="74"/>
    <x v="74"/>
    <x v="0"/>
    <x v="74"/>
    <x v="74"/>
    <x v="1"/>
    <x v="74"/>
    <x v="74"/>
    <x v="7"/>
    <x v="0"/>
    <x v="0"/>
    <x v="74"/>
    <x v="0"/>
    <x v="58"/>
    <x v="0"/>
    <x v="1"/>
    <x v="1"/>
    <x v="1"/>
    <x v="1"/>
    <x v="0"/>
    <x v="0"/>
    <x v="10"/>
    <x v="3"/>
    <x v="0"/>
    <x v="0"/>
    <x v="0"/>
    <x v="1"/>
    <x v="7"/>
    <x v="3"/>
    <x v="11"/>
    <x v="4"/>
    <x v="4"/>
    <x v="6"/>
    <x v="0"/>
    <x v="74"/>
    <x v="74"/>
    <x v="18"/>
    <x v="71"/>
    <x v="39"/>
    <x v="9"/>
    <x v="62"/>
    <x v="67"/>
    <x v="64"/>
    <x v="0"/>
    <x v="2"/>
    <x v="71"/>
    <x v="71"/>
    <x v="0"/>
    <x v="1"/>
    <x v="1"/>
    <x v="0"/>
    <x v="0"/>
    <x v="0"/>
    <x v="66"/>
    <x v="73"/>
  </r>
  <r>
    <x v="75"/>
    <x v="75"/>
    <x v="75"/>
    <x v="0"/>
    <x v="75"/>
    <x v="75"/>
    <x v="14"/>
    <x v="75"/>
    <x v="75"/>
    <x v="3"/>
    <x v="0"/>
    <x v="0"/>
    <x v="75"/>
    <x v="0"/>
    <x v="59"/>
    <x v="0"/>
    <x v="34"/>
    <x v="34"/>
    <x v="34"/>
    <x v="34"/>
    <x v="2"/>
    <x v="4"/>
    <x v="6"/>
    <x v="3"/>
    <x v="0"/>
    <x v="1"/>
    <x v="0"/>
    <x v="0"/>
    <x v="0"/>
    <x v="3"/>
    <x v="11"/>
    <x v="0"/>
    <x v="1"/>
    <x v="0"/>
    <x v="0"/>
    <x v="75"/>
    <x v="75"/>
    <x v="18"/>
    <x v="72"/>
    <x v="22"/>
    <x v="3"/>
    <x v="74"/>
    <x v="68"/>
    <x v="19"/>
    <x v="0"/>
    <x v="0"/>
    <x v="72"/>
    <x v="72"/>
    <x v="0"/>
    <x v="4"/>
    <x v="2"/>
    <x v="0"/>
    <x v="0"/>
    <x v="0"/>
    <x v="67"/>
    <x v="74"/>
  </r>
  <r>
    <x v="76"/>
    <x v="76"/>
    <x v="76"/>
    <x v="0"/>
    <x v="76"/>
    <x v="76"/>
    <x v="34"/>
    <x v="76"/>
    <x v="76"/>
    <x v="4"/>
    <x v="0"/>
    <x v="0"/>
    <x v="76"/>
    <x v="0"/>
    <x v="60"/>
    <x v="2"/>
    <x v="35"/>
    <x v="35"/>
    <x v="35"/>
    <x v="35"/>
    <x v="2"/>
    <x v="1"/>
    <x v="14"/>
    <x v="7"/>
    <x v="1"/>
    <x v="1"/>
    <x v="0"/>
    <x v="0"/>
    <x v="1"/>
    <x v="1"/>
    <x v="3"/>
    <x v="6"/>
    <x v="3"/>
    <x v="4"/>
    <x v="0"/>
    <x v="76"/>
    <x v="76"/>
    <x v="56"/>
    <x v="73"/>
    <x v="16"/>
    <x v="10"/>
    <x v="75"/>
    <x v="69"/>
    <x v="65"/>
    <x v="0"/>
    <x v="4"/>
    <x v="73"/>
    <x v="73"/>
    <x v="0"/>
    <x v="5"/>
    <x v="20"/>
    <x v="3"/>
    <x v="16"/>
    <x v="0"/>
    <x v="68"/>
    <x v="75"/>
  </r>
  <r>
    <x v="77"/>
    <x v="77"/>
    <x v="77"/>
    <x v="0"/>
    <x v="77"/>
    <x v="77"/>
    <x v="26"/>
    <x v="77"/>
    <x v="77"/>
    <x v="3"/>
    <x v="0"/>
    <x v="0"/>
    <x v="77"/>
    <x v="4"/>
    <x v="61"/>
    <x v="2"/>
    <x v="3"/>
    <x v="3"/>
    <x v="3"/>
    <x v="3"/>
    <x v="3"/>
    <x v="0"/>
    <x v="4"/>
    <x v="0"/>
    <x v="2"/>
    <x v="1"/>
    <x v="0"/>
    <x v="0"/>
    <x v="1"/>
    <x v="1"/>
    <x v="2"/>
    <x v="5"/>
    <x v="1"/>
    <x v="0"/>
    <x v="0"/>
    <x v="77"/>
    <x v="77"/>
    <x v="57"/>
    <x v="74"/>
    <x v="29"/>
    <x v="3"/>
    <x v="76"/>
    <x v="70"/>
    <x v="29"/>
    <x v="0"/>
    <x v="1"/>
    <x v="35"/>
    <x v="35"/>
    <x v="0"/>
    <x v="1"/>
    <x v="4"/>
    <x v="0"/>
    <x v="1"/>
    <x v="0"/>
    <x v="69"/>
    <x v="76"/>
  </r>
  <r>
    <x v="78"/>
    <x v="78"/>
    <x v="78"/>
    <x v="0"/>
    <x v="78"/>
    <x v="78"/>
    <x v="8"/>
    <x v="78"/>
    <x v="78"/>
    <x v="1"/>
    <x v="0"/>
    <x v="0"/>
    <x v="78"/>
    <x v="0"/>
    <x v="62"/>
    <x v="3"/>
    <x v="23"/>
    <x v="23"/>
    <x v="23"/>
    <x v="23"/>
    <x v="2"/>
    <x v="1"/>
    <x v="2"/>
    <x v="7"/>
    <x v="1"/>
    <x v="1"/>
    <x v="1"/>
    <x v="0"/>
    <x v="3"/>
    <x v="1"/>
    <x v="15"/>
    <x v="2"/>
    <x v="1"/>
    <x v="0"/>
    <x v="0"/>
    <x v="78"/>
    <x v="78"/>
    <x v="58"/>
    <x v="75"/>
    <x v="6"/>
    <x v="5"/>
    <x v="77"/>
    <x v="71"/>
    <x v="66"/>
    <x v="0"/>
    <x v="0"/>
    <x v="74"/>
    <x v="74"/>
    <x v="0"/>
    <x v="4"/>
    <x v="1"/>
    <x v="0"/>
    <x v="0"/>
    <x v="0"/>
    <x v="70"/>
    <x v="77"/>
  </r>
  <r>
    <x v="79"/>
    <x v="79"/>
    <x v="79"/>
    <x v="0"/>
    <x v="79"/>
    <x v="79"/>
    <x v="35"/>
    <x v="79"/>
    <x v="79"/>
    <x v="3"/>
    <x v="0"/>
    <x v="0"/>
    <x v="79"/>
    <x v="0"/>
    <x v="63"/>
    <x v="0"/>
    <x v="17"/>
    <x v="17"/>
    <x v="17"/>
    <x v="17"/>
    <x v="0"/>
    <x v="0"/>
    <x v="3"/>
    <x v="7"/>
    <x v="0"/>
    <x v="0"/>
    <x v="0"/>
    <x v="0"/>
    <x v="0"/>
    <x v="0"/>
    <x v="0"/>
    <x v="1"/>
    <x v="0"/>
    <x v="1"/>
    <x v="0"/>
    <x v="79"/>
    <x v="79"/>
    <x v="4"/>
    <x v="76"/>
    <x v="3"/>
    <x v="2"/>
    <x v="78"/>
    <x v="72"/>
    <x v="67"/>
    <x v="0"/>
    <x v="1"/>
    <x v="75"/>
    <x v="75"/>
    <x v="0"/>
    <x v="5"/>
    <x v="21"/>
    <x v="2"/>
    <x v="17"/>
    <x v="0"/>
    <x v="48"/>
    <x v="78"/>
  </r>
  <r>
    <x v="80"/>
    <x v="80"/>
    <x v="80"/>
    <x v="0"/>
    <x v="80"/>
    <x v="80"/>
    <x v="6"/>
    <x v="80"/>
    <x v="80"/>
    <x v="4"/>
    <x v="0"/>
    <x v="0"/>
    <x v="80"/>
    <x v="0"/>
    <x v="64"/>
    <x v="0"/>
    <x v="9"/>
    <x v="9"/>
    <x v="9"/>
    <x v="9"/>
    <x v="2"/>
    <x v="1"/>
    <x v="8"/>
    <x v="7"/>
    <x v="1"/>
    <x v="1"/>
    <x v="0"/>
    <x v="0"/>
    <x v="1"/>
    <x v="1"/>
    <x v="9"/>
    <x v="4"/>
    <x v="0"/>
    <x v="6"/>
    <x v="0"/>
    <x v="80"/>
    <x v="80"/>
    <x v="12"/>
    <x v="77"/>
    <x v="40"/>
    <x v="2"/>
    <x v="79"/>
    <x v="73"/>
    <x v="68"/>
    <x v="0"/>
    <x v="5"/>
    <x v="76"/>
    <x v="76"/>
    <x v="0"/>
    <x v="1"/>
    <x v="22"/>
    <x v="2"/>
    <x v="18"/>
    <x v="0"/>
    <x v="71"/>
    <x v="79"/>
  </r>
  <r>
    <x v="81"/>
    <x v="81"/>
    <x v="81"/>
    <x v="0"/>
    <x v="81"/>
    <x v="81"/>
    <x v="36"/>
    <x v="81"/>
    <x v="81"/>
    <x v="4"/>
    <x v="0"/>
    <x v="0"/>
    <x v="81"/>
    <x v="0"/>
    <x v="63"/>
    <x v="0"/>
    <x v="36"/>
    <x v="36"/>
    <x v="36"/>
    <x v="36"/>
    <x v="0"/>
    <x v="0"/>
    <x v="5"/>
    <x v="3"/>
    <x v="0"/>
    <x v="0"/>
    <x v="1"/>
    <x v="0"/>
    <x v="3"/>
    <x v="0"/>
    <x v="8"/>
    <x v="0"/>
    <x v="0"/>
    <x v="0"/>
    <x v="0"/>
    <x v="81"/>
    <x v="81"/>
    <x v="59"/>
    <x v="78"/>
    <x v="13"/>
    <x v="1"/>
    <x v="80"/>
    <x v="74"/>
    <x v="69"/>
    <x v="0"/>
    <x v="0"/>
    <x v="77"/>
    <x v="77"/>
    <x v="0"/>
    <x v="5"/>
    <x v="1"/>
    <x v="0"/>
    <x v="0"/>
    <x v="0"/>
    <x v="72"/>
    <x v="80"/>
  </r>
  <r>
    <x v="82"/>
    <x v="82"/>
    <x v="82"/>
    <x v="0"/>
    <x v="82"/>
    <x v="82"/>
    <x v="26"/>
    <x v="82"/>
    <x v="82"/>
    <x v="4"/>
    <x v="0"/>
    <x v="0"/>
    <x v="82"/>
    <x v="4"/>
    <x v="65"/>
    <x v="1"/>
    <x v="2"/>
    <x v="2"/>
    <x v="2"/>
    <x v="2"/>
    <x v="0"/>
    <x v="0"/>
    <x v="8"/>
    <x v="3"/>
    <x v="0"/>
    <x v="1"/>
    <x v="0"/>
    <x v="0"/>
    <x v="0"/>
    <x v="0"/>
    <x v="1"/>
    <x v="5"/>
    <x v="1"/>
    <x v="0"/>
    <x v="0"/>
    <x v="82"/>
    <x v="82"/>
    <x v="60"/>
    <x v="79"/>
    <x v="41"/>
    <x v="3"/>
    <x v="81"/>
    <x v="1"/>
    <x v="70"/>
    <x v="7"/>
    <x v="0"/>
    <x v="78"/>
    <x v="78"/>
    <x v="0"/>
    <x v="1"/>
    <x v="4"/>
    <x v="0"/>
    <x v="1"/>
    <x v="0"/>
    <x v="73"/>
    <x v="81"/>
  </r>
  <r>
    <x v="83"/>
    <x v="83"/>
    <x v="83"/>
    <x v="0"/>
    <x v="83"/>
    <x v="83"/>
    <x v="15"/>
    <x v="83"/>
    <x v="83"/>
    <x v="4"/>
    <x v="0"/>
    <x v="0"/>
    <x v="83"/>
    <x v="0"/>
    <x v="53"/>
    <x v="0"/>
    <x v="15"/>
    <x v="15"/>
    <x v="15"/>
    <x v="15"/>
    <x v="0"/>
    <x v="0"/>
    <x v="6"/>
    <x v="11"/>
    <x v="0"/>
    <x v="0"/>
    <x v="1"/>
    <x v="0"/>
    <x v="0"/>
    <x v="0"/>
    <x v="8"/>
    <x v="0"/>
    <x v="0"/>
    <x v="0"/>
    <x v="0"/>
    <x v="83"/>
    <x v="83"/>
    <x v="61"/>
    <x v="80"/>
    <x v="31"/>
    <x v="2"/>
    <x v="82"/>
    <x v="75"/>
    <x v="71"/>
    <x v="0"/>
    <x v="1"/>
    <x v="79"/>
    <x v="79"/>
    <x v="0"/>
    <x v="1"/>
    <x v="1"/>
    <x v="0"/>
    <x v="0"/>
    <x v="0"/>
    <x v="74"/>
    <x v="82"/>
  </r>
  <r>
    <x v="84"/>
    <x v="84"/>
    <x v="84"/>
    <x v="0"/>
    <x v="84"/>
    <x v="84"/>
    <x v="26"/>
    <x v="84"/>
    <x v="84"/>
    <x v="4"/>
    <x v="0"/>
    <x v="0"/>
    <x v="84"/>
    <x v="4"/>
    <x v="66"/>
    <x v="0"/>
    <x v="37"/>
    <x v="37"/>
    <x v="37"/>
    <x v="37"/>
    <x v="2"/>
    <x v="1"/>
    <x v="6"/>
    <x v="1"/>
    <x v="1"/>
    <x v="1"/>
    <x v="1"/>
    <x v="0"/>
    <x v="3"/>
    <x v="1"/>
    <x v="15"/>
    <x v="2"/>
    <x v="2"/>
    <x v="0"/>
    <x v="0"/>
    <x v="84"/>
    <x v="84"/>
    <x v="62"/>
    <x v="81"/>
    <x v="33"/>
    <x v="8"/>
    <x v="83"/>
    <x v="76"/>
    <x v="51"/>
    <x v="0"/>
    <x v="2"/>
    <x v="80"/>
    <x v="80"/>
    <x v="0"/>
    <x v="1"/>
    <x v="2"/>
    <x v="0"/>
    <x v="0"/>
    <x v="0"/>
    <x v="75"/>
    <x v="83"/>
  </r>
  <r>
    <x v="85"/>
    <x v="85"/>
    <x v="85"/>
    <x v="0"/>
    <x v="85"/>
    <x v="85"/>
    <x v="37"/>
    <x v="85"/>
    <x v="85"/>
    <x v="4"/>
    <x v="0"/>
    <x v="0"/>
    <x v="85"/>
    <x v="0"/>
    <x v="67"/>
    <x v="2"/>
    <x v="3"/>
    <x v="3"/>
    <x v="3"/>
    <x v="3"/>
    <x v="2"/>
    <x v="0"/>
    <x v="0"/>
    <x v="9"/>
    <x v="2"/>
    <x v="0"/>
    <x v="0"/>
    <x v="0"/>
    <x v="0"/>
    <x v="3"/>
    <x v="8"/>
    <x v="0"/>
    <x v="0"/>
    <x v="3"/>
    <x v="0"/>
    <x v="85"/>
    <x v="85"/>
    <x v="25"/>
    <x v="82"/>
    <x v="22"/>
    <x v="1"/>
    <x v="84"/>
    <x v="2"/>
    <x v="72"/>
    <x v="0"/>
    <x v="0"/>
    <x v="81"/>
    <x v="81"/>
    <x v="0"/>
    <x v="1"/>
    <x v="10"/>
    <x v="0"/>
    <x v="7"/>
    <x v="0"/>
    <x v="76"/>
    <x v="84"/>
  </r>
  <r>
    <x v="86"/>
    <x v="86"/>
    <x v="86"/>
    <x v="0"/>
    <x v="86"/>
    <x v="86"/>
    <x v="38"/>
    <x v="86"/>
    <x v="86"/>
    <x v="3"/>
    <x v="3"/>
    <x v="0"/>
    <x v="86"/>
    <x v="8"/>
    <x v="9"/>
    <x v="0"/>
    <x v="38"/>
    <x v="38"/>
    <x v="38"/>
    <x v="38"/>
    <x v="2"/>
    <x v="1"/>
    <x v="12"/>
    <x v="7"/>
    <x v="2"/>
    <x v="1"/>
    <x v="0"/>
    <x v="0"/>
    <x v="0"/>
    <x v="4"/>
    <x v="3"/>
    <x v="4"/>
    <x v="1"/>
    <x v="0"/>
    <x v="0"/>
    <x v="86"/>
    <x v="86"/>
    <x v="63"/>
    <x v="83"/>
    <x v="11"/>
    <x v="3"/>
    <x v="85"/>
    <x v="65"/>
    <x v="73"/>
    <x v="0"/>
    <x v="3"/>
    <x v="82"/>
    <x v="82"/>
    <x v="0"/>
    <x v="6"/>
    <x v="23"/>
    <x v="0"/>
    <x v="19"/>
    <x v="0"/>
    <x v="77"/>
    <x v="85"/>
  </r>
  <r>
    <x v="87"/>
    <x v="87"/>
    <x v="87"/>
    <x v="0"/>
    <x v="87"/>
    <x v="87"/>
    <x v="39"/>
    <x v="87"/>
    <x v="87"/>
    <x v="1"/>
    <x v="0"/>
    <x v="0"/>
    <x v="87"/>
    <x v="9"/>
    <x v="68"/>
    <x v="0"/>
    <x v="27"/>
    <x v="27"/>
    <x v="27"/>
    <x v="27"/>
    <x v="2"/>
    <x v="4"/>
    <x v="10"/>
    <x v="3"/>
    <x v="1"/>
    <x v="1"/>
    <x v="0"/>
    <x v="1"/>
    <x v="7"/>
    <x v="1"/>
    <x v="17"/>
    <x v="0"/>
    <x v="1"/>
    <x v="0"/>
    <x v="0"/>
    <x v="87"/>
    <x v="87"/>
    <x v="64"/>
    <x v="84"/>
    <x v="41"/>
    <x v="4"/>
    <x v="86"/>
    <x v="1"/>
    <x v="1"/>
    <x v="0"/>
    <x v="2"/>
    <x v="83"/>
    <x v="83"/>
    <x v="0"/>
    <x v="18"/>
    <x v="24"/>
    <x v="3"/>
    <x v="20"/>
    <x v="0"/>
    <x v="78"/>
    <x v="86"/>
  </r>
  <r>
    <x v="88"/>
    <x v="88"/>
    <x v="88"/>
    <x v="0"/>
    <x v="88"/>
    <x v="88"/>
    <x v="40"/>
    <x v="88"/>
    <x v="88"/>
    <x v="5"/>
    <x v="0"/>
    <x v="0"/>
    <x v="88"/>
    <x v="0"/>
    <x v="69"/>
    <x v="8"/>
    <x v="4"/>
    <x v="4"/>
    <x v="4"/>
    <x v="4"/>
    <x v="0"/>
    <x v="0"/>
    <x v="5"/>
    <x v="16"/>
    <x v="3"/>
    <x v="0"/>
    <x v="1"/>
    <x v="0"/>
    <x v="3"/>
    <x v="0"/>
    <x v="18"/>
    <x v="2"/>
    <x v="5"/>
    <x v="6"/>
    <x v="0"/>
    <x v="88"/>
    <x v="88"/>
    <x v="65"/>
    <x v="85"/>
    <x v="42"/>
    <x v="11"/>
    <x v="87"/>
    <x v="77"/>
    <x v="74"/>
    <x v="8"/>
    <x v="3"/>
    <x v="25"/>
    <x v="25"/>
    <x v="0"/>
    <x v="1"/>
    <x v="25"/>
    <x v="0"/>
    <x v="0"/>
    <x v="0"/>
    <x v="41"/>
    <x v="87"/>
  </r>
  <r>
    <x v="89"/>
    <x v="89"/>
    <x v="89"/>
    <x v="0"/>
    <x v="89"/>
    <x v="89"/>
    <x v="41"/>
    <x v="89"/>
    <x v="89"/>
    <x v="4"/>
    <x v="0"/>
    <x v="0"/>
    <x v="89"/>
    <x v="10"/>
    <x v="70"/>
    <x v="0"/>
    <x v="9"/>
    <x v="9"/>
    <x v="9"/>
    <x v="9"/>
    <x v="2"/>
    <x v="4"/>
    <x v="2"/>
    <x v="1"/>
    <x v="0"/>
    <x v="1"/>
    <x v="1"/>
    <x v="0"/>
    <x v="3"/>
    <x v="1"/>
    <x v="11"/>
    <x v="4"/>
    <x v="4"/>
    <x v="5"/>
    <x v="0"/>
    <x v="89"/>
    <x v="89"/>
    <x v="66"/>
    <x v="86"/>
    <x v="33"/>
    <x v="12"/>
    <x v="88"/>
    <x v="78"/>
    <x v="75"/>
    <x v="0"/>
    <x v="4"/>
    <x v="84"/>
    <x v="84"/>
    <x v="0"/>
    <x v="1"/>
    <x v="1"/>
    <x v="0"/>
    <x v="0"/>
    <x v="0"/>
    <x v="44"/>
    <x v="88"/>
  </r>
  <r>
    <x v="90"/>
    <x v="90"/>
    <x v="90"/>
    <x v="0"/>
    <x v="90"/>
    <x v="90"/>
    <x v="22"/>
    <x v="90"/>
    <x v="90"/>
    <x v="3"/>
    <x v="0"/>
    <x v="0"/>
    <x v="90"/>
    <x v="0"/>
    <x v="71"/>
    <x v="3"/>
    <x v="39"/>
    <x v="39"/>
    <x v="39"/>
    <x v="39"/>
    <x v="2"/>
    <x v="4"/>
    <x v="8"/>
    <x v="1"/>
    <x v="0"/>
    <x v="1"/>
    <x v="0"/>
    <x v="0"/>
    <x v="0"/>
    <x v="1"/>
    <x v="16"/>
    <x v="2"/>
    <x v="1"/>
    <x v="0"/>
    <x v="0"/>
    <x v="90"/>
    <x v="90"/>
    <x v="30"/>
    <x v="87"/>
    <x v="2"/>
    <x v="3"/>
    <x v="89"/>
    <x v="79"/>
    <x v="37"/>
    <x v="0"/>
    <x v="2"/>
    <x v="85"/>
    <x v="85"/>
    <x v="0"/>
    <x v="1"/>
    <x v="9"/>
    <x v="0"/>
    <x v="6"/>
    <x v="0"/>
    <x v="79"/>
    <x v="89"/>
  </r>
  <r>
    <x v="91"/>
    <x v="91"/>
    <x v="91"/>
    <x v="0"/>
    <x v="91"/>
    <x v="91"/>
    <x v="22"/>
    <x v="91"/>
    <x v="91"/>
    <x v="3"/>
    <x v="0"/>
    <x v="0"/>
    <x v="91"/>
    <x v="0"/>
    <x v="59"/>
    <x v="0"/>
    <x v="27"/>
    <x v="27"/>
    <x v="27"/>
    <x v="27"/>
    <x v="2"/>
    <x v="1"/>
    <x v="8"/>
    <x v="0"/>
    <x v="1"/>
    <x v="1"/>
    <x v="0"/>
    <x v="0"/>
    <x v="6"/>
    <x v="1"/>
    <x v="0"/>
    <x v="2"/>
    <x v="1"/>
    <x v="0"/>
    <x v="0"/>
    <x v="91"/>
    <x v="91"/>
    <x v="4"/>
    <x v="88"/>
    <x v="6"/>
    <x v="4"/>
    <x v="90"/>
    <x v="80"/>
    <x v="76"/>
    <x v="0"/>
    <x v="2"/>
    <x v="86"/>
    <x v="86"/>
    <x v="0"/>
    <x v="1"/>
    <x v="9"/>
    <x v="0"/>
    <x v="6"/>
    <x v="0"/>
    <x v="80"/>
    <x v="90"/>
  </r>
  <r>
    <x v="92"/>
    <x v="92"/>
    <x v="92"/>
    <x v="0"/>
    <x v="92"/>
    <x v="92"/>
    <x v="42"/>
    <x v="92"/>
    <x v="92"/>
    <x v="3"/>
    <x v="0"/>
    <x v="0"/>
    <x v="92"/>
    <x v="0"/>
    <x v="72"/>
    <x v="8"/>
    <x v="22"/>
    <x v="22"/>
    <x v="22"/>
    <x v="22"/>
    <x v="0"/>
    <x v="0"/>
    <x v="6"/>
    <x v="1"/>
    <x v="0"/>
    <x v="0"/>
    <x v="0"/>
    <x v="0"/>
    <x v="0"/>
    <x v="0"/>
    <x v="2"/>
    <x v="1"/>
    <x v="1"/>
    <x v="1"/>
    <x v="0"/>
    <x v="92"/>
    <x v="92"/>
    <x v="67"/>
    <x v="89"/>
    <x v="8"/>
    <x v="3"/>
    <x v="91"/>
    <x v="81"/>
    <x v="68"/>
    <x v="0"/>
    <x v="0"/>
    <x v="87"/>
    <x v="87"/>
    <x v="0"/>
    <x v="1"/>
    <x v="26"/>
    <x v="0"/>
    <x v="21"/>
    <x v="0"/>
    <x v="81"/>
    <x v="91"/>
  </r>
  <r>
    <x v="93"/>
    <x v="93"/>
    <x v="93"/>
    <x v="0"/>
    <x v="93"/>
    <x v="93"/>
    <x v="43"/>
    <x v="93"/>
    <x v="93"/>
    <x v="3"/>
    <x v="0"/>
    <x v="0"/>
    <x v="93"/>
    <x v="0"/>
    <x v="73"/>
    <x v="0"/>
    <x v="40"/>
    <x v="40"/>
    <x v="40"/>
    <x v="40"/>
    <x v="0"/>
    <x v="0"/>
    <x v="11"/>
    <x v="11"/>
    <x v="0"/>
    <x v="0"/>
    <x v="0"/>
    <x v="0"/>
    <x v="0"/>
    <x v="0"/>
    <x v="13"/>
    <x v="1"/>
    <x v="0"/>
    <x v="0"/>
    <x v="0"/>
    <x v="93"/>
    <x v="93"/>
    <x v="68"/>
    <x v="90"/>
    <x v="43"/>
    <x v="2"/>
    <x v="92"/>
    <x v="82"/>
    <x v="77"/>
    <x v="0"/>
    <x v="0"/>
    <x v="88"/>
    <x v="88"/>
    <x v="0"/>
    <x v="1"/>
    <x v="1"/>
    <x v="0"/>
    <x v="0"/>
    <x v="0"/>
    <x v="82"/>
    <x v="92"/>
  </r>
  <r>
    <x v="94"/>
    <x v="94"/>
    <x v="94"/>
    <x v="0"/>
    <x v="94"/>
    <x v="94"/>
    <x v="44"/>
    <x v="94"/>
    <x v="94"/>
    <x v="11"/>
    <x v="0"/>
    <x v="0"/>
    <x v="94"/>
    <x v="0"/>
    <x v="74"/>
    <x v="0"/>
    <x v="17"/>
    <x v="17"/>
    <x v="17"/>
    <x v="17"/>
    <x v="0"/>
    <x v="0"/>
    <x v="7"/>
    <x v="3"/>
    <x v="0"/>
    <x v="0"/>
    <x v="0"/>
    <x v="0"/>
    <x v="0"/>
    <x v="0"/>
    <x v="8"/>
    <x v="4"/>
    <x v="2"/>
    <x v="5"/>
    <x v="0"/>
    <x v="94"/>
    <x v="94"/>
    <x v="69"/>
    <x v="91"/>
    <x v="29"/>
    <x v="8"/>
    <x v="93"/>
    <x v="83"/>
    <x v="78"/>
    <x v="0"/>
    <x v="1"/>
    <x v="89"/>
    <x v="89"/>
    <x v="0"/>
    <x v="1"/>
    <x v="27"/>
    <x v="2"/>
    <x v="22"/>
    <x v="0"/>
    <x v="83"/>
    <x v="93"/>
  </r>
  <r>
    <x v="95"/>
    <x v="95"/>
    <x v="95"/>
    <x v="0"/>
    <x v="95"/>
    <x v="95"/>
    <x v="8"/>
    <x v="95"/>
    <x v="95"/>
    <x v="1"/>
    <x v="0"/>
    <x v="0"/>
    <x v="95"/>
    <x v="0"/>
    <x v="75"/>
    <x v="3"/>
    <x v="41"/>
    <x v="41"/>
    <x v="41"/>
    <x v="41"/>
    <x v="2"/>
    <x v="1"/>
    <x v="1"/>
    <x v="7"/>
    <x v="1"/>
    <x v="1"/>
    <x v="0"/>
    <x v="0"/>
    <x v="0"/>
    <x v="1"/>
    <x v="9"/>
    <x v="2"/>
    <x v="1"/>
    <x v="0"/>
    <x v="0"/>
    <x v="95"/>
    <x v="95"/>
    <x v="12"/>
    <x v="92"/>
    <x v="11"/>
    <x v="3"/>
    <x v="94"/>
    <x v="84"/>
    <x v="79"/>
    <x v="0"/>
    <x v="2"/>
    <x v="90"/>
    <x v="90"/>
    <x v="0"/>
    <x v="11"/>
    <x v="1"/>
    <x v="0"/>
    <x v="0"/>
    <x v="0"/>
    <x v="70"/>
    <x v="94"/>
  </r>
  <r>
    <x v="96"/>
    <x v="96"/>
    <x v="96"/>
    <x v="0"/>
    <x v="96"/>
    <x v="96"/>
    <x v="8"/>
    <x v="96"/>
    <x v="96"/>
    <x v="3"/>
    <x v="0"/>
    <x v="0"/>
    <x v="96"/>
    <x v="0"/>
    <x v="76"/>
    <x v="7"/>
    <x v="12"/>
    <x v="12"/>
    <x v="12"/>
    <x v="12"/>
    <x v="0"/>
    <x v="0"/>
    <x v="5"/>
    <x v="6"/>
    <x v="0"/>
    <x v="0"/>
    <x v="1"/>
    <x v="0"/>
    <x v="3"/>
    <x v="0"/>
    <x v="13"/>
    <x v="4"/>
    <x v="1"/>
    <x v="2"/>
    <x v="0"/>
    <x v="96"/>
    <x v="96"/>
    <x v="22"/>
    <x v="93"/>
    <x v="24"/>
    <x v="5"/>
    <x v="95"/>
    <x v="1"/>
    <x v="1"/>
    <x v="0"/>
    <x v="1"/>
    <x v="91"/>
    <x v="91"/>
    <x v="0"/>
    <x v="0"/>
    <x v="1"/>
    <x v="0"/>
    <x v="0"/>
    <x v="0"/>
    <x v="84"/>
    <x v="95"/>
  </r>
  <r>
    <x v="97"/>
    <x v="97"/>
    <x v="97"/>
    <x v="0"/>
    <x v="97"/>
    <x v="97"/>
    <x v="36"/>
    <x v="97"/>
    <x v="97"/>
    <x v="4"/>
    <x v="0"/>
    <x v="0"/>
    <x v="97"/>
    <x v="0"/>
    <x v="77"/>
    <x v="0"/>
    <x v="42"/>
    <x v="42"/>
    <x v="42"/>
    <x v="42"/>
    <x v="0"/>
    <x v="0"/>
    <x v="5"/>
    <x v="1"/>
    <x v="0"/>
    <x v="0"/>
    <x v="1"/>
    <x v="0"/>
    <x v="3"/>
    <x v="0"/>
    <x v="5"/>
    <x v="0"/>
    <x v="0"/>
    <x v="0"/>
    <x v="0"/>
    <x v="97"/>
    <x v="97"/>
    <x v="70"/>
    <x v="94"/>
    <x v="0"/>
    <x v="2"/>
    <x v="96"/>
    <x v="85"/>
    <x v="72"/>
    <x v="0"/>
    <x v="1"/>
    <x v="77"/>
    <x v="77"/>
    <x v="0"/>
    <x v="5"/>
    <x v="1"/>
    <x v="0"/>
    <x v="0"/>
    <x v="0"/>
    <x v="85"/>
    <x v="96"/>
  </r>
  <r>
    <x v="98"/>
    <x v="98"/>
    <x v="98"/>
    <x v="0"/>
    <x v="98"/>
    <x v="98"/>
    <x v="45"/>
    <x v="98"/>
    <x v="98"/>
    <x v="3"/>
    <x v="0"/>
    <x v="0"/>
    <x v="98"/>
    <x v="0"/>
    <x v="78"/>
    <x v="0"/>
    <x v="43"/>
    <x v="43"/>
    <x v="43"/>
    <x v="43"/>
    <x v="2"/>
    <x v="1"/>
    <x v="14"/>
    <x v="7"/>
    <x v="1"/>
    <x v="1"/>
    <x v="0"/>
    <x v="0"/>
    <x v="0"/>
    <x v="1"/>
    <x v="7"/>
    <x v="1"/>
    <x v="1"/>
    <x v="3"/>
    <x v="0"/>
    <x v="98"/>
    <x v="98"/>
    <x v="36"/>
    <x v="95"/>
    <x v="16"/>
    <x v="5"/>
    <x v="97"/>
    <x v="86"/>
    <x v="29"/>
    <x v="0"/>
    <x v="2"/>
    <x v="6"/>
    <x v="6"/>
    <x v="0"/>
    <x v="5"/>
    <x v="28"/>
    <x v="3"/>
    <x v="23"/>
    <x v="0"/>
    <x v="62"/>
    <x v="97"/>
  </r>
  <r>
    <x v="99"/>
    <x v="99"/>
    <x v="99"/>
    <x v="0"/>
    <x v="99"/>
    <x v="99"/>
    <x v="46"/>
    <x v="99"/>
    <x v="99"/>
    <x v="4"/>
    <x v="0"/>
    <x v="0"/>
    <x v="99"/>
    <x v="0"/>
    <x v="79"/>
    <x v="7"/>
    <x v="22"/>
    <x v="22"/>
    <x v="22"/>
    <x v="22"/>
    <x v="0"/>
    <x v="0"/>
    <x v="6"/>
    <x v="3"/>
    <x v="0"/>
    <x v="0"/>
    <x v="1"/>
    <x v="0"/>
    <x v="3"/>
    <x v="0"/>
    <x v="14"/>
    <x v="1"/>
    <x v="1"/>
    <x v="0"/>
    <x v="0"/>
    <x v="99"/>
    <x v="99"/>
    <x v="71"/>
    <x v="96"/>
    <x v="9"/>
    <x v="3"/>
    <x v="98"/>
    <x v="52"/>
    <x v="80"/>
    <x v="0"/>
    <x v="1"/>
    <x v="92"/>
    <x v="92"/>
    <x v="0"/>
    <x v="4"/>
    <x v="2"/>
    <x v="0"/>
    <x v="0"/>
    <x v="0"/>
    <x v="86"/>
    <x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365:E368"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axis="axisRow" compact="0" sortType="descending" showAll="0">
      <items count="3">
        <item x="0"/>
        <item x="1"/>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5"/>
  </rowFields>
  <rowItems count="3">
    <i>
      <x/>
    </i>
    <i>
      <x v="1"/>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0">
      <pivotArea type="all" dataOnly="0" outline="0" fieldPosition="0"/>
    </format>
    <format dxfId="1">
      <pivotArea type="all" dataOnly="0" outline="0" fieldPosition="0"/>
    </format>
    <format dxfId="2">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417:E427"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axis="axisRow"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9"/>
  </rowFields>
  <rowItems count="10">
    <i>
      <x/>
    </i>
    <i>
      <x v="3"/>
    </i>
    <i>
      <x v="1"/>
    </i>
    <i>
      <x v="5"/>
    </i>
    <i>
      <x v="4"/>
    </i>
    <i>
      <x v="2"/>
    </i>
    <i>
      <x v="6"/>
    </i>
    <i>
      <x v="7"/>
    </i>
    <i>
      <x v="8"/>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3">
      <pivotArea type="all" dataOnly="0" outline="0" fieldPosition="0"/>
    </format>
    <format dxfId="4">
      <pivotArea type="all" dataOnly="0" outline="0" fieldPosition="0"/>
    </format>
    <format dxfId="5">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910:F989"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axis="axisRow"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3"/>
  </rowFields>
  <rowItems count="79">
    <i>
      <x/>
    </i>
    <i r="1">
      <x/>
    </i>
    <i r="1">
      <x v="4"/>
    </i>
    <i r="1">
      <x v="7"/>
    </i>
    <i r="1">
      <x v="3"/>
    </i>
    <i>
      <x v="2"/>
    </i>
    <i r="1">
      <x v="3"/>
    </i>
    <i r="1">
      <x v="2"/>
    </i>
    <i r="1">
      <x v="7"/>
    </i>
    <i r="1">
      <x v="1"/>
    </i>
    <i r="1">
      <x/>
    </i>
    <i r="1">
      <x v="16"/>
    </i>
    <i>
      <x v="1"/>
    </i>
    <i r="1">
      <x v="1"/>
    </i>
    <i r="1">
      <x v="3"/>
    </i>
    <i r="1">
      <x v="14"/>
    </i>
    <i r="1">
      <x v="7"/>
    </i>
    <i>
      <x v="13"/>
    </i>
    <i r="1">
      <x v="10"/>
    </i>
    <i r="1">
      <x v="6"/>
    </i>
    <i r="1">
      <x v="14"/>
    </i>
    <i r="1">
      <x v="11"/>
    </i>
    <i>
      <x v="3"/>
    </i>
    <i r="1">
      <x v="5"/>
    </i>
    <i r="1">
      <x v="7"/>
    </i>
    <i r="1">
      <x v="9"/>
    </i>
    <i r="1">
      <x v="10"/>
    </i>
    <i>
      <x v="8"/>
    </i>
    <i r="1">
      <x v="3"/>
    </i>
    <i r="1">
      <x v="1"/>
    </i>
    <i r="1">
      <x/>
    </i>
    <i r="1">
      <x v="6"/>
    </i>
    <i r="1">
      <x v="11"/>
    </i>
    <i r="1">
      <x v="16"/>
    </i>
    <i r="1">
      <x v="9"/>
    </i>
    <i>
      <x v="7"/>
    </i>
    <i r="1">
      <x v="8"/>
    </i>
    <i r="1">
      <x v="7"/>
    </i>
    <i r="1">
      <x v="12"/>
    </i>
    <i r="1">
      <x v="3"/>
    </i>
    <i>
      <x v="9"/>
    </i>
    <i r="1">
      <x v="8"/>
    </i>
    <i r="1">
      <x v="7"/>
    </i>
    <i r="1">
      <x v="11"/>
    </i>
    <i r="1">
      <x v="3"/>
    </i>
    <i>
      <x v="4"/>
    </i>
    <i r="1">
      <x v="6"/>
    </i>
    <i r="1">
      <x v="15"/>
    </i>
    <i>
      <x v="11"/>
    </i>
    <i r="1">
      <x v="3"/>
    </i>
    <i r="1">
      <x v="1"/>
    </i>
    <i>
      <x v="10"/>
    </i>
    <i r="1">
      <x v="3"/>
    </i>
    <i r="1">
      <x v="7"/>
    </i>
    <i>
      <x v="5"/>
    </i>
    <i r="1">
      <x v="1"/>
    </i>
    <i r="1">
      <x v="11"/>
    </i>
    <i r="1">
      <x v="3"/>
    </i>
    <i>
      <x v="6"/>
    </i>
    <i r="1">
      <x v="5"/>
    </i>
    <i r="1">
      <x v="11"/>
    </i>
    <i>
      <x v="16"/>
    </i>
    <i r="1">
      <x v="3"/>
    </i>
    <i r="1">
      <x v="1"/>
    </i>
    <i r="1">
      <x v="11"/>
    </i>
    <i>
      <x v="12"/>
    </i>
    <i r="1">
      <x v="1"/>
    </i>
    <i r="1">
      <x v="7"/>
    </i>
    <i>
      <x v="18"/>
    </i>
    <i r="1">
      <x v="16"/>
    </i>
    <i>
      <x v="14"/>
    </i>
    <i r="1">
      <x v="13"/>
    </i>
    <i r="1">
      <x v="3"/>
    </i>
    <i>
      <x v="15"/>
    </i>
    <i r="1">
      <x v="7"/>
    </i>
    <i r="1">
      <x v="1"/>
    </i>
    <i>
      <x v="17"/>
    </i>
    <i r="1">
      <x v="3"/>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6">
      <pivotArea type="all" dataOnly="0" outline="0" fieldPosition="0"/>
    </format>
    <format dxfId="7">
      <pivotArea type="all" dataOnly="0" outline="0" fieldPosition="0"/>
    </format>
    <format dxfId="8">
      <pivotArea type="all" dataOnly="0" outline="0" fieldPosition="0"/>
    </format>
    <format dxfId="9">
      <pivotArea dataOnly="0" labelOnly="1" offset="B256:B256" fieldPosition="0">
        <references count="1">
          <reference field="30" count="1">
            <x v="7"/>
          </reference>
        </references>
      </pivotArea>
    </format>
    <format dxfId="10">
      <pivotArea collapsedLevelsAreSubtotals="1" fieldPosition="0">
        <references count="1">
          <reference field="30" count="1" selected="0">
            <x v="7"/>
          </reference>
        </references>
      </pivotArea>
    </format>
    <format dxfId="11">
      <pivotArea dataOnly="0" labelOnly="1" offset="B256:B256" fieldPosition="0">
        <references count="1">
          <reference field="30" count="1">
            <x v="7"/>
          </reference>
        </references>
      </pivotArea>
    </format>
    <format dxfId="12">
      <pivotArea collapsedLevelsAreSubtotals="1" fieldPosition="0">
        <references count="1">
          <reference field="30" count="1" selected="0">
            <x v="7"/>
          </reference>
        </references>
      </pivotArea>
    </format>
    <format dxfId="13">
      <pivotArea dataOnly="0" labelOnly="1" offset="B256:B256" fieldPosition="0">
        <references count="1">
          <reference field="30" count="1">
            <x v="14"/>
          </reference>
        </references>
      </pivotArea>
    </format>
    <format dxfId="14">
      <pivotArea collapsedLevelsAreSubtotals="1" fieldPosition="0">
        <references count="1">
          <reference field="30" count="1" selected="0">
            <x v="14"/>
          </reference>
        </references>
      </pivotArea>
    </format>
    <format dxfId="15">
      <pivotArea dataOnly="0" labelOnly="1" offset="B256:B256" fieldPosition="0">
        <references count="1">
          <reference field="30" count="1">
            <x v="14"/>
          </reference>
        </references>
      </pivotArea>
    </format>
    <format dxfId="16">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30"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479:E486"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axis="axisRow"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32"/>
  </rowFields>
  <rowItems count="7">
    <i>
      <x/>
    </i>
    <i>
      <x v="1"/>
    </i>
    <i>
      <x v="2"/>
    </i>
    <i>
      <x v="5"/>
    </i>
    <i>
      <x v="4"/>
    </i>
    <i>
      <x v="3"/>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7">
      <pivotArea type="all" dataOnly="0" outline="0" fieldPosition="0"/>
    </format>
    <format dxfId="18">
      <pivotArea type="all" dataOnly="0" outline="0" fieldPosition="0"/>
    </format>
    <format dxfId="19">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3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494:E502"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axis="axisRow"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33"/>
  </rowFields>
  <rowItems count="8">
    <i>
      <x/>
    </i>
    <i>
      <x v="1"/>
    </i>
    <i>
      <x v="5"/>
    </i>
    <i>
      <x v="6"/>
    </i>
    <i>
      <x v="2"/>
    </i>
    <i>
      <x v="3"/>
    </i>
    <i>
      <x v="4"/>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20">
      <pivotArea type="all" dataOnly="0" outline="0" fieldPosition="0"/>
    </format>
    <format dxfId="21">
      <pivotArea type="all" dataOnly="0" outline="0" fieldPosition="0"/>
    </format>
    <format dxfId="22">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3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510:F618"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6"/>
  </rowFields>
  <rowItems count="108">
    <i>
      <x/>
    </i>
    <i r="1">
      <x/>
    </i>
    <i r="1">
      <x v="2"/>
    </i>
    <i r="1">
      <x v="5"/>
    </i>
    <i r="1">
      <x v="15"/>
    </i>
    <i r="1">
      <x v="29"/>
    </i>
    <i r="1">
      <x v="22"/>
    </i>
    <i r="1">
      <x v="4"/>
    </i>
    <i r="1">
      <x v="26"/>
    </i>
    <i r="1">
      <x v="35"/>
    </i>
    <i>
      <x v="2"/>
    </i>
    <i r="1">
      <x v="1"/>
    </i>
    <i r="1">
      <x v="2"/>
    </i>
    <i r="1">
      <x v="5"/>
    </i>
    <i r="1">
      <x v="26"/>
    </i>
    <i r="1">
      <x v="42"/>
    </i>
    <i>
      <x v="1"/>
    </i>
    <i r="1">
      <x v="1"/>
    </i>
    <i r="1">
      <x v="8"/>
    </i>
    <i r="1">
      <x v="23"/>
    </i>
    <i r="1">
      <x v="4"/>
    </i>
    <i r="1">
      <x v="30"/>
    </i>
    <i r="1">
      <x v="26"/>
    </i>
    <i>
      <x v="13"/>
    </i>
    <i r="1">
      <x v="1"/>
    </i>
    <i r="1">
      <x v="21"/>
    </i>
    <i r="1">
      <x v="8"/>
    </i>
    <i r="1">
      <x v="3"/>
    </i>
    <i r="1">
      <x v="43"/>
    </i>
    <i>
      <x v="3"/>
    </i>
    <i r="1">
      <x/>
    </i>
    <i r="1">
      <x v="7"/>
    </i>
    <i r="1">
      <x v="10"/>
    </i>
    <i r="1">
      <x v="38"/>
    </i>
    <i r="1">
      <x v="34"/>
    </i>
    <i>
      <x v="8"/>
    </i>
    <i r="1">
      <x v="6"/>
    </i>
    <i r="1">
      <x v="14"/>
    </i>
    <i r="1">
      <x v="15"/>
    </i>
    <i r="1">
      <x v="36"/>
    </i>
    <i r="1">
      <x v="16"/>
    </i>
    <i r="1">
      <x v="3"/>
    </i>
    <i r="1">
      <x v="44"/>
    </i>
    <i r="1">
      <x v="17"/>
    </i>
    <i r="1">
      <x v="37"/>
    </i>
    <i>
      <x v="7"/>
    </i>
    <i r="1">
      <x/>
    </i>
    <i r="1">
      <x v="1"/>
    </i>
    <i r="1">
      <x v="12"/>
    </i>
    <i r="1">
      <x v="32"/>
    </i>
    <i r="1">
      <x v="45"/>
    </i>
    <i>
      <x v="9"/>
    </i>
    <i r="1">
      <x/>
    </i>
    <i r="1">
      <x v="1"/>
    </i>
    <i r="1">
      <x v="12"/>
    </i>
    <i r="1">
      <x v="31"/>
    </i>
    <i r="1">
      <x v="6"/>
    </i>
    <i r="1">
      <x v="8"/>
    </i>
    <i>
      <x v="4"/>
    </i>
    <i r="1">
      <x v="3"/>
    </i>
    <i r="1">
      <x v="9"/>
    </i>
    <i r="1">
      <x v="8"/>
    </i>
    <i>
      <x v="11"/>
    </i>
    <i r="1">
      <x v="8"/>
    </i>
    <i r="1">
      <x v="24"/>
    </i>
    <i r="1">
      <x v="15"/>
    </i>
    <i r="1">
      <x v="26"/>
    </i>
    <i r="1">
      <x v="14"/>
    </i>
    <i r="1">
      <x v="1"/>
    </i>
    <i r="1">
      <x v="33"/>
    </i>
    <i r="1">
      <x v="41"/>
    </i>
    <i>
      <x v="10"/>
    </i>
    <i r="1">
      <x v="2"/>
    </i>
    <i r="1">
      <x v="1"/>
    </i>
    <i r="1">
      <x/>
    </i>
    <i>
      <x v="5"/>
    </i>
    <i r="1">
      <x v="4"/>
    </i>
    <i r="1">
      <x v="17"/>
    </i>
    <i r="1">
      <x v="3"/>
    </i>
    <i r="1">
      <x v="36"/>
    </i>
    <i>
      <x v="6"/>
    </i>
    <i r="1">
      <x/>
    </i>
    <i r="1">
      <x v="20"/>
    </i>
    <i>
      <x v="16"/>
    </i>
    <i r="1">
      <x v="22"/>
    </i>
    <i r="1">
      <x v="19"/>
    </i>
    <i r="1">
      <x v="25"/>
    </i>
    <i r="1">
      <x v="14"/>
    </i>
    <i r="1">
      <x v="29"/>
    </i>
    <i r="1">
      <x v="27"/>
    </i>
    <i>
      <x v="12"/>
    </i>
    <i r="1">
      <x v="11"/>
    </i>
    <i r="1">
      <x v="28"/>
    </i>
    <i r="1">
      <x v="5"/>
    </i>
    <i>
      <x v="18"/>
    </i>
    <i r="1">
      <x v="40"/>
    </i>
    <i>
      <x v="14"/>
    </i>
    <i r="1">
      <x/>
    </i>
    <i r="1">
      <x v="13"/>
    </i>
    <i r="1">
      <x v="46"/>
    </i>
    <i>
      <x v="15"/>
    </i>
    <i r="1">
      <x v="18"/>
    </i>
    <i r="1">
      <x v="8"/>
    </i>
    <i r="1">
      <x v="26"/>
    </i>
    <i>
      <x v="17"/>
    </i>
    <i r="1">
      <x v="8"/>
    </i>
    <i r="1">
      <x v="39"/>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29">
    <format dxfId="23">
      <pivotArea type="all" dataOnly="0" outline="0" fieldPosition="0"/>
    </format>
    <format dxfId="24">
      <pivotArea type="all" dataOnly="0" outline="0" fieldPosition="0"/>
    </format>
    <format dxfId="25">
      <pivotArea type="all" dataOnly="0" outline="0" fieldPosition="0"/>
    </format>
    <format dxfId="26">
      <pivotArea dataOnly="0" labelOnly="1" fieldPosition="0">
        <references count="2">
          <reference field="6" count="1">
            <x v="1"/>
          </reference>
          <reference field="30" count="1" selected="0">
            <x v="2"/>
          </reference>
        </references>
      </pivotArea>
    </format>
    <format dxfId="27">
      <pivotArea collapsedLevelsAreSubtotals="1" fieldPosition="0">
        <references count="2">
          <reference field="6" count="1" selected="0">
            <x v="1"/>
          </reference>
          <reference field="30" count="1" selected="0">
            <x v="2"/>
          </reference>
        </references>
      </pivotArea>
    </format>
    <format dxfId="28">
      <pivotArea dataOnly="0" labelOnly="1" fieldPosition="0">
        <references count="2">
          <reference field="6" count="1">
            <x v="1"/>
          </reference>
          <reference field="30" count="1" selected="0">
            <x v="1"/>
          </reference>
        </references>
      </pivotArea>
    </format>
    <format dxfId="29">
      <pivotArea collapsedLevelsAreSubtotals="1" fieldPosition="0">
        <references count="2">
          <reference field="6" count="1" selected="0">
            <x v="1"/>
          </reference>
          <reference field="30" count="1" selected="0">
            <x v="1"/>
          </reference>
        </references>
      </pivotArea>
    </format>
    <format dxfId="30">
      <pivotArea dataOnly="0" labelOnly="1" fieldPosition="0">
        <references count="2">
          <reference field="6" count="1">
            <x v="1"/>
          </reference>
          <reference field="30" count="1" selected="0">
            <x v="13"/>
          </reference>
        </references>
      </pivotArea>
    </format>
    <format dxfId="31">
      <pivotArea collapsedLevelsAreSubtotals="1" fieldPosition="0">
        <references count="2">
          <reference field="6" count="1" selected="0">
            <x v="1"/>
          </reference>
          <reference field="30" count="1" selected="0">
            <x v="13"/>
          </reference>
        </references>
      </pivotArea>
    </format>
    <format dxfId="32">
      <pivotArea dataOnly="0" labelOnly="1" fieldPosition="0">
        <references count="2">
          <reference field="6" count="1">
            <x v="0"/>
          </reference>
          <reference field="30" count="1" selected="0">
            <x v="0"/>
          </reference>
        </references>
      </pivotArea>
    </format>
    <format dxfId="33">
      <pivotArea collapsedLevelsAreSubtotals="1" fieldPosition="0">
        <references count="2">
          <reference field="6" count="1" selected="0">
            <x v="0"/>
          </reference>
          <reference field="30" count="1" selected="0">
            <x v="0"/>
          </reference>
        </references>
      </pivotArea>
    </format>
    <format dxfId="34">
      <pivotArea dataOnly="0" labelOnly="1" fieldPosition="0">
        <references count="2">
          <reference field="6" count="1">
            <x v="0"/>
          </reference>
          <reference field="30" count="1" selected="0">
            <x v="3"/>
          </reference>
        </references>
      </pivotArea>
    </format>
    <format dxfId="35">
      <pivotArea collapsedLevelsAreSubtotals="1" fieldPosition="0">
        <references count="2">
          <reference field="6" count="1" selected="0">
            <x v="0"/>
          </reference>
          <reference field="30" count="1" selected="0">
            <x v="3"/>
          </reference>
        </references>
      </pivotArea>
    </format>
    <format dxfId="36">
      <pivotArea dataOnly="0" labelOnly="1" offset="B256:B256" fieldPosition="0">
        <references count="1">
          <reference field="30" count="1">
            <x v="7"/>
          </reference>
        </references>
      </pivotArea>
    </format>
    <format dxfId="37">
      <pivotArea dataOnly="0" labelOnly="1" fieldPosition="0">
        <references count="2">
          <reference field="6" count="1">
            <x v="0"/>
          </reference>
          <reference field="30" count="1" selected="0">
            <x v="7"/>
          </reference>
        </references>
      </pivotArea>
    </format>
    <format dxfId="38">
      <pivotArea collapsedLevelsAreSubtotals="1" fieldPosition="0">
        <references count="1">
          <reference field="30" count="1" selected="0">
            <x v="7"/>
          </reference>
        </references>
      </pivotArea>
    </format>
    <format dxfId="39">
      <pivotArea collapsedLevelsAreSubtotals="1" fieldPosition="0">
        <references count="2">
          <reference field="6" count="1" selected="0">
            <x v="0"/>
          </reference>
          <reference field="30" count="1" selected="0">
            <x v="7"/>
          </reference>
        </references>
      </pivotArea>
    </format>
    <format dxfId="40">
      <pivotArea dataOnly="0" labelOnly="1" offset="B256:B256" fieldPosition="0">
        <references count="1">
          <reference field="30" count="1">
            <x v="7"/>
          </reference>
        </references>
      </pivotArea>
    </format>
    <format dxfId="41">
      <pivotArea collapsedLevelsAreSubtotals="1" fieldPosition="0">
        <references count="1">
          <reference field="30" count="1" selected="0">
            <x v="7"/>
          </reference>
        </references>
      </pivotArea>
    </format>
    <format dxfId="42">
      <pivotArea dataOnly="0" labelOnly="1" fieldPosition="0">
        <references count="2">
          <reference field="6" count="1">
            <x v="0"/>
          </reference>
          <reference field="30" count="1" selected="0">
            <x v="9"/>
          </reference>
        </references>
      </pivotArea>
    </format>
    <format dxfId="43">
      <pivotArea collapsedLevelsAreSubtotals="1" fieldPosition="0">
        <references count="2">
          <reference field="6" count="1" selected="0">
            <x v="0"/>
          </reference>
          <reference field="30" count="1" selected="0">
            <x v="9"/>
          </reference>
        </references>
      </pivotArea>
    </format>
    <format dxfId="44">
      <pivotArea dataOnly="0" labelOnly="1" fieldPosition="0">
        <references count="2">
          <reference field="6" count="1">
            <x v="0"/>
          </reference>
          <reference field="30" count="1" selected="0">
            <x v="6"/>
          </reference>
        </references>
      </pivotArea>
    </format>
    <format dxfId="45">
      <pivotArea collapsedLevelsAreSubtotals="1" fieldPosition="0">
        <references count="2">
          <reference field="6" count="1" selected="0">
            <x v="0"/>
          </reference>
          <reference field="30" count="1" selected="0">
            <x v="6"/>
          </reference>
        </references>
      </pivotArea>
    </format>
    <format dxfId="46">
      <pivotArea dataOnly="0" labelOnly="1" offset="B256:B256" fieldPosition="0">
        <references count="1">
          <reference field="30" count="1">
            <x v="14"/>
          </reference>
        </references>
      </pivotArea>
    </format>
    <format dxfId="47">
      <pivotArea dataOnly="0" labelOnly="1" fieldPosition="0">
        <references count="2">
          <reference field="6" count="1">
            <x v="0"/>
          </reference>
          <reference field="30" count="1" selected="0">
            <x v="14"/>
          </reference>
        </references>
      </pivotArea>
    </format>
    <format dxfId="48">
      <pivotArea collapsedLevelsAreSubtotals="1" fieldPosition="0">
        <references count="1">
          <reference field="30" count="1" selected="0">
            <x v="14"/>
          </reference>
        </references>
      </pivotArea>
    </format>
    <format dxfId="49">
      <pivotArea collapsedLevelsAreSubtotals="1" fieldPosition="0">
        <references count="2">
          <reference field="6" count="1" selected="0">
            <x v="0"/>
          </reference>
          <reference field="30" count="1" selected="0">
            <x v="14"/>
          </reference>
        </references>
      </pivotArea>
    </format>
    <format dxfId="50">
      <pivotArea dataOnly="0" labelOnly="1" offset="B256:B256" fieldPosition="0">
        <references count="1">
          <reference field="30" count="1">
            <x v="14"/>
          </reference>
        </references>
      </pivotArea>
    </format>
    <format dxfId="51">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3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626:F734"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axis="axisRow"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17"/>
  </rowFields>
  <rowItems count="108">
    <i>
      <x/>
    </i>
    <i r="1">
      <x v="26"/>
    </i>
    <i r="1">
      <x v="41"/>
    </i>
    <i r="1">
      <x v="5"/>
    </i>
    <i r="1">
      <x v="3"/>
    </i>
    <i r="1">
      <x v="40"/>
    </i>
    <i r="1">
      <x v="10"/>
    </i>
    <i r="1">
      <x v="42"/>
    </i>
    <i>
      <x v="2"/>
    </i>
    <i r="1">
      <x v="35"/>
    </i>
    <i r="1">
      <x v="1"/>
    </i>
    <i r="1">
      <x v="36"/>
    </i>
    <i r="1">
      <x v="42"/>
    </i>
    <i r="1">
      <x v="30"/>
    </i>
    <i r="1">
      <x v="40"/>
    </i>
    <i>
      <x v="1"/>
    </i>
    <i r="1">
      <x v="35"/>
    </i>
    <i r="1">
      <x v="42"/>
    </i>
    <i r="1">
      <x v="32"/>
    </i>
    <i r="1">
      <x v="9"/>
    </i>
    <i r="1">
      <x v="40"/>
    </i>
    <i r="1">
      <x v="10"/>
    </i>
    <i r="1">
      <x v="1"/>
    </i>
    <i>
      <x v="13"/>
    </i>
    <i r="1">
      <x v="12"/>
    </i>
    <i r="1">
      <x v="11"/>
    </i>
    <i r="1">
      <x v="27"/>
    </i>
    <i r="1">
      <x v="14"/>
    </i>
    <i>
      <x v="3"/>
    </i>
    <i r="1">
      <x v="1"/>
    </i>
    <i r="1">
      <x v="18"/>
    </i>
    <i r="1">
      <x v="42"/>
    </i>
    <i r="1">
      <x v="29"/>
    </i>
    <i r="1">
      <x v="22"/>
    </i>
    <i r="1">
      <x v="24"/>
    </i>
    <i>
      <x v="8"/>
    </i>
    <i r="1">
      <x v="26"/>
    </i>
    <i r="1">
      <x v="27"/>
    </i>
    <i r="1">
      <x v="33"/>
    </i>
    <i r="1">
      <x v="35"/>
    </i>
    <i r="1">
      <x v="9"/>
    </i>
    <i r="1">
      <x v="13"/>
    </i>
    <i r="1">
      <x v="40"/>
    </i>
    <i r="1">
      <x v="21"/>
    </i>
    <i r="1">
      <x v="6"/>
    </i>
    <i r="1">
      <x v="36"/>
    </i>
    <i>
      <x v="7"/>
    </i>
    <i r="1">
      <x v="9"/>
    </i>
    <i r="1">
      <x v="23"/>
    </i>
    <i r="1">
      <x v="40"/>
    </i>
    <i r="1">
      <x v="1"/>
    </i>
    <i r="1">
      <x v="25"/>
    </i>
    <i>
      <x v="9"/>
    </i>
    <i r="1">
      <x v="34"/>
    </i>
    <i r="1">
      <x v="19"/>
    </i>
    <i r="1">
      <x v="28"/>
    </i>
    <i r="1">
      <x v="3"/>
    </i>
    <i r="1">
      <x v="18"/>
    </i>
    <i r="1">
      <x v="16"/>
    </i>
    <i>
      <x v="4"/>
    </i>
    <i r="1">
      <x v="13"/>
    </i>
    <i r="1">
      <x v="11"/>
    </i>
    <i r="1">
      <x/>
    </i>
    <i r="1">
      <x v="12"/>
    </i>
    <i>
      <x v="11"/>
    </i>
    <i r="1">
      <x v="1"/>
    </i>
    <i r="1">
      <x v="40"/>
    </i>
    <i r="1">
      <x v="39"/>
    </i>
    <i r="1">
      <x v="4"/>
    </i>
    <i r="1">
      <x v="35"/>
    </i>
    <i r="1">
      <x v="17"/>
    </i>
    <i r="1">
      <x v="18"/>
    </i>
    <i>
      <x v="10"/>
    </i>
    <i r="1">
      <x v="36"/>
    </i>
    <i r="1">
      <x v="19"/>
    </i>
    <i r="1">
      <x v="18"/>
    </i>
    <i>
      <x v="5"/>
    </i>
    <i r="1">
      <x v="36"/>
    </i>
    <i r="1">
      <x v="21"/>
    </i>
    <i r="1">
      <x v="20"/>
    </i>
    <i>
      <x v="6"/>
    </i>
    <i r="1">
      <x v="42"/>
    </i>
    <i r="1">
      <x v="1"/>
    </i>
    <i>
      <x v="16"/>
    </i>
    <i r="1">
      <x v="40"/>
    </i>
    <i r="1">
      <x v="35"/>
    </i>
    <i r="1">
      <x v="9"/>
    </i>
    <i r="1">
      <x v="30"/>
    </i>
    <i r="1">
      <x v="37"/>
    </i>
    <i r="1">
      <x v="2"/>
    </i>
    <i>
      <x v="12"/>
    </i>
    <i r="1">
      <x v="18"/>
    </i>
    <i r="1">
      <x v="15"/>
    </i>
    <i r="1">
      <x v="7"/>
    </i>
    <i>
      <x v="18"/>
    </i>
    <i r="1">
      <x v="13"/>
    </i>
    <i>
      <x v="14"/>
    </i>
    <i r="1">
      <x v="38"/>
    </i>
    <i r="1">
      <x v="18"/>
    </i>
    <i r="1">
      <x v="30"/>
    </i>
    <i>
      <x v="15"/>
    </i>
    <i r="1">
      <x v="8"/>
    </i>
    <i r="1">
      <x v="15"/>
    </i>
    <i r="1">
      <x v="31"/>
    </i>
    <i>
      <x v="17"/>
    </i>
    <i r="1">
      <x v="43"/>
    </i>
    <i r="1">
      <x v="10"/>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23">
    <format dxfId="52">
      <pivotArea type="all" dataOnly="0" outline="0" fieldPosition="0"/>
    </format>
    <format dxfId="53">
      <pivotArea type="all" dataOnly="0" outline="0" fieldPosition="0"/>
    </format>
    <format dxfId="54">
      <pivotArea type="all" dataOnly="0" outline="0" fieldPosition="0"/>
    </format>
    <format dxfId="55">
      <pivotArea dataOnly="0" labelOnly="1" offset="B256:B256" fieldPosition="0">
        <references count="1">
          <reference field="30" count="1">
            <x v="7"/>
          </reference>
        </references>
      </pivotArea>
    </format>
    <format dxfId="56">
      <pivotArea collapsedLevelsAreSubtotals="1" fieldPosition="0">
        <references count="1">
          <reference field="30" count="1" selected="0">
            <x v="7"/>
          </reference>
        </references>
      </pivotArea>
    </format>
    <format dxfId="57">
      <pivotArea dataOnly="0" labelOnly="1" offset="B256:B256" fieldPosition="0">
        <references count="1">
          <reference field="30" count="1">
            <x v="7"/>
          </reference>
        </references>
      </pivotArea>
    </format>
    <format dxfId="58">
      <pivotArea collapsedLevelsAreSubtotals="1" fieldPosition="0">
        <references count="1">
          <reference field="30" count="1" selected="0">
            <x v="7"/>
          </reference>
        </references>
      </pivotArea>
    </format>
    <format dxfId="59">
      <pivotArea dataOnly="0" labelOnly="1" offset="B256:B256" fieldPosition="0">
        <references count="1">
          <reference field="30" count="1">
            <x v="14"/>
          </reference>
        </references>
      </pivotArea>
    </format>
    <format dxfId="60">
      <pivotArea collapsedLevelsAreSubtotals="1" fieldPosition="0">
        <references count="1">
          <reference field="30" count="1" selected="0">
            <x v="14"/>
          </reference>
        </references>
      </pivotArea>
    </format>
    <format dxfId="61">
      <pivotArea dataOnly="0" labelOnly="1" offset="B256:B256" fieldPosition="0">
        <references count="1">
          <reference field="30" count="1">
            <x v="14"/>
          </reference>
        </references>
      </pivotArea>
    </format>
    <format dxfId="62">
      <pivotArea collapsedLevelsAreSubtotals="1" fieldPosition="0">
        <references count="1">
          <reference field="30" count="1" selected="0">
            <x v="14"/>
          </reference>
        </references>
      </pivotArea>
    </format>
    <format dxfId="63">
      <pivotArea dataOnly="0" labelOnly="1" fieldPosition="0">
        <references count="2">
          <reference field="17" count="1">
            <x v="35"/>
          </reference>
          <reference field="30" count="1" selected="0">
            <x v="2"/>
          </reference>
        </references>
      </pivotArea>
    </format>
    <format dxfId="64">
      <pivotArea collapsedLevelsAreSubtotals="1" fieldPosition="0">
        <references count="2">
          <reference field="17" count="1" selected="0">
            <x v="35"/>
          </reference>
          <reference field="30" count="1" selected="0">
            <x v="2"/>
          </reference>
        </references>
      </pivotArea>
    </format>
    <format dxfId="65">
      <pivotArea dataOnly="0" labelOnly="1" fieldPosition="0">
        <references count="2">
          <reference field="17" count="1">
            <x v="35"/>
          </reference>
          <reference field="30" count="1" selected="0">
            <x v="1"/>
          </reference>
        </references>
      </pivotArea>
    </format>
    <format dxfId="66">
      <pivotArea collapsedLevelsAreSubtotals="1" fieldPosition="0">
        <references count="2">
          <reference field="17" count="1" selected="0">
            <x v="35"/>
          </reference>
          <reference field="30" count="1" selected="0">
            <x v="1"/>
          </reference>
        </references>
      </pivotArea>
    </format>
    <format dxfId="67">
      <pivotArea dataOnly="0" labelOnly="1" fieldPosition="0">
        <references count="2">
          <reference field="17" count="1">
            <x v="1"/>
          </reference>
          <reference field="30" count="1" selected="0">
            <x v="3"/>
          </reference>
        </references>
      </pivotArea>
    </format>
    <format dxfId="68">
      <pivotArea collapsedLevelsAreSubtotals="1" fieldPosition="0">
        <references count="2">
          <reference field="17" count="1" selected="0">
            <x v="1"/>
          </reference>
          <reference field="30" count="1" selected="0">
            <x v="3"/>
          </reference>
        </references>
      </pivotArea>
    </format>
    <format dxfId="69">
      <pivotArea dataOnly="0" labelOnly="1" fieldPosition="0">
        <references count="2">
          <reference field="17" count="1">
            <x v="1"/>
          </reference>
          <reference field="30" count="1" selected="0">
            <x v="11"/>
          </reference>
        </references>
      </pivotArea>
    </format>
    <format dxfId="70">
      <pivotArea collapsedLevelsAreSubtotals="1" fieldPosition="0">
        <references count="2">
          <reference field="17" count="1" selected="0">
            <x v="1"/>
          </reference>
          <reference field="30" count="1" selected="0">
            <x v="11"/>
          </reference>
        </references>
      </pivotArea>
    </format>
    <format dxfId="71">
      <pivotArea dataOnly="0" labelOnly="1" fieldPosition="0">
        <references count="2">
          <reference field="17" count="1">
            <x v="26"/>
          </reference>
          <reference field="30" count="1" selected="0">
            <x v="0"/>
          </reference>
        </references>
      </pivotArea>
    </format>
    <format dxfId="72">
      <pivotArea collapsedLevelsAreSubtotals="1" fieldPosition="0">
        <references count="2">
          <reference field="17" count="1" selected="0">
            <x v="26"/>
          </reference>
          <reference field="30" count="1" selected="0">
            <x v="0"/>
          </reference>
        </references>
      </pivotArea>
    </format>
    <format dxfId="73">
      <pivotArea dataOnly="0" labelOnly="1" fieldPosition="0">
        <references count="2">
          <reference field="17" count="1">
            <x v="26"/>
          </reference>
          <reference field="30" count="1" selected="0">
            <x v="8"/>
          </reference>
        </references>
      </pivotArea>
    </format>
    <format dxfId="74">
      <pivotArea collapsedLevelsAreSubtotals="1" fieldPosition="0">
        <references count="2">
          <reference field="17" count="1" selected="0">
            <x v="26"/>
          </reference>
          <reference field="30" count="1" selected="0">
            <x v="8"/>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2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435:E455"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30"/>
  </rowFields>
  <rowItems count="20">
    <i>
      <x/>
    </i>
    <i>
      <x v="2"/>
    </i>
    <i>
      <x v="1"/>
    </i>
    <i>
      <x v="13"/>
    </i>
    <i>
      <x v="3"/>
    </i>
    <i>
      <x v="8"/>
    </i>
    <i>
      <x v="7"/>
    </i>
    <i>
      <x v="9"/>
    </i>
    <i>
      <x v="4"/>
    </i>
    <i>
      <x v="11"/>
    </i>
    <i>
      <x v="10"/>
    </i>
    <i>
      <x v="5"/>
    </i>
    <i>
      <x v="6"/>
    </i>
    <i>
      <x v="16"/>
    </i>
    <i>
      <x v="12"/>
    </i>
    <i>
      <x v="18"/>
    </i>
    <i>
      <x v="14"/>
    </i>
    <i>
      <x v="15"/>
    </i>
    <i>
      <x v="17"/>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75">
      <pivotArea type="all" dataOnly="0" outline="0" fieldPosition="0"/>
    </format>
    <format dxfId="76">
      <pivotArea type="all" dataOnly="0" outline="0" fieldPosition="0"/>
    </format>
    <format dxfId="77">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102:E150"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sortType="descending" showAll="0">
      <items count="48">
        <item x="34"/>
        <item x="46"/>
        <item x="23"/>
        <item x="45"/>
        <item x="43"/>
        <item x="38"/>
        <item x="8"/>
        <item x="30"/>
        <item x="1"/>
        <item x="22"/>
        <item x="18"/>
        <item x="33"/>
        <item x="3"/>
        <item x="29"/>
        <item x="24"/>
        <item x="9"/>
        <item x="7"/>
        <item x="11"/>
        <item x="6"/>
        <item x="20"/>
        <item x="39"/>
        <item x="28"/>
        <item x="4"/>
        <item x="15"/>
        <item x="16"/>
        <item x="35"/>
        <item x="2"/>
        <item x="13"/>
        <item x="42"/>
        <item x="21"/>
        <item x="0"/>
        <item x="37"/>
        <item x="17"/>
        <item x="5"/>
        <item x="19"/>
        <item x="32"/>
        <item x="12"/>
        <item x="44"/>
        <item x="26"/>
        <item x="40"/>
        <item x="36"/>
        <item x="41"/>
        <item x="10"/>
        <item x="14"/>
        <item x="27"/>
        <item x="25"/>
        <item x="31"/>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6">
        <item x="0"/>
        <item x="1"/>
        <item x="2"/>
        <item x="3"/>
        <item x="4"/>
        <item t="default"/>
      </items>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6"/>
  </rowFields>
  <rowItems count="48">
    <i>
      <x v="30"/>
    </i>
    <i>
      <x v="8"/>
    </i>
    <i>
      <x v="26"/>
    </i>
    <i>
      <x v="6"/>
    </i>
    <i>
      <x v="22"/>
    </i>
    <i>
      <x v="33"/>
    </i>
    <i>
      <x v="12"/>
    </i>
    <i>
      <x v="43"/>
    </i>
    <i>
      <x v="23"/>
    </i>
    <i>
      <x v="18"/>
    </i>
    <i>
      <x v="39"/>
    </i>
    <i>
      <x v="38"/>
    </i>
    <i>
      <x v="40"/>
    </i>
    <i>
      <x v="15"/>
    </i>
    <i>
      <x v="16"/>
    </i>
    <i>
      <x v="9"/>
    </i>
    <i>
      <x v="36"/>
    </i>
    <i>
      <x v="24"/>
    </i>
    <i>
      <x v="17"/>
    </i>
    <i>
      <x v="42"/>
    </i>
    <i>
      <x v="29"/>
    </i>
    <i>
      <x v="14"/>
    </i>
    <i>
      <x v="13"/>
    </i>
    <i>
      <x v="10"/>
    </i>
    <i>
      <x v="34"/>
    </i>
    <i>
      <x v="46"/>
    </i>
    <i>
      <x v="32"/>
    </i>
    <i>
      <x v="45"/>
    </i>
    <i>
      <x v="27"/>
    </i>
    <i>
      <x v="19"/>
    </i>
    <i>
      <x v="5"/>
    </i>
    <i>
      <x v="2"/>
    </i>
    <i>
      <x v="21"/>
    </i>
    <i>
      <x v="28"/>
    </i>
    <i>
      <x v="7"/>
    </i>
    <i>
      <x v="35"/>
    </i>
    <i>
      <x v="11"/>
    </i>
    <i>
      <x v="37"/>
    </i>
    <i>
      <x v="41"/>
    </i>
    <i>
      <x v="3"/>
    </i>
    <i>
      <x v="44"/>
    </i>
    <i>
      <x v="20"/>
    </i>
    <i>
      <x v="25"/>
    </i>
    <i>
      <x v="1"/>
    </i>
    <i>
      <x v="4"/>
    </i>
    <i>
      <x v="31"/>
    </i>
    <i>
      <x/>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4">
    <format dxfId="78">
      <pivotArea type="all" dataOnly="0" outline="0" fieldPosition="0"/>
    </format>
    <format dxfId="79">
      <pivotArea type="all" dataOnly="0" outline="0" fieldPosition="0"/>
    </format>
    <format dxfId="80">
      <pivotArea dataOnly="0" labelOnly="1" fieldPosition="0">
        <references count="1">
          <reference field="4294967294" count="1">
            <x v="1"/>
          </reference>
        </references>
      </pivotArea>
    </format>
    <format dxfId="81">
      <pivotArea collapsedLevelsAreSubtotals="1" fieldPosition="0">
        <references count="1">
          <reference field="4294967294" count="1" selected="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3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742:F809"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axis="axisRow"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15"/>
  </rowFields>
  <rowItems count="67">
    <i>
      <x/>
    </i>
    <i r="1">
      <x/>
    </i>
    <i r="1">
      <x v="3"/>
    </i>
    <i>
      <x v="2"/>
    </i>
    <i r="1">
      <x/>
    </i>
    <i r="1">
      <x v="2"/>
    </i>
    <i r="1">
      <x v="8"/>
    </i>
    <i>
      <x v="1"/>
    </i>
    <i r="1">
      <x v="1"/>
    </i>
    <i r="1">
      <x v="3"/>
    </i>
    <i r="1">
      <x/>
    </i>
    <i>
      <x v="13"/>
    </i>
    <i r="1">
      <x v="1"/>
    </i>
    <i r="1">
      <x/>
    </i>
    <i r="1">
      <x v="7"/>
    </i>
    <i>
      <x v="3"/>
    </i>
    <i r="1">
      <x/>
    </i>
    <i r="1">
      <x v="3"/>
    </i>
    <i r="1">
      <x v="2"/>
    </i>
    <i>
      <x v="8"/>
    </i>
    <i r="1">
      <x/>
    </i>
    <i r="1">
      <x v="4"/>
    </i>
    <i r="1">
      <x v="3"/>
    </i>
    <i r="1">
      <x v="7"/>
    </i>
    <i r="1">
      <x v="2"/>
    </i>
    <i>
      <x v="7"/>
    </i>
    <i r="1">
      <x v="2"/>
    </i>
    <i r="1">
      <x v="3"/>
    </i>
    <i r="1">
      <x/>
    </i>
    <i>
      <x v="9"/>
    </i>
    <i r="1">
      <x v="1"/>
    </i>
    <i r="1">
      <x/>
    </i>
    <i r="1">
      <x v="3"/>
    </i>
    <i>
      <x v="4"/>
    </i>
    <i r="1">
      <x/>
    </i>
    <i r="1">
      <x v="6"/>
    </i>
    <i>
      <x v="11"/>
    </i>
    <i r="1">
      <x/>
    </i>
    <i>
      <x v="10"/>
    </i>
    <i r="1">
      <x v="2"/>
    </i>
    <i r="1">
      <x v="3"/>
    </i>
    <i>
      <x v="5"/>
    </i>
    <i r="1">
      <x/>
    </i>
    <i r="1">
      <x v="4"/>
    </i>
    <i>
      <x v="6"/>
    </i>
    <i r="1">
      <x/>
    </i>
    <i>
      <x v="16"/>
    </i>
    <i r="1">
      <x v="3"/>
    </i>
    <i r="1">
      <x/>
    </i>
    <i r="1">
      <x v="5"/>
    </i>
    <i r="1">
      <x v="2"/>
    </i>
    <i>
      <x v="12"/>
    </i>
    <i r="1">
      <x v="3"/>
    </i>
    <i r="1">
      <x v="2"/>
    </i>
    <i r="1">
      <x/>
    </i>
    <i>
      <x v="18"/>
    </i>
    <i r="1">
      <x v="8"/>
    </i>
    <i>
      <x v="14"/>
    </i>
    <i r="1">
      <x/>
    </i>
    <i r="1">
      <x v="3"/>
    </i>
    <i r="1">
      <x v="7"/>
    </i>
    <i>
      <x v="15"/>
    </i>
    <i r="1">
      <x v="3"/>
    </i>
    <i r="1">
      <x/>
    </i>
    <i>
      <x v="17"/>
    </i>
    <i r="1">
      <x/>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82">
      <pivotArea type="all" dataOnly="0" outline="0" fieldPosition="0"/>
    </format>
    <format dxfId="83">
      <pivotArea type="all" dataOnly="0" outline="0" fieldPosition="0"/>
    </format>
    <format dxfId="84">
      <pivotArea type="all" dataOnly="0" outline="0" fieldPosition="0"/>
    </format>
    <format dxfId="85">
      <pivotArea dataOnly="0" labelOnly="1" offset="B256:B256" fieldPosition="0">
        <references count="1">
          <reference field="30" count="1">
            <x v="7"/>
          </reference>
        </references>
      </pivotArea>
    </format>
    <format dxfId="86">
      <pivotArea collapsedLevelsAreSubtotals="1" fieldPosition="0">
        <references count="1">
          <reference field="30" count="1" selected="0">
            <x v="7"/>
          </reference>
        </references>
      </pivotArea>
    </format>
    <format dxfId="87">
      <pivotArea dataOnly="0" labelOnly="1" offset="B256:B256" fieldPosition="0">
        <references count="1">
          <reference field="30" count="1">
            <x v="7"/>
          </reference>
        </references>
      </pivotArea>
    </format>
    <format dxfId="88">
      <pivotArea collapsedLevelsAreSubtotals="1" fieldPosition="0">
        <references count="1">
          <reference field="30" count="1" selected="0">
            <x v="7"/>
          </reference>
        </references>
      </pivotArea>
    </format>
    <format dxfId="89">
      <pivotArea dataOnly="0" labelOnly="1" offset="B256:B256" fieldPosition="0">
        <references count="1">
          <reference field="30" count="1">
            <x v="14"/>
          </reference>
        </references>
      </pivotArea>
    </format>
    <format dxfId="90">
      <pivotArea collapsedLevelsAreSubtotals="1" fieldPosition="0">
        <references count="1">
          <reference field="30" count="1" selected="0">
            <x v="14"/>
          </reference>
        </references>
      </pivotArea>
    </format>
    <format dxfId="91">
      <pivotArea dataOnly="0" labelOnly="1" offset="B256:B256" fieldPosition="0">
        <references count="1">
          <reference field="30" count="1">
            <x v="14"/>
          </reference>
        </references>
      </pivotArea>
    </format>
    <format dxfId="92">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95:E205" firstHeaderRow="0" firstDataRow="1" firstDataCol="1"/>
  <pivotFields count="56">
    <pivotField compact="0" showAll="0">
      <items count="101">
        <item x="65"/>
        <item x="67"/>
        <item x="63"/>
        <item x="93"/>
        <item x="44"/>
        <item x="40"/>
        <item x="61"/>
        <item x="52"/>
        <item x="43"/>
        <item x="57"/>
        <item x="90"/>
        <item x="20"/>
        <item x="3"/>
        <item x="73"/>
        <item x="28"/>
        <item x="31"/>
        <item x="66"/>
        <item x="98"/>
        <item x="33"/>
        <item x="74"/>
        <item x="91"/>
        <item x="68"/>
        <item x="18"/>
        <item x="32"/>
        <item x="97"/>
        <item x="82"/>
        <item x="72"/>
        <item x="2"/>
        <item x="11"/>
        <item x="15"/>
        <item x="47"/>
        <item x="50"/>
        <item x="30"/>
        <item x="8"/>
        <item x="83"/>
        <item x="23"/>
        <item x="39"/>
        <item x="26"/>
        <item x="25"/>
        <item x="6"/>
        <item x="56"/>
        <item x="64"/>
        <item x="19"/>
        <item x="1"/>
        <item x="79"/>
        <item x="87"/>
        <item x="77"/>
        <item x="59"/>
        <item x="42"/>
        <item x="58"/>
        <item x="88"/>
        <item x="13"/>
        <item x="5"/>
        <item x="86"/>
        <item x="80"/>
        <item x="92"/>
        <item x="7"/>
        <item x="27"/>
        <item x="45"/>
        <item x="99"/>
        <item x="34"/>
        <item x="49"/>
        <item x="76"/>
        <item x="55"/>
        <item x="78"/>
        <item x="17"/>
        <item x="75"/>
        <item x="21"/>
        <item x="16"/>
        <item x="4"/>
        <item x="38"/>
        <item x="71"/>
        <item x="70"/>
        <item x="69"/>
        <item x="96"/>
        <item x="94"/>
        <item x="84"/>
        <item x="60"/>
        <item x="85"/>
        <item x="48"/>
        <item x="12"/>
        <item x="53"/>
        <item x="37"/>
        <item x="10"/>
        <item x="51"/>
        <item x="46"/>
        <item x="0"/>
        <item x="62"/>
        <item x="22"/>
        <item x="29"/>
        <item x="35"/>
        <item x="36"/>
        <item x="14"/>
        <item x="54"/>
        <item x="81"/>
        <item x="9"/>
        <item x="89"/>
        <item x="95"/>
        <item x="24"/>
        <item x="41"/>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34"/>
        <item x="46"/>
        <item x="23"/>
        <item x="45"/>
        <item x="43"/>
        <item x="38"/>
        <item x="8"/>
        <item x="30"/>
        <item x="1"/>
        <item x="22"/>
        <item x="18"/>
        <item x="33"/>
        <item x="3"/>
        <item x="29"/>
        <item x="24"/>
        <item x="9"/>
        <item x="7"/>
        <item x="11"/>
        <item x="6"/>
        <item x="20"/>
        <item x="39"/>
        <item x="28"/>
        <item x="4"/>
        <item x="15"/>
        <item x="16"/>
        <item x="35"/>
        <item x="2"/>
        <item x="13"/>
        <item x="42"/>
        <item x="21"/>
        <item x="0"/>
        <item x="37"/>
        <item x="17"/>
        <item x="5"/>
        <item x="19"/>
        <item x="32"/>
        <item x="12"/>
        <item x="44"/>
        <item x="26"/>
        <item x="40"/>
        <item x="36"/>
        <item x="41"/>
        <item x="10"/>
        <item x="14"/>
        <item x="27"/>
        <item x="25"/>
        <item x="31"/>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axis="axisRow"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6">
        <item x="0"/>
        <item x="1"/>
        <item x="2"/>
        <item x="3"/>
        <item x="4"/>
        <item t="default"/>
      </items>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ortType="descending"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fieldPosition="0">
          <references count="1">
            <reference field="4294967294" count="1" selected="0">
              <x v="0"/>
            </reference>
          </references>
        </pivotArea>
      </autoSortScope>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15"/>
  </rowFields>
  <rowItems count="10">
    <i>
      <x/>
    </i>
    <i>
      <x v="3"/>
    </i>
    <i>
      <x v="1"/>
    </i>
    <i>
      <x v="2"/>
    </i>
    <i>
      <x v="4"/>
    </i>
    <i>
      <x v="8"/>
    </i>
    <i>
      <x v="7"/>
    </i>
    <i>
      <x v="6"/>
    </i>
    <i>
      <x v="5"/>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4">
    <format dxfId="93">
      <pivotArea type="all" dataOnly="0" outline="0" fieldPosition="0"/>
    </format>
    <format dxfId="94">
      <pivotArea type="all" dataOnly="0" outline="0" fieldPosition="0"/>
    </format>
    <format dxfId="95">
      <pivotArea dataOnly="0" labelOnly="1" fieldPosition="0">
        <references count="1">
          <reference field="4294967294" count="1">
            <x v="1"/>
          </reference>
        </references>
      </pivotArea>
    </format>
    <format dxfId="96">
      <pivotArea collapsedLevelsAreSubtotals="1" fieldPosition="0">
        <references count="1">
          <reference field="4294967294" count="1" selected="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数据透视表3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991:F1065"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axis="axisRow" compact="0" sortType="descending" showAll="0">
      <items count="12">
        <item x="0"/>
        <item x="1"/>
        <item x="2"/>
        <item x="3"/>
        <item x="4"/>
        <item x="5"/>
        <item x="6"/>
        <item x="7"/>
        <item x="8"/>
        <item x="9"/>
        <item x="10"/>
        <item t="default"/>
      </items>
      <autoSortScope>
        <pivotArea fieldPosition="0">
          <references count="1">
            <reference field="4294967294" count="1" selected="0">
              <x v="0"/>
            </reference>
          </references>
        </pivotArea>
      </autoSortScope>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8"/>
  </rowFields>
  <rowItems count="74">
    <i>
      <x/>
    </i>
    <i r="1">
      <x/>
    </i>
    <i r="1">
      <x v="2"/>
    </i>
    <i r="1">
      <x v="6"/>
    </i>
    <i>
      <x v="2"/>
    </i>
    <i r="1">
      <x/>
    </i>
    <i r="1">
      <x v="1"/>
    </i>
    <i r="1">
      <x v="7"/>
    </i>
    <i r="1">
      <x v="2"/>
    </i>
    <i>
      <x v="1"/>
    </i>
    <i r="1">
      <x/>
    </i>
    <i r="1">
      <x v="6"/>
    </i>
    <i r="1">
      <x v="3"/>
    </i>
    <i>
      <x v="13"/>
    </i>
    <i r="1">
      <x/>
    </i>
    <i r="1">
      <x v="3"/>
    </i>
    <i>
      <x v="3"/>
    </i>
    <i r="1">
      <x v="1"/>
    </i>
    <i r="1">
      <x/>
    </i>
    <i r="1">
      <x v="6"/>
    </i>
    <i>
      <x v="8"/>
    </i>
    <i r="1">
      <x/>
    </i>
    <i r="1">
      <x v="3"/>
    </i>
    <i r="1">
      <x v="4"/>
    </i>
    <i r="1">
      <x v="8"/>
    </i>
    <i>
      <x v="7"/>
    </i>
    <i r="1">
      <x v="4"/>
    </i>
    <i r="1">
      <x v="6"/>
    </i>
    <i r="1">
      <x/>
    </i>
    <i r="1">
      <x v="9"/>
    </i>
    <i>
      <x v="9"/>
    </i>
    <i r="1">
      <x v="4"/>
    </i>
    <i r="1">
      <x v="10"/>
    </i>
    <i r="1">
      <x/>
    </i>
    <i r="1">
      <x v="7"/>
    </i>
    <i r="1">
      <x v="1"/>
    </i>
    <i>
      <x v="4"/>
    </i>
    <i r="1">
      <x v="3"/>
    </i>
    <i r="1">
      <x v="1"/>
    </i>
    <i>
      <x v="11"/>
    </i>
    <i r="1">
      <x/>
    </i>
    <i r="1">
      <x v="7"/>
    </i>
    <i r="1">
      <x v="6"/>
    </i>
    <i r="1">
      <x v="3"/>
    </i>
    <i>
      <x v="10"/>
    </i>
    <i r="1">
      <x v="4"/>
    </i>
    <i r="1">
      <x v="5"/>
    </i>
    <i r="1">
      <x v="1"/>
    </i>
    <i>
      <x v="5"/>
    </i>
    <i r="1">
      <x/>
    </i>
    <i r="1">
      <x v="3"/>
    </i>
    <i r="1">
      <x v="8"/>
    </i>
    <i>
      <x v="6"/>
    </i>
    <i r="1">
      <x v="4"/>
    </i>
    <i r="1">
      <x v="7"/>
    </i>
    <i>
      <x v="16"/>
    </i>
    <i r="1">
      <x/>
    </i>
    <i r="1">
      <x v="3"/>
    </i>
    <i>
      <x v="12"/>
    </i>
    <i r="1">
      <x v="6"/>
    </i>
    <i r="1">
      <x/>
    </i>
    <i r="1">
      <x v="7"/>
    </i>
    <i>
      <x v="18"/>
    </i>
    <i r="1">
      <x v="3"/>
    </i>
    <i>
      <x v="14"/>
    </i>
    <i r="1">
      <x/>
    </i>
    <i r="1">
      <x v="6"/>
    </i>
    <i r="1">
      <x v="3"/>
    </i>
    <i>
      <x v="15"/>
    </i>
    <i r="1">
      <x v="3"/>
    </i>
    <i>
      <x v="17"/>
    </i>
    <i r="1">
      <x/>
    </i>
    <i r="1">
      <x v="7"/>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97">
      <pivotArea type="all" dataOnly="0" outline="0" fieldPosition="0"/>
    </format>
    <format dxfId="98">
      <pivotArea type="all" dataOnly="0" outline="0" fieldPosition="0"/>
    </format>
    <format dxfId="99">
      <pivotArea type="all" dataOnly="0" outline="0" fieldPosition="0"/>
    </format>
    <format dxfId="100">
      <pivotArea dataOnly="0" labelOnly="1" offset="B256:B256" fieldPosition="0">
        <references count="1">
          <reference field="30" count="1">
            <x v="7"/>
          </reference>
        </references>
      </pivotArea>
    </format>
    <format dxfId="101">
      <pivotArea collapsedLevelsAreSubtotals="1" fieldPosition="0">
        <references count="1">
          <reference field="30" count="1" selected="0">
            <x v="7"/>
          </reference>
        </references>
      </pivotArea>
    </format>
    <format dxfId="102">
      <pivotArea dataOnly="0" labelOnly="1" offset="B256:B256" fieldPosition="0">
        <references count="1">
          <reference field="30" count="1">
            <x v="7"/>
          </reference>
        </references>
      </pivotArea>
    </format>
    <format dxfId="103">
      <pivotArea collapsedLevelsAreSubtotals="1" fieldPosition="0">
        <references count="1">
          <reference field="30" count="1" selected="0">
            <x v="7"/>
          </reference>
        </references>
      </pivotArea>
    </format>
    <format dxfId="104">
      <pivotArea dataOnly="0" labelOnly="1" offset="B256:B256" fieldPosition="0">
        <references count="1">
          <reference field="30" count="1">
            <x v="14"/>
          </reference>
        </references>
      </pivotArea>
    </format>
    <format dxfId="105">
      <pivotArea collapsedLevelsAreSubtotals="1" fieldPosition="0">
        <references count="1">
          <reference field="30" count="1" selected="0">
            <x v="14"/>
          </reference>
        </references>
      </pivotArea>
    </format>
    <format dxfId="106">
      <pivotArea dataOnly="0" labelOnly="1" offset="B256:B256" fieldPosition="0">
        <references count="1">
          <reference field="30" count="1">
            <x v="14"/>
          </reference>
        </references>
      </pivotArea>
    </format>
    <format dxfId="107">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数据透视表3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067:F1124"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axis="axisRow"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ortType="descending" showAll="0">
      <items count="12">
        <item x="0"/>
        <item x="1"/>
        <item x="2"/>
        <item x="3"/>
        <item x="4"/>
        <item x="5"/>
        <item x="6"/>
        <item x="7"/>
        <item x="8"/>
        <item x="9"/>
        <item x="10"/>
        <item t="default"/>
      </items>
      <autoSortScope>
        <pivotArea fieldPosition="0">
          <references count="1">
            <reference field="4294967294" count="1" selected="0">
              <x v="0"/>
            </reference>
          </references>
        </pivotArea>
      </autoSortScope>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1"/>
  </rowFields>
  <rowItems count="57">
    <i>
      <x/>
    </i>
    <i r="1">
      <x/>
    </i>
    <i r="1">
      <x v="1"/>
    </i>
    <i>
      <x v="2"/>
    </i>
    <i r="1">
      <x/>
    </i>
    <i r="1">
      <x v="1"/>
    </i>
    <i>
      <x v="1"/>
    </i>
    <i r="1">
      <x/>
    </i>
    <i r="1">
      <x v="1"/>
    </i>
    <i r="1">
      <x v="4"/>
    </i>
    <i>
      <x v="13"/>
    </i>
    <i r="1">
      <x/>
    </i>
    <i>
      <x v="3"/>
    </i>
    <i r="1">
      <x v="2"/>
    </i>
    <i r="1">
      <x/>
    </i>
    <i r="1">
      <x v="1"/>
    </i>
    <i r="1">
      <x v="3"/>
    </i>
    <i>
      <x v="8"/>
    </i>
    <i r="1">
      <x/>
    </i>
    <i r="1">
      <x v="1"/>
    </i>
    <i>
      <x v="7"/>
    </i>
    <i r="1">
      <x/>
    </i>
    <i r="1">
      <x v="1"/>
    </i>
    <i>
      <x v="9"/>
    </i>
    <i r="1">
      <x/>
    </i>
    <i r="1">
      <x v="1"/>
    </i>
    <i>
      <x v="4"/>
    </i>
    <i r="1">
      <x/>
    </i>
    <i>
      <x v="11"/>
    </i>
    <i r="1">
      <x/>
    </i>
    <i r="1">
      <x v="4"/>
    </i>
    <i r="1">
      <x v="1"/>
    </i>
    <i>
      <x v="10"/>
    </i>
    <i r="1">
      <x/>
    </i>
    <i r="1">
      <x v="1"/>
    </i>
    <i>
      <x v="5"/>
    </i>
    <i r="1">
      <x/>
    </i>
    <i>
      <x v="6"/>
    </i>
    <i r="1">
      <x v="2"/>
    </i>
    <i r="1">
      <x v="1"/>
    </i>
    <i>
      <x v="16"/>
    </i>
    <i r="1">
      <x/>
    </i>
    <i r="1">
      <x v="1"/>
    </i>
    <i r="1">
      <x v="4"/>
    </i>
    <i>
      <x v="12"/>
    </i>
    <i r="1">
      <x v="1"/>
    </i>
    <i>
      <x v="18"/>
    </i>
    <i r="1">
      <x/>
    </i>
    <i>
      <x v="14"/>
    </i>
    <i r="1">
      <x/>
    </i>
    <i r="1">
      <x v="5"/>
    </i>
    <i>
      <x v="15"/>
    </i>
    <i r="1">
      <x v="1"/>
    </i>
    <i>
      <x v="17"/>
    </i>
    <i r="1">
      <x v="2"/>
    </i>
    <i r="1">
      <x v="4"/>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108">
      <pivotArea type="all" dataOnly="0" outline="0" fieldPosition="0"/>
    </format>
    <format dxfId="109">
      <pivotArea type="all" dataOnly="0" outline="0" fieldPosition="0"/>
    </format>
    <format dxfId="110">
      <pivotArea type="all" dataOnly="0" outline="0" fieldPosition="0"/>
    </format>
    <format dxfId="111">
      <pivotArea dataOnly="0" labelOnly="1" offset="B256:B256" fieldPosition="0">
        <references count="1">
          <reference field="30" count="1">
            <x v="7"/>
          </reference>
        </references>
      </pivotArea>
    </format>
    <format dxfId="112">
      <pivotArea collapsedLevelsAreSubtotals="1" fieldPosition="0">
        <references count="1">
          <reference field="30" count="1" selected="0">
            <x v="7"/>
          </reference>
        </references>
      </pivotArea>
    </format>
    <format dxfId="113">
      <pivotArea dataOnly="0" labelOnly="1" offset="B256:B256" fieldPosition="0">
        <references count="1">
          <reference field="30" count="1">
            <x v="7"/>
          </reference>
        </references>
      </pivotArea>
    </format>
    <format dxfId="114">
      <pivotArea collapsedLevelsAreSubtotals="1" fieldPosition="0">
        <references count="1">
          <reference field="30" count="1" selected="0">
            <x v="7"/>
          </reference>
        </references>
      </pivotArea>
    </format>
    <format dxfId="115">
      <pivotArea dataOnly="0" labelOnly="1" offset="B256:B256" fieldPosition="0">
        <references count="1">
          <reference field="30" count="1">
            <x v="14"/>
          </reference>
        </references>
      </pivotArea>
    </format>
    <format dxfId="116">
      <pivotArea collapsedLevelsAreSubtotals="1" fieldPosition="0">
        <references count="1">
          <reference field="30" count="1" selected="0">
            <x v="14"/>
          </reference>
        </references>
      </pivotArea>
    </format>
    <format dxfId="117">
      <pivotArea dataOnly="0" labelOnly="1" offset="B256:B256" fieldPosition="0">
        <references count="1">
          <reference field="30" count="1">
            <x v="14"/>
          </reference>
        </references>
      </pivotArea>
    </format>
    <format dxfId="118">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数据透视表39"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126:F1187"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ortType="descending" showAll="0">
      <items count="12">
        <item x="0"/>
        <item x="1"/>
        <item x="2"/>
        <item x="3"/>
        <item x="4"/>
        <item x="5"/>
        <item x="6"/>
        <item x="7"/>
        <item x="8"/>
        <item x="9"/>
        <item x="10"/>
        <item t="default"/>
      </items>
      <autoSortScope>
        <pivotArea fieldPosition="0">
          <references count="1">
            <reference field="4294967294" count="1" selected="0">
              <x v="0"/>
            </reference>
          </references>
        </pivotArea>
      </autoSortScope>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0"/>
  </rowFields>
  <rowItems count="61">
    <i>
      <x/>
    </i>
    <i r="1">
      <x/>
    </i>
    <i r="1">
      <x v="2"/>
    </i>
    <i r="1">
      <x v="1"/>
    </i>
    <i r="1">
      <x v="4"/>
    </i>
    <i>
      <x v="2"/>
    </i>
    <i r="1">
      <x/>
    </i>
    <i r="1">
      <x v="1"/>
    </i>
    <i r="1">
      <x v="3"/>
    </i>
    <i>
      <x v="1"/>
    </i>
    <i r="1">
      <x/>
    </i>
    <i r="1">
      <x v="2"/>
    </i>
    <i>
      <x v="13"/>
    </i>
    <i r="1">
      <x/>
    </i>
    <i>
      <x v="3"/>
    </i>
    <i r="1">
      <x/>
    </i>
    <i r="1">
      <x v="2"/>
    </i>
    <i r="1">
      <x v="3"/>
    </i>
    <i>
      <x v="8"/>
    </i>
    <i r="1">
      <x/>
    </i>
    <i r="1">
      <x v="1"/>
    </i>
    <i r="1">
      <x v="2"/>
    </i>
    <i>
      <x v="7"/>
    </i>
    <i r="1">
      <x v="2"/>
    </i>
    <i r="1">
      <x/>
    </i>
    <i>
      <x v="9"/>
    </i>
    <i r="1">
      <x/>
    </i>
    <i r="1">
      <x v="2"/>
    </i>
    <i>
      <x v="4"/>
    </i>
    <i r="1">
      <x/>
    </i>
    <i>
      <x v="11"/>
    </i>
    <i r="1">
      <x/>
    </i>
    <i r="1">
      <x v="2"/>
    </i>
    <i>
      <x v="10"/>
    </i>
    <i r="1">
      <x/>
    </i>
    <i r="1">
      <x v="2"/>
    </i>
    <i>
      <x v="5"/>
    </i>
    <i r="1">
      <x/>
    </i>
    <i>
      <x v="6"/>
    </i>
    <i r="1">
      <x/>
    </i>
    <i r="1">
      <x v="2"/>
    </i>
    <i>
      <x v="16"/>
    </i>
    <i r="1">
      <x/>
    </i>
    <i r="1">
      <x v="1"/>
    </i>
    <i r="1">
      <x v="2"/>
    </i>
    <i>
      <x v="12"/>
    </i>
    <i r="1">
      <x v="2"/>
    </i>
    <i r="1">
      <x v="1"/>
    </i>
    <i>
      <x v="18"/>
    </i>
    <i r="1">
      <x/>
    </i>
    <i>
      <x v="14"/>
    </i>
    <i r="1">
      <x v="3"/>
    </i>
    <i r="1">
      <x v="2"/>
    </i>
    <i r="1">
      <x/>
    </i>
    <i>
      <x v="15"/>
    </i>
    <i r="1">
      <x v="1"/>
    </i>
    <i r="1">
      <x v="2"/>
    </i>
    <i>
      <x v="17"/>
    </i>
    <i r="1">
      <x/>
    </i>
    <i r="1">
      <x v="2"/>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119">
      <pivotArea type="all" dataOnly="0" outline="0" fieldPosition="0"/>
    </format>
    <format dxfId="120">
      <pivotArea type="all" dataOnly="0" outline="0" fieldPosition="0"/>
    </format>
    <format dxfId="121">
      <pivotArea type="all" dataOnly="0" outline="0" fieldPosition="0"/>
    </format>
    <format dxfId="122">
      <pivotArea dataOnly="0" labelOnly="1" offset="B256:B256" fieldPosition="0">
        <references count="1">
          <reference field="30" count="1">
            <x v="7"/>
          </reference>
        </references>
      </pivotArea>
    </format>
    <format dxfId="123">
      <pivotArea collapsedLevelsAreSubtotals="1" fieldPosition="0">
        <references count="1">
          <reference field="30" count="1" selected="0">
            <x v="7"/>
          </reference>
        </references>
      </pivotArea>
    </format>
    <format dxfId="124">
      <pivotArea dataOnly="0" labelOnly="1" offset="B256:B256" fieldPosition="0">
        <references count="1">
          <reference field="30" count="1">
            <x v="7"/>
          </reference>
        </references>
      </pivotArea>
    </format>
    <format dxfId="125">
      <pivotArea collapsedLevelsAreSubtotals="1" fieldPosition="0">
        <references count="1">
          <reference field="30" count="1" selected="0">
            <x v="7"/>
          </reference>
        </references>
      </pivotArea>
    </format>
    <format dxfId="126">
      <pivotArea dataOnly="0" labelOnly="1" offset="B256:B256" fieldPosition="0">
        <references count="1">
          <reference field="30" count="1">
            <x v="14"/>
          </reference>
        </references>
      </pivotArea>
    </format>
    <format dxfId="127">
      <pivotArea collapsedLevelsAreSubtotals="1" fieldPosition="0">
        <references count="1">
          <reference field="30" count="1" selected="0">
            <x v="14"/>
          </reference>
        </references>
      </pivotArea>
    </format>
    <format dxfId="128">
      <pivotArea dataOnly="0" labelOnly="1" offset="B256:B256" fieldPosition="0">
        <references count="1">
          <reference field="30" count="1">
            <x v="14"/>
          </reference>
        </references>
      </pivotArea>
    </format>
    <format dxfId="129">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数据透视表40"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189:F1248"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axis="axisRow"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ortType="descending" showAll="0">
      <items count="12">
        <item x="0"/>
        <item x="1"/>
        <item x="2"/>
        <item x="3"/>
        <item x="4"/>
        <item x="5"/>
        <item x="6"/>
        <item x="7"/>
        <item x="8"/>
        <item x="9"/>
        <item x="10"/>
        <item t="default"/>
      </items>
      <autoSortScope>
        <pivotArea fieldPosition="0">
          <references count="1">
            <reference field="4294967294" count="1" selected="0">
              <x v="0"/>
            </reference>
          </references>
        </pivotArea>
      </autoSortScope>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4"/>
  </rowFields>
  <rowItems count="59">
    <i>
      <x/>
    </i>
    <i r="1">
      <x/>
    </i>
    <i r="1">
      <x v="5"/>
    </i>
    <i r="1">
      <x v="1"/>
    </i>
    <i>
      <x v="2"/>
    </i>
    <i r="1">
      <x/>
    </i>
    <i r="1">
      <x v="1"/>
    </i>
    <i r="1">
      <x v="2"/>
    </i>
    <i>
      <x v="1"/>
    </i>
    <i r="1">
      <x v="1"/>
    </i>
    <i r="1">
      <x/>
    </i>
    <i>
      <x v="13"/>
    </i>
    <i r="1">
      <x/>
    </i>
    <i r="1">
      <x v="4"/>
    </i>
    <i>
      <x v="3"/>
    </i>
    <i r="1">
      <x v="1"/>
    </i>
    <i r="1">
      <x v="2"/>
    </i>
    <i r="1">
      <x/>
    </i>
    <i>
      <x v="8"/>
    </i>
    <i r="1">
      <x/>
    </i>
    <i r="1">
      <x v="1"/>
    </i>
    <i r="1">
      <x v="6"/>
    </i>
    <i r="1">
      <x v="2"/>
    </i>
    <i>
      <x v="7"/>
    </i>
    <i r="1">
      <x v="1"/>
    </i>
    <i r="1">
      <x/>
    </i>
    <i>
      <x v="9"/>
    </i>
    <i r="1">
      <x v="1"/>
    </i>
    <i r="1">
      <x/>
    </i>
    <i>
      <x v="4"/>
    </i>
    <i r="1">
      <x/>
    </i>
    <i r="1">
      <x v="3"/>
    </i>
    <i>
      <x v="11"/>
    </i>
    <i r="1">
      <x/>
    </i>
    <i r="1">
      <x v="3"/>
    </i>
    <i r="1">
      <x v="1"/>
    </i>
    <i>
      <x v="10"/>
    </i>
    <i r="1">
      <x v="1"/>
    </i>
    <i>
      <x v="5"/>
    </i>
    <i r="1">
      <x/>
    </i>
    <i r="1">
      <x v="3"/>
    </i>
    <i>
      <x v="6"/>
    </i>
    <i r="1">
      <x v="1"/>
    </i>
    <i>
      <x v="16"/>
    </i>
    <i r="1">
      <x/>
    </i>
    <i>
      <x v="12"/>
    </i>
    <i r="1">
      <x v="1"/>
    </i>
    <i r="1">
      <x/>
    </i>
    <i>
      <x v="18"/>
    </i>
    <i r="1">
      <x v="3"/>
    </i>
    <i>
      <x v="14"/>
    </i>
    <i r="1">
      <x/>
    </i>
    <i r="1">
      <x v="2"/>
    </i>
    <i>
      <x v="15"/>
    </i>
    <i r="1">
      <x v="1"/>
    </i>
    <i>
      <x v="17"/>
    </i>
    <i r="1">
      <x/>
    </i>
    <i r="1">
      <x v="1"/>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130">
      <pivotArea type="all" dataOnly="0" outline="0" fieldPosition="0"/>
    </format>
    <format dxfId="131">
      <pivotArea type="all" dataOnly="0" outline="0" fieldPosition="0"/>
    </format>
    <format dxfId="132">
      <pivotArea type="all" dataOnly="0" outline="0" fieldPosition="0"/>
    </format>
    <format dxfId="133">
      <pivotArea dataOnly="0" labelOnly="1" offset="B256:B256" fieldPosition="0">
        <references count="1">
          <reference field="30" count="1">
            <x v="7"/>
          </reference>
        </references>
      </pivotArea>
    </format>
    <format dxfId="134">
      <pivotArea collapsedLevelsAreSubtotals="1" fieldPosition="0">
        <references count="1">
          <reference field="30" count="1" selected="0">
            <x v="7"/>
          </reference>
        </references>
      </pivotArea>
    </format>
    <format dxfId="135">
      <pivotArea dataOnly="0" labelOnly="1" offset="B256:B256" fieldPosition="0">
        <references count="1">
          <reference field="30" count="1">
            <x v="7"/>
          </reference>
        </references>
      </pivotArea>
    </format>
    <format dxfId="136">
      <pivotArea collapsedLevelsAreSubtotals="1" fieldPosition="0">
        <references count="1">
          <reference field="30" count="1" selected="0">
            <x v="7"/>
          </reference>
        </references>
      </pivotArea>
    </format>
    <format dxfId="137">
      <pivotArea dataOnly="0" labelOnly="1" offset="B256:B256" fieldPosition="0">
        <references count="1">
          <reference field="30" count="1">
            <x v="14"/>
          </reference>
        </references>
      </pivotArea>
    </format>
    <format dxfId="138">
      <pivotArea collapsedLevelsAreSubtotals="1" fieldPosition="0">
        <references count="1">
          <reference field="30" count="1" selected="0">
            <x v="14"/>
          </reference>
        </references>
      </pivotArea>
    </format>
    <format dxfId="139">
      <pivotArea dataOnly="0" labelOnly="1" offset="B256:B256" fieldPosition="0">
        <references count="1">
          <reference field="30" count="1">
            <x v="14"/>
          </reference>
        </references>
      </pivotArea>
    </format>
    <format dxfId="140">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数据透视表3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811:F908"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axis="axisRow"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2"/>
  </rowFields>
  <rowItems count="97">
    <i>
      <x/>
    </i>
    <i r="1">
      <x/>
    </i>
    <i r="1">
      <x v="3"/>
    </i>
    <i r="1">
      <x v="2"/>
    </i>
    <i r="1">
      <x v="8"/>
    </i>
    <i r="1">
      <x v="13"/>
    </i>
    <i r="1">
      <x v="4"/>
    </i>
    <i>
      <x v="2"/>
    </i>
    <i r="1">
      <x v="4"/>
    </i>
    <i r="1">
      <x v="2"/>
    </i>
    <i r="1">
      <x v="3"/>
    </i>
    <i r="1">
      <x v="8"/>
    </i>
    <i r="1">
      <x v="6"/>
    </i>
    <i r="1">
      <x v="7"/>
    </i>
    <i>
      <x v="1"/>
    </i>
    <i r="1">
      <x v="1"/>
    </i>
    <i r="1">
      <x/>
    </i>
    <i r="1">
      <x v="6"/>
    </i>
    <i r="1">
      <x v="11"/>
    </i>
    <i r="1">
      <x v="4"/>
    </i>
    <i r="1">
      <x v="2"/>
    </i>
    <i r="1">
      <x v="8"/>
    </i>
    <i>
      <x v="13"/>
    </i>
    <i r="1">
      <x/>
    </i>
    <i r="1">
      <x v="5"/>
    </i>
    <i r="1">
      <x v="3"/>
    </i>
    <i r="1">
      <x v="11"/>
    </i>
    <i>
      <x v="3"/>
    </i>
    <i r="1">
      <x v="3"/>
    </i>
    <i r="1">
      <x v="4"/>
    </i>
    <i r="1">
      <x v="8"/>
    </i>
    <i r="1">
      <x v="12"/>
    </i>
    <i r="1">
      <x v="10"/>
    </i>
    <i r="1">
      <x v="14"/>
    </i>
    <i>
      <x v="8"/>
    </i>
    <i r="1">
      <x v="5"/>
    </i>
    <i r="1">
      <x v="1"/>
    </i>
    <i r="1">
      <x v="6"/>
    </i>
    <i r="1">
      <x/>
    </i>
    <i r="1">
      <x v="7"/>
    </i>
    <i>
      <x v="7"/>
    </i>
    <i r="1">
      <x v="6"/>
    </i>
    <i r="1">
      <x v="4"/>
    </i>
    <i r="1">
      <x v="5"/>
    </i>
    <i r="1">
      <x v="8"/>
    </i>
    <i r="1">
      <x v="14"/>
    </i>
    <i>
      <x v="9"/>
    </i>
    <i r="1">
      <x v="2"/>
    </i>
    <i r="1">
      <x v="4"/>
    </i>
    <i r="1">
      <x v="10"/>
    </i>
    <i r="1">
      <x v="8"/>
    </i>
    <i r="1">
      <x v="1"/>
    </i>
    <i>
      <x v="4"/>
    </i>
    <i r="1">
      <x v="5"/>
    </i>
    <i r="1">
      <x v="3"/>
    </i>
    <i>
      <x v="11"/>
    </i>
    <i r="1">
      <x v="9"/>
    </i>
    <i r="1">
      <x v="6"/>
    </i>
    <i r="1">
      <x v="2"/>
    </i>
    <i r="1">
      <x v="12"/>
    </i>
    <i r="1">
      <x v="10"/>
    </i>
    <i r="1">
      <x v="8"/>
    </i>
    <i>
      <x v="10"/>
    </i>
    <i r="1">
      <x v="3"/>
    </i>
    <i r="1">
      <x v="4"/>
    </i>
    <i r="1">
      <x v="6"/>
    </i>
    <i>
      <x v="5"/>
    </i>
    <i r="1">
      <x v="4"/>
    </i>
    <i r="1">
      <x v="5"/>
    </i>
    <i r="1">
      <x v="6"/>
    </i>
    <i>
      <x v="6"/>
    </i>
    <i r="1">
      <x v="3"/>
    </i>
    <i r="1">
      <x v="11"/>
    </i>
    <i>
      <x v="16"/>
    </i>
    <i r="1">
      <x v="8"/>
    </i>
    <i r="1">
      <x v="4"/>
    </i>
    <i r="1">
      <x v="11"/>
    </i>
    <i r="1">
      <x v="6"/>
    </i>
    <i r="1">
      <x v="5"/>
    </i>
    <i>
      <x v="12"/>
    </i>
    <i r="1">
      <x v="4"/>
    </i>
    <i r="1">
      <x v="8"/>
    </i>
    <i r="1">
      <x v="11"/>
    </i>
    <i>
      <x v="18"/>
    </i>
    <i r="1">
      <x v="5"/>
    </i>
    <i>
      <x v="14"/>
    </i>
    <i r="1">
      <x v="12"/>
    </i>
    <i r="1">
      <x v="8"/>
    </i>
    <i r="1">
      <x v="6"/>
    </i>
    <i>
      <x v="15"/>
    </i>
    <i r="1">
      <x v="3"/>
    </i>
    <i r="1">
      <x v="2"/>
    </i>
    <i r="1">
      <x v="6"/>
    </i>
    <i>
      <x v="17"/>
    </i>
    <i r="1">
      <x v="6"/>
    </i>
    <i r="1">
      <x v="10"/>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1">
    <format dxfId="141">
      <pivotArea type="all" dataOnly="0" outline="0" fieldPosition="0"/>
    </format>
    <format dxfId="142">
      <pivotArea type="all" dataOnly="0" outline="0" fieldPosition="0"/>
    </format>
    <format dxfId="143">
      <pivotArea type="all" dataOnly="0" outline="0" fieldPosition="0"/>
    </format>
    <format dxfId="144">
      <pivotArea dataOnly="0" labelOnly="1" offset="B256:B256" fieldPosition="0">
        <references count="1">
          <reference field="30" count="1">
            <x v="7"/>
          </reference>
        </references>
      </pivotArea>
    </format>
    <format dxfId="145">
      <pivotArea collapsedLevelsAreSubtotals="1" fieldPosition="0">
        <references count="1">
          <reference field="30" count="1" selected="0">
            <x v="7"/>
          </reference>
        </references>
      </pivotArea>
    </format>
    <format dxfId="146">
      <pivotArea dataOnly="0" labelOnly="1" offset="B256:B256" fieldPosition="0">
        <references count="1">
          <reference field="30" count="1">
            <x v="7"/>
          </reference>
        </references>
      </pivotArea>
    </format>
    <format dxfId="147">
      <pivotArea collapsedLevelsAreSubtotals="1" fieldPosition="0">
        <references count="1">
          <reference field="30" count="1" selected="0">
            <x v="7"/>
          </reference>
        </references>
      </pivotArea>
    </format>
    <format dxfId="148">
      <pivotArea dataOnly="0" labelOnly="1" offset="B256:B256" fieldPosition="0">
        <references count="1">
          <reference field="30" count="1">
            <x v="14"/>
          </reference>
        </references>
      </pivotArea>
    </format>
    <format dxfId="149">
      <pivotArea collapsedLevelsAreSubtotals="1" fieldPosition="0">
        <references count="1">
          <reference field="30" count="1" selected="0">
            <x v="14"/>
          </reference>
        </references>
      </pivotArea>
    </format>
    <format dxfId="150">
      <pivotArea dataOnly="0" labelOnly="1" offset="B256:B256" fieldPosition="0">
        <references count="1">
          <reference field="30" count="1">
            <x v="14"/>
          </reference>
        </references>
      </pivotArea>
    </format>
    <format dxfId="151">
      <pivotArea collapsedLevelsAreSubtotals="1" fieldPosition="0">
        <references count="1">
          <reference field="30" count="1" selected="0">
            <x v="1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数据透视表1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321:E339"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axis="axisRow"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3"/>
  </rowFields>
  <rowItems count="18">
    <i>
      <x v="3"/>
    </i>
    <i>
      <x v="1"/>
    </i>
    <i>
      <x/>
    </i>
    <i>
      <x v="7"/>
    </i>
    <i>
      <x v="4"/>
    </i>
    <i>
      <x v="10"/>
    </i>
    <i>
      <x v="5"/>
    </i>
    <i>
      <x v="8"/>
    </i>
    <i>
      <x v="6"/>
    </i>
    <i>
      <x v="2"/>
    </i>
    <i>
      <x v="11"/>
    </i>
    <i>
      <x v="16"/>
    </i>
    <i>
      <x v="9"/>
    </i>
    <i>
      <x v="14"/>
    </i>
    <i>
      <x v="13"/>
    </i>
    <i>
      <x v="15"/>
    </i>
    <i>
      <x v="12"/>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52">
      <pivotArea type="all" dataOnly="0" outline="0" fieldPosition="0"/>
    </format>
    <format dxfId="153">
      <pivotArea type="all" dataOnly="0" outline="0" fieldPosition="0"/>
    </format>
    <format dxfId="154">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158:E187" firstHeaderRow="0" firstDataRow="1" firstDataCol="1"/>
  <pivotFields count="56">
    <pivotField compact="0" showAll="0">
      <items count="101">
        <item x="65"/>
        <item x="67"/>
        <item x="63"/>
        <item x="93"/>
        <item x="44"/>
        <item x="40"/>
        <item x="61"/>
        <item x="52"/>
        <item x="43"/>
        <item x="57"/>
        <item x="90"/>
        <item x="20"/>
        <item x="3"/>
        <item x="73"/>
        <item x="28"/>
        <item x="31"/>
        <item x="66"/>
        <item x="98"/>
        <item x="33"/>
        <item x="74"/>
        <item x="91"/>
        <item x="68"/>
        <item x="18"/>
        <item x="32"/>
        <item x="97"/>
        <item x="82"/>
        <item x="72"/>
        <item x="2"/>
        <item x="11"/>
        <item x="15"/>
        <item x="47"/>
        <item x="50"/>
        <item x="30"/>
        <item x="8"/>
        <item x="83"/>
        <item x="23"/>
        <item x="39"/>
        <item x="26"/>
        <item x="25"/>
        <item x="6"/>
        <item x="56"/>
        <item x="64"/>
        <item x="19"/>
        <item x="1"/>
        <item x="79"/>
        <item x="87"/>
        <item x="77"/>
        <item x="59"/>
        <item x="42"/>
        <item x="58"/>
        <item x="88"/>
        <item x="13"/>
        <item x="5"/>
        <item x="86"/>
        <item x="80"/>
        <item x="92"/>
        <item x="7"/>
        <item x="27"/>
        <item x="45"/>
        <item x="99"/>
        <item x="34"/>
        <item x="49"/>
        <item x="76"/>
        <item x="55"/>
        <item x="78"/>
        <item x="17"/>
        <item x="75"/>
        <item x="21"/>
        <item x="16"/>
        <item x="4"/>
        <item x="38"/>
        <item x="71"/>
        <item x="70"/>
        <item x="69"/>
        <item x="96"/>
        <item x="94"/>
        <item x="84"/>
        <item x="60"/>
        <item x="85"/>
        <item x="48"/>
        <item x="12"/>
        <item x="53"/>
        <item x="37"/>
        <item x="10"/>
        <item x="51"/>
        <item x="46"/>
        <item x="0"/>
        <item x="62"/>
        <item x="22"/>
        <item x="29"/>
        <item x="35"/>
        <item x="36"/>
        <item x="14"/>
        <item x="54"/>
        <item x="81"/>
        <item x="9"/>
        <item x="89"/>
        <item x="95"/>
        <item x="24"/>
        <item x="41"/>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34"/>
        <item x="46"/>
        <item x="23"/>
        <item x="45"/>
        <item x="43"/>
        <item x="38"/>
        <item x="8"/>
        <item x="30"/>
        <item x="1"/>
        <item x="22"/>
        <item x="18"/>
        <item x="33"/>
        <item x="3"/>
        <item x="29"/>
        <item x="24"/>
        <item x="9"/>
        <item x="7"/>
        <item x="11"/>
        <item x="6"/>
        <item x="20"/>
        <item x="39"/>
        <item x="28"/>
        <item x="4"/>
        <item x="15"/>
        <item x="16"/>
        <item x="35"/>
        <item x="2"/>
        <item x="13"/>
        <item x="42"/>
        <item x="21"/>
        <item x="0"/>
        <item x="37"/>
        <item x="17"/>
        <item x="5"/>
        <item x="19"/>
        <item x="32"/>
        <item x="12"/>
        <item x="44"/>
        <item x="26"/>
        <item x="40"/>
        <item x="36"/>
        <item x="41"/>
        <item x="10"/>
        <item x="14"/>
        <item x="27"/>
        <item x="25"/>
        <item x="31"/>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6">
        <item x="0"/>
        <item x="1"/>
        <item x="2"/>
        <item x="3"/>
        <item x="4"/>
        <item t="default"/>
      </items>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axis="axisRow" compact="0" sortType="descending"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fieldPosition="0">
          <references count="1">
            <reference field="4294967294" count="1" selected="0">
              <x v="0"/>
            </reference>
          </references>
        </pivotArea>
      </autoSortScope>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50"/>
  </rowFields>
  <rowItems count="29">
    <i>
      <x v="1"/>
    </i>
    <i>
      <x/>
    </i>
    <i>
      <x v="2"/>
    </i>
    <i>
      <x v="3"/>
    </i>
    <i>
      <x v="6"/>
    </i>
    <i>
      <x v="24"/>
    </i>
    <i>
      <x v="8"/>
    </i>
    <i>
      <x v="4"/>
    </i>
    <i>
      <x v="7"/>
    </i>
    <i>
      <x v="9"/>
    </i>
    <i>
      <x v="15"/>
    </i>
    <i>
      <x v="10"/>
    </i>
    <i>
      <x v="13"/>
    </i>
    <i>
      <x v="5"/>
    </i>
    <i>
      <x v="12"/>
    </i>
    <i>
      <x v="22"/>
    </i>
    <i>
      <x v="14"/>
    </i>
    <i>
      <x v="25"/>
    </i>
    <i>
      <x v="21"/>
    </i>
    <i>
      <x v="16"/>
    </i>
    <i>
      <x v="18"/>
    </i>
    <i>
      <x v="26"/>
    </i>
    <i>
      <x v="27"/>
    </i>
    <i>
      <x v="11"/>
    </i>
    <i>
      <x v="17"/>
    </i>
    <i>
      <x v="23"/>
    </i>
    <i>
      <x v="20"/>
    </i>
    <i>
      <x v="19"/>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4">
    <format dxfId="155">
      <pivotArea type="all" dataOnly="0" outline="0" fieldPosition="0"/>
    </format>
    <format dxfId="156">
      <pivotArea type="all" dataOnly="0" outline="0" fieldPosition="0"/>
    </format>
    <format dxfId="157">
      <pivotArea dataOnly="0" labelOnly="1" fieldPosition="0">
        <references count="1">
          <reference field="4294967294" count="1">
            <x v="1"/>
          </reference>
        </references>
      </pivotArea>
    </format>
    <format dxfId="158">
      <pivotArea collapsedLevelsAreSubtotals="1" fieldPosition="0">
        <references count="1">
          <reference field="4294967294" count="1" selected="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数据透视表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213:E258"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6">
        <item x="0"/>
        <item x="1"/>
        <item x="2"/>
        <item x="3"/>
        <item x="4"/>
        <item t="default"/>
      </items>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17"/>
  </rowFields>
  <rowItems count="45">
    <i>
      <x v="26"/>
    </i>
    <i>
      <x v="35"/>
    </i>
    <i>
      <x v="1"/>
    </i>
    <i>
      <x v="36"/>
    </i>
    <i>
      <x v="12"/>
    </i>
    <i>
      <x v="42"/>
    </i>
    <i>
      <x v="9"/>
    </i>
    <i>
      <x v="13"/>
    </i>
    <i>
      <x v="18"/>
    </i>
    <i>
      <x v="40"/>
    </i>
    <i>
      <x v="34"/>
    </i>
    <i>
      <x v="19"/>
    </i>
    <i>
      <x v="27"/>
    </i>
    <i>
      <x v="41"/>
    </i>
    <i>
      <x v="11"/>
    </i>
    <i>
      <x v="33"/>
    </i>
    <i>
      <x v="30"/>
    </i>
    <i>
      <x v="3"/>
    </i>
    <i>
      <x v="23"/>
    </i>
    <i>
      <x v="38"/>
    </i>
    <i>
      <x v="10"/>
    </i>
    <i>
      <x v="39"/>
    </i>
    <i>
      <x/>
    </i>
    <i>
      <x v="28"/>
    </i>
    <i>
      <x v="15"/>
    </i>
    <i>
      <x v="8"/>
    </i>
    <i>
      <x v="21"/>
    </i>
    <i>
      <x v="32"/>
    </i>
    <i>
      <x v="4"/>
    </i>
    <i>
      <x v="29"/>
    </i>
    <i>
      <x v="5"/>
    </i>
    <i>
      <x v="7"/>
    </i>
    <i>
      <x v="43"/>
    </i>
    <i>
      <x v="22"/>
    </i>
    <i>
      <x v="37"/>
    </i>
    <i>
      <x v="17"/>
    </i>
    <i>
      <x v="2"/>
    </i>
    <i>
      <x v="31"/>
    </i>
    <i>
      <x v="6"/>
    </i>
    <i>
      <x v="25"/>
    </i>
    <i>
      <x v="16"/>
    </i>
    <i>
      <x v="14"/>
    </i>
    <i>
      <x v="24"/>
    </i>
    <i>
      <x v="20"/>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59">
      <pivotArea type="all" dataOnly="0" outline="0" fieldPosition="0"/>
    </format>
    <format dxfId="160">
      <pivotArea type="all" dataOnly="0" outline="0" fieldPosition="0"/>
    </format>
    <format dxfId="161">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数据透视表10"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J213:M258" firstHeaderRow="0" firstDataRow="1" firstDataCol="1"/>
  <pivotFields count="56">
    <pivotField compact="0" showAll="0">
      <items count="101">
        <item x="65"/>
        <item x="67"/>
        <item x="63"/>
        <item x="93"/>
        <item x="44"/>
        <item x="40"/>
        <item x="61"/>
        <item x="52"/>
        <item x="43"/>
        <item x="57"/>
        <item x="90"/>
        <item x="20"/>
        <item x="3"/>
        <item x="73"/>
        <item x="28"/>
        <item x="31"/>
        <item x="66"/>
        <item x="98"/>
        <item x="33"/>
        <item x="74"/>
        <item x="91"/>
        <item x="68"/>
        <item x="18"/>
        <item x="32"/>
        <item x="97"/>
        <item x="82"/>
        <item x="72"/>
        <item x="2"/>
        <item x="11"/>
        <item x="15"/>
        <item x="47"/>
        <item x="50"/>
        <item x="30"/>
        <item x="8"/>
        <item x="83"/>
        <item x="23"/>
        <item x="39"/>
        <item x="26"/>
        <item x="25"/>
        <item x="6"/>
        <item x="56"/>
        <item x="64"/>
        <item x="19"/>
        <item x="1"/>
        <item x="79"/>
        <item x="87"/>
        <item x="77"/>
        <item x="59"/>
        <item x="42"/>
        <item x="58"/>
        <item x="88"/>
        <item x="13"/>
        <item x="5"/>
        <item x="86"/>
        <item x="80"/>
        <item x="92"/>
        <item x="7"/>
        <item x="27"/>
        <item x="45"/>
        <item x="99"/>
        <item x="34"/>
        <item x="49"/>
        <item x="76"/>
        <item x="55"/>
        <item x="78"/>
        <item x="17"/>
        <item x="75"/>
        <item x="21"/>
        <item x="16"/>
        <item x="4"/>
        <item x="38"/>
        <item x="71"/>
        <item x="70"/>
        <item x="69"/>
        <item x="96"/>
        <item x="94"/>
        <item x="84"/>
        <item x="60"/>
        <item x="85"/>
        <item x="48"/>
        <item x="12"/>
        <item x="53"/>
        <item x="37"/>
        <item x="10"/>
        <item x="51"/>
        <item x="46"/>
        <item x="0"/>
        <item x="62"/>
        <item x="22"/>
        <item x="29"/>
        <item x="35"/>
        <item x="36"/>
        <item x="14"/>
        <item x="54"/>
        <item x="81"/>
        <item x="9"/>
        <item x="89"/>
        <item x="95"/>
        <item x="24"/>
        <item x="41"/>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19"/>
  </rowFields>
  <rowItems count="45">
    <i>
      <x/>
    </i>
    <i>
      <x v="1"/>
    </i>
    <i>
      <x v="2"/>
    </i>
    <i>
      <x v="3"/>
    </i>
    <i>
      <x v="11"/>
    </i>
    <i>
      <x v="5"/>
    </i>
    <i>
      <x v="7"/>
    </i>
    <i>
      <x v="4"/>
    </i>
    <i>
      <x v="9"/>
    </i>
    <i>
      <x v="17"/>
    </i>
    <i>
      <x v="8"/>
    </i>
    <i>
      <x v="10"/>
    </i>
    <i>
      <x v="14"/>
    </i>
    <i>
      <x v="6"/>
    </i>
    <i>
      <x v="12"/>
    </i>
    <i>
      <x v="36"/>
    </i>
    <i>
      <x v="22"/>
    </i>
    <i>
      <x v="26"/>
    </i>
    <i>
      <x v="19"/>
    </i>
    <i>
      <x v="18"/>
    </i>
    <i>
      <x v="27"/>
    </i>
    <i>
      <x v="20"/>
    </i>
    <i>
      <x v="24"/>
    </i>
    <i>
      <x v="13"/>
    </i>
    <i>
      <x v="23"/>
    </i>
    <i>
      <x v="16"/>
    </i>
    <i>
      <x v="15"/>
    </i>
    <i>
      <x v="31"/>
    </i>
    <i>
      <x v="34"/>
    </i>
    <i>
      <x v="38"/>
    </i>
    <i>
      <x v="28"/>
    </i>
    <i>
      <x v="29"/>
    </i>
    <i>
      <x v="30"/>
    </i>
    <i>
      <x v="21"/>
    </i>
    <i>
      <x v="25"/>
    </i>
    <i>
      <x v="33"/>
    </i>
    <i>
      <x v="39"/>
    </i>
    <i>
      <x v="37"/>
    </i>
    <i>
      <x v="32"/>
    </i>
    <i>
      <x v="43"/>
    </i>
    <i>
      <x v="41"/>
    </i>
    <i>
      <x v="40"/>
    </i>
    <i>
      <x v="35"/>
    </i>
    <i>
      <x v="42"/>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4">
    <format dxfId="162">
      <pivotArea type="all" dataOnly="0" outline="0" fieldPosition="0"/>
    </format>
    <format dxfId="163">
      <pivotArea type="all" dataOnly="0" outline="0" fieldPosition="0"/>
    </format>
    <format dxfId="164">
      <pivotArea type="all" dataOnly="0" outline="0" fieldPosition="0"/>
    </format>
    <format dxfId="165">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数据透视表1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266:E272"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howAll="0">
      <items count="7">
        <item x="0"/>
        <item x="1"/>
        <item x="2"/>
        <item x="3"/>
        <item x="4"/>
        <item x="5"/>
        <item t="default"/>
      </items>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0"/>
  </rowFields>
  <rowItems count="6">
    <i>
      <x/>
    </i>
    <i>
      <x v="2"/>
    </i>
    <i>
      <x v="1"/>
    </i>
    <i>
      <x v="3"/>
    </i>
    <i>
      <x v="4"/>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66">
      <pivotArea type="all" dataOnly="0" outline="0" fieldPosition="0"/>
    </format>
    <format dxfId="167">
      <pivotArea type="all" dataOnly="0" outline="0" fieldPosition="0"/>
    </format>
    <format dxfId="168">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数据透视表1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280:E287"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axis="axisRow"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16">
        <item x="0"/>
        <item x="1"/>
        <item x="2"/>
        <item x="3"/>
        <item x="4"/>
        <item x="5"/>
        <item x="6"/>
        <item x="7"/>
        <item x="8"/>
        <item x="9"/>
        <item x="10"/>
        <item x="11"/>
        <item x="12"/>
        <item x="13"/>
        <item x="14"/>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1"/>
  </rowFields>
  <rowItems count="7">
    <i>
      <x/>
    </i>
    <i>
      <x v="1"/>
    </i>
    <i>
      <x v="2"/>
    </i>
    <i>
      <x v="4"/>
    </i>
    <i>
      <x v="3"/>
    </i>
    <i>
      <x v="5"/>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69">
      <pivotArea type="all" dataOnly="0" outline="0" fieldPosition="0"/>
    </format>
    <format dxfId="170">
      <pivotArea type="all" dataOnly="0" outline="0" fieldPosition="0"/>
    </format>
    <format dxfId="171">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数据透视表4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250:F1328" firstHeaderRow="0" firstDataRow="1" firstDataCol="2"/>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ortType="descending"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fieldPosition="0">
          <references count="1">
            <reference field="4294967294" count="1" selected="0">
              <x v="0"/>
            </reference>
          </references>
        </pivotArea>
      </autoSortScope>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fieldPosition="0">
          <references count="1">
            <reference field="4294967294" count="1" selected="0">
              <x v="0"/>
            </reference>
          </references>
        </pivotArea>
      </autoSortScope>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ortType="descending" showAll="0">
      <items count="12">
        <item x="0"/>
        <item x="1"/>
        <item x="2"/>
        <item x="3"/>
        <item x="4"/>
        <item x="5"/>
        <item x="6"/>
        <item x="7"/>
        <item x="8"/>
        <item x="9"/>
        <item x="10"/>
        <item t="default"/>
      </items>
      <autoSortScope>
        <pivotArea fieldPosition="0">
          <references count="1">
            <reference field="4294967294" count="1" selected="0">
              <x v="0"/>
            </reference>
          </references>
        </pivotArea>
      </autoSortScope>
    </pivotField>
    <pivotField axis="axisRow"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axis="axisRow"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2">
    <field x="30"/>
    <field x="29"/>
  </rowFields>
  <rowItems count="78">
    <i>
      <x/>
    </i>
    <i r="1">
      <x/>
    </i>
    <i r="1">
      <x v="3"/>
    </i>
    <i r="1">
      <x v="1"/>
    </i>
    <i r="1">
      <x v="7"/>
    </i>
    <i>
      <x v="2"/>
    </i>
    <i r="1">
      <x v="3"/>
    </i>
    <i r="1">
      <x v="1"/>
    </i>
    <i r="1">
      <x v="2"/>
    </i>
    <i r="1">
      <x v="4"/>
    </i>
    <i r="1">
      <x/>
    </i>
    <i>
      <x v="1"/>
    </i>
    <i r="1">
      <x/>
    </i>
    <i r="1">
      <x v="3"/>
    </i>
    <i r="1">
      <x v="7"/>
    </i>
    <i r="1">
      <x v="5"/>
    </i>
    <i r="1">
      <x v="4"/>
    </i>
    <i r="1">
      <x v="1"/>
    </i>
    <i>
      <x v="13"/>
    </i>
    <i r="1">
      <x/>
    </i>
    <i>
      <x v="3"/>
    </i>
    <i r="1">
      <x v="3"/>
    </i>
    <i r="1">
      <x v="5"/>
    </i>
    <i r="1">
      <x v="6"/>
    </i>
    <i r="1">
      <x v="4"/>
    </i>
    <i r="1">
      <x v="1"/>
    </i>
    <i>
      <x v="8"/>
    </i>
    <i r="1">
      <x/>
    </i>
    <i r="1">
      <x v="4"/>
    </i>
    <i r="1">
      <x v="1"/>
    </i>
    <i r="1">
      <x v="3"/>
    </i>
    <i>
      <x v="7"/>
    </i>
    <i r="1">
      <x v="3"/>
    </i>
    <i r="1">
      <x v="5"/>
    </i>
    <i r="1">
      <x/>
    </i>
    <i r="1">
      <x v="1"/>
    </i>
    <i>
      <x v="9"/>
    </i>
    <i r="1">
      <x/>
    </i>
    <i r="1">
      <x v="1"/>
    </i>
    <i r="1">
      <x v="4"/>
    </i>
    <i>
      <x v="4"/>
    </i>
    <i r="1">
      <x/>
    </i>
    <i>
      <x v="11"/>
    </i>
    <i r="1">
      <x v="3"/>
    </i>
    <i r="1">
      <x v="4"/>
    </i>
    <i r="1">
      <x/>
    </i>
    <i r="1">
      <x v="1"/>
    </i>
    <i>
      <x v="10"/>
    </i>
    <i r="1">
      <x v="3"/>
    </i>
    <i r="1">
      <x v="5"/>
    </i>
    <i r="1">
      <x v="8"/>
    </i>
    <i>
      <x v="5"/>
    </i>
    <i r="1">
      <x/>
    </i>
    <i>
      <x v="6"/>
    </i>
    <i r="1">
      <x v="3"/>
    </i>
    <i r="1">
      <x v="4"/>
    </i>
    <i>
      <x v="16"/>
    </i>
    <i r="1">
      <x/>
    </i>
    <i r="1">
      <x v="3"/>
    </i>
    <i r="1">
      <x v="5"/>
    </i>
    <i r="1">
      <x v="1"/>
    </i>
    <i>
      <x v="12"/>
    </i>
    <i r="1">
      <x v="5"/>
    </i>
    <i r="1">
      <x v="4"/>
    </i>
    <i r="1">
      <x v="1"/>
    </i>
    <i>
      <x v="18"/>
    </i>
    <i r="1">
      <x/>
    </i>
    <i>
      <x v="14"/>
    </i>
    <i r="1">
      <x v="6"/>
    </i>
    <i r="1">
      <x v="5"/>
    </i>
    <i r="1">
      <x/>
    </i>
    <i>
      <x v="15"/>
    </i>
    <i r="1">
      <x v="5"/>
    </i>
    <i r="1">
      <x v="1"/>
    </i>
    <i>
      <x v="17"/>
    </i>
    <i r="1">
      <x/>
    </i>
    <i r="1">
      <x v="1"/>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27">
    <format dxfId="172">
      <pivotArea type="all" dataOnly="0" outline="0" fieldPosition="0"/>
    </format>
    <format dxfId="173">
      <pivotArea type="all" dataOnly="0" outline="0" fieldPosition="0"/>
    </format>
    <format dxfId="174">
      <pivotArea type="all" dataOnly="0" outline="0" fieldPosition="0"/>
    </format>
    <format dxfId="175">
      <pivotArea dataOnly="0" labelOnly="1" offset="B256:B256" fieldPosition="0">
        <references count="1">
          <reference field="30" count="1">
            <x v="7"/>
          </reference>
        </references>
      </pivotArea>
    </format>
    <format dxfId="176">
      <pivotArea collapsedLevelsAreSubtotals="1" fieldPosition="0">
        <references count="1">
          <reference field="30" count="1" selected="0">
            <x v="7"/>
          </reference>
        </references>
      </pivotArea>
    </format>
    <format dxfId="177">
      <pivotArea dataOnly="0" labelOnly="1" offset="B256:B256" fieldPosition="0">
        <references count="1">
          <reference field="30" count="1">
            <x v="7"/>
          </reference>
        </references>
      </pivotArea>
    </format>
    <format dxfId="178">
      <pivotArea collapsedLevelsAreSubtotals="1" fieldPosition="0">
        <references count="1">
          <reference field="30" count="1" selected="0">
            <x v="7"/>
          </reference>
        </references>
      </pivotArea>
    </format>
    <format dxfId="179">
      <pivotArea dataOnly="0" labelOnly="1" offset="B256:B256" fieldPosition="0">
        <references count="1">
          <reference field="30" count="1">
            <x v="14"/>
          </reference>
        </references>
      </pivotArea>
    </format>
    <format dxfId="180">
      <pivotArea collapsedLevelsAreSubtotals="1" fieldPosition="0">
        <references count="1">
          <reference field="30" count="1" selected="0">
            <x v="14"/>
          </reference>
        </references>
      </pivotArea>
    </format>
    <format dxfId="181">
      <pivotArea dataOnly="0" labelOnly="1" offset="B256:B256" fieldPosition="0">
        <references count="1">
          <reference field="30" count="1">
            <x v="14"/>
          </reference>
        </references>
      </pivotArea>
    </format>
    <format dxfId="182">
      <pivotArea collapsedLevelsAreSubtotals="1" fieldPosition="0">
        <references count="1">
          <reference field="30" count="1" selected="0">
            <x v="14"/>
          </reference>
        </references>
      </pivotArea>
    </format>
    <format dxfId="183">
      <pivotArea type="all" dataOnly="0" outline="0" fieldPosition="0"/>
    </format>
    <format dxfId="184">
      <pivotArea type="all" dataOnly="0" outline="0" fieldPosition="0"/>
    </format>
    <format dxfId="185">
      <pivotArea dataOnly="0" labelOnly="1" fieldPosition="0">
        <references count="2">
          <reference field="29" count="1">
            <x v="3"/>
          </reference>
          <reference field="30" count="1" selected="0">
            <x v="2"/>
          </reference>
        </references>
      </pivotArea>
    </format>
    <format dxfId="186">
      <pivotArea collapsedLevelsAreSubtotals="1" fieldPosition="0">
        <references count="2">
          <reference field="29" count="1" selected="0">
            <x v="3"/>
          </reference>
          <reference field="30" count="1" selected="0">
            <x v="2"/>
          </reference>
        </references>
      </pivotArea>
    </format>
    <format dxfId="187">
      <pivotArea dataOnly="0" labelOnly="1" fieldPosition="0">
        <references count="2">
          <reference field="29" count="1">
            <x v="0"/>
          </reference>
          <reference field="30" count="1" selected="0">
            <x v="0"/>
          </reference>
        </references>
      </pivotArea>
    </format>
    <format dxfId="188">
      <pivotArea collapsedLevelsAreSubtotals="1" fieldPosition="0">
        <references count="2">
          <reference field="29" count="1" selected="0">
            <x v="0"/>
          </reference>
          <reference field="30" count="1" selected="0">
            <x v="0"/>
          </reference>
        </references>
      </pivotArea>
    </format>
    <format dxfId="189">
      <pivotArea dataOnly="0" labelOnly="1" fieldPosition="0">
        <references count="2">
          <reference field="29" count="1">
            <x v="3"/>
          </reference>
          <reference field="30" count="1" selected="0">
            <x v="3"/>
          </reference>
        </references>
      </pivotArea>
    </format>
    <format dxfId="190">
      <pivotArea collapsedLevelsAreSubtotals="1" fieldPosition="0">
        <references count="2">
          <reference field="29" count="1" selected="0">
            <x v="3"/>
          </reference>
          <reference field="30" count="1" selected="0">
            <x v="3"/>
          </reference>
        </references>
      </pivotArea>
    </format>
    <format dxfId="191">
      <pivotArea dataOnly="0" labelOnly="1" fieldPosition="0">
        <references count="2">
          <reference field="29" count="1">
            <x v="0"/>
          </reference>
          <reference field="30" count="1" selected="0">
            <x v="8"/>
          </reference>
        </references>
      </pivotArea>
    </format>
    <format dxfId="192">
      <pivotArea collapsedLevelsAreSubtotals="1" fieldPosition="0">
        <references count="2">
          <reference field="29" count="1" selected="0">
            <x v="0"/>
          </reference>
          <reference field="30" count="1" selected="0">
            <x v="8"/>
          </reference>
        </references>
      </pivotArea>
    </format>
    <format dxfId="193">
      <pivotArea dataOnly="0" labelOnly="1" fieldPosition="0">
        <references count="2">
          <reference field="29" count="1">
            <x v="0"/>
          </reference>
          <reference field="30" count="1" selected="0">
            <x v="9"/>
          </reference>
        </references>
      </pivotArea>
    </format>
    <format dxfId="194">
      <pivotArea collapsedLevelsAreSubtotals="1" fieldPosition="0">
        <references count="2">
          <reference field="29" count="1" selected="0">
            <x v="0"/>
          </reference>
          <reference field="30" count="1" selected="0">
            <x v="9"/>
          </reference>
        </references>
      </pivotArea>
    </format>
    <format dxfId="195">
      <pivotArea dataOnly="0" labelOnly="1" fieldPosition="0">
        <references count="2">
          <reference field="29" count="1">
            <x v="0"/>
          </reference>
          <reference field="30" count="1" selected="0">
            <x v="4"/>
          </reference>
        </references>
      </pivotArea>
    </format>
    <format dxfId="196">
      <pivotArea collapsedLevelsAreSubtotals="1" fieldPosition="0">
        <references count="2">
          <reference field="29" count="1" selected="0">
            <x v="0"/>
          </reference>
          <reference field="30" count="1" selected="0">
            <x v="4"/>
          </reference>
        </references>
      </pivotArea>
    </format>
    <format dxfId="197">
      <pivotArea dataOnly="0" labelOnly="1" fieldPosition="0">
        <references count="2">
          <reference field="29" count="1">
            <x v="0"/>
          </reference>
          <reference field="30" count="1" selected="0">
            <x v="1"/>
          </reference>
        </references>
      </pivotArea>
    </format>
    <format dxfId="198">
      <pivotArea collapsedLevelsAreSubtotals="1" fieldPosition="0">
        <references count="2">
          <reference field="29" count="1" selected="0">
            <x v="0"/>
          </reference>
          <reference field="30" count="1" selected="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数据透视表29"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463:E471"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ortType="descending" showAll="0">
      <items count="10">
        <item x="0"/>
        <item x="1"/>
        <item x="2"/>
        <item x="3"/>
        <item x="4"/>
        <item x="5"/>
        <item x="6"/>
        <item x="7"/>
        <item x="8"/>
        <item t="default"/>
      </items>
      <autoSortScope>
        <pivotArea fieldPosition="0">
          <references count="1">
            <reference field="4294967294" count="1" selected="0">
              <x v="0"/>
            </reference>
          </references>
        </pivotArea>
      </autoSortScope>
    </pivotField>
    <pivotField compact="0" sortType="descending" showAll="0">
      <items count="20">
        <item x="0"/>
        <item x="1"/>
        <item x="2"/>
        <item x="3"/>
        <item x="4"/>
        <item x="5"/>
        <item x="6"/>
        <item x="7"/>
        <item x="8"/>
        <item x="9"/>
        <item x="10"/>
        <item x="11"/>
        <item x="12"/>
        <item x="13"/>
        <item x="14"/>
        <item x="15"/>
        <item x="16"/>
        <item x="17"/>
        <item x="18"/>
        <item t="default"/>
      </items>
      <autoSortScope>
        <pivotArea fieldPosition="0">
          <references count="1">
            <reference field="4294967294" count="1" selected="0">
              <x v="0"/>
            </reference>
          </references>
        </pivotArea>
      </autoSortScope>
    </pivotField>
    <pivotField axis="axisRow"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31"/>
  </rowFields>
  <rowItems count="8">
    <i>
      <x/>
    </i>
    <i>
      <x v="2"/>
    </i>
    <i>
      <x v="1"/>
    </i>
    <i>
      <x v="6"/>
    </i>
    <i>
      <x v="4"/>
    </i>
    <i>
      <x v="5"/>
    </i>
    <i>
      <x v="3"/>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199">
      <pivotArea type="all" dataOnly="0" outline="0" fieldPosition="0"/>
    </format>
    <format dxfId="200">
      <pivotArea type="all" dataOnly="0" outline="0" fieldPosition="0"/>
    </format>
    <format dxfId="201">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数据透视表1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348:E356"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axis="axisRow"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4"/>
  </rowFields>
  <rowItems count="8">
    <i>
      <x/>
    </i>
    <i>
      <x v="1"/>
    </i>
    <i>
      <x v="3"/>
    </i>
    <i>
      <x v="2"/>
    </i>
    <i>
      <x v="5"/>
    </i>
    <i>
      <x v="4"/>
    </i>
    <i>
      <x v="6"/>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202">
      <pivotArea type="all" dataOnly="0" outline="0" fieldPosition="0"/>
    </format>
    <format dxfId="203">
      <pivotArea type="all" dataOnly="0" outline="0" fieldPosition="0"/>
    </format>
    <format dxfId="204">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数据透视表20"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376:E379" firstHeaderRow="0" firstDataRow="1" firstDataCol="1"/>
  <pivotFields count="56">
    <pivotField compact="0" showAll="0">
      <items count="101">
        <item x="65"/>
        <item x="67"/>
        <item x="63"/>
        <item x="93"/>
        <item x="44"/>
        <item x="40"/>
        <item x="61"/>
        <item x="52"/>
        <item x="43"/>
        <item x="57"/>
        <item x="90"/>
        <item x="20"/>
        <item x="3"/>
        <item x="73"/>
        <item x="28"/>
        <item x="31"/>
        <item x="66"/>
        <item x="98"/>
        <item x="33"/>
        <item x="74"/>
        <item x="91"/>
        <item x="68"/>
        <item x="18"/>
        <item x="32"/>
        <item x="97"/>
        <item x="82"/>
        <item x="72"/>
        <item x="2"/>
        <item x="11"/>
        <item x="15"/>
        <item x="47"/>
        <item x="50"/>
        <item x="30"/>
        <item x="8"/>
        <item x="83"/>
        <item x="23"/>
        <item x="39"/>
        <item x="26"/>
        <item x="25"/>
        <item x="6"/>
        <item x="56"/>
        <item x="64"/>
        <item x="19"/>
        <item x="1"/>
        <item x="79"/>
        <item x="87"/>
        <item x="77"/>
        <item x="59"/>
        <item x="42"/>
        <item x="58"/>
        <item x="88"/>
        <item x="13"/>
        <item x="5"/>
        <item x="86"/>
        <item x="80"/>
        <item x="92"/>
        <item x="7"/>
        <item x="27"/>
        <item x="45"/>
        <item x="99"/>
        <item x="34"/>
        <item x="49"/>
        <item x="76"/>
        <item x="55"/>
        <item x="78"/>
        <item x="17"/>
        <item x="75"/>
        <item x="21"/>
        <item x="16"/>
        <item x="4"/>
        <item x="38"/>
        <item x="71"/>
        <item x="70"/>
        <item x="69"/>
        <item x="96"/>
        <item x="94"/>
        <item x="84"/>
        <item x="60"/>
        <item x="85"/>
        <item x="48"/>
        <item x="12"/>
        <item x="53"/>
        <item x="37"/>
        <item x="10"/>
        <item x="51"/>
        <item x="46"/>
        <item x="0"/>
        <item x="62"/>
        <item x="22"/>
        <item x="29"/>
        <item x="35"/>
        <item x="36"/>
        <item x="14"/>
        <item x="54"/>
        <item x="81"/>
        <item x="9"/>
        <item x="89"/>
        <item x="95"/>
        <item x="24"/>
        <item x="4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ortType="descending" countASubtotal="1" showAll="0">
      <items count="3">
        <item x="1"/>
        <item x="0"/>
        <item t="countA"/>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dataField="1" compact="0" showAll="0">
      <items count="2">
        <item x="0"/>
        <item t="default"/>
      </items>
    </pivotField>
    <pivotField dataField="1" compact="0" showAll="0">
      <items count="101">
        <item x="97"/>
        <item x="76"/>
        <item x="82"/>
        <item x="85"/>
        <item x="93"/>
        <item x="99"/>
        <item x="95"/>
        <item x="79"/>
        <item x="57"/>
        <item x="87"/>
        <item x="71"/>
        <item x="50"/>
        <item x="98"/>
        <item x="68"/>
        <item x="73"/>
        <item x="89"/>
        <item x="62"/>
        <item x="67"/>
        <item x="77"/>
        <item x="91"/>
        <item x="84"/>
        <item x="83"/>
        <item x="94"/>
        <item x="78"/>
        <item x="90"/>
        <item x="72"/>
        <item x="96"/>
        <item x="32"/>
        <item x="70"/>
        <item x="55"/>
        <item x="47"/>
        <item x="66"/>
        <item x="64"/>
        <item x="63"/>
        <item x="80"/>
        <item x="58"/>
        <item x="38"/>
        <item x="92"/>
        <item x="59"/>
        <item x="51"/>
        <item x="56"/>
        <item x="61"/>
        <item x="36"/>
        <item x="42"/>
        <item x="60"/>
        <item x="86"/>
        <item x="74"/>
        <item x="35"/>
        <item x="52"/>
        <item x="75"/>
        <item x="27"/>
        <item x="53"/>
        <item x="48"/>
        <item x="54"/>
        <item x="65"/>
        <item x="69"/>
        <item x="34"/>
        <item x="14"/>
        <item x="33"/>
        <item x="49"/>
        <item x="26"/>
        <item x="44"/>
        <item x="19"/>
        <item x="41"/>
        <item x="45"/>
        <item x="46"/>
        <item x="37"/>
        <item x="40"/>
        <item x="43"/>
        <item x="39"/>
        <item x="30"/>
        <item x="22"/>
        <item x="23"/>
        <item x="31"/>
        <item x="29"/>
        <item x="24"/>
        <item x="16"/>
        <item x="18"/>
        <item x="81"/>
        <item x="20"/>
        <item x="21"/>
        <item x="88"/>
        <item x="28"/>
        <item x="17"/>
        <item x="12"/>
        <item x="7"/>
        <item x="15"/>
        <item x="10"/>
        <item x="9"/>
        <item x="13"/>
        <item x="8"/>
        <item x="3"/>
        <item x="11"/>
        <item x="6"/>
        <item x="2"/>
        <item x="25"/>
        <item x="4"/>
        <item x="5"/>
        <item x="1"/>
        <item x="0"/>
        <item t="default"/>
      </items>
    </pivotField>
    <pivotField dataField="1" compact="0" showAll="0">
      <items count="101">
        <item x="97"/>
        <item x="93"/>
        <item x="85"/>
        <item x="68"/>
        <item x="82"/>
        <item x="88"/>
        <item x="50"/>
        <item x="79"/>
        <item x="73"/>
        <item x="96"/>
        <item x="32"/>
        <item x="57"/>
        <item x="67"/>
        <item x="83"/>
        <item x="94"/>
        <item x="54"/>
        <item x="38"/>
        <item x="71"/>
        <item x="62"/>
        <item x="76"/>
        <item x="52"/>
        <item x="91"/>
        <item x="90"/>
        <item x="55"/>
        <item x="95"/>
        <item x="87"/>
        <item x="77"/>
        <item x="89"/>
        <item x="19"/>
        <item x="99"/>
        <item x="48"/>
        <item x="72"/>
        <item x="84"/>
        <item x="78"/>
        <item x="61"/>
        <item x="60"/>
        <item x="58"/>
        <item x="75"/>
        <item x="39"/>
        <item x="56"/>
        <item x="53"/>
        <item x="59"/>
        <item x="42"/>
        <item x="92"/>
        <item x="34"/>
        <item x="64"/>
        <item x="66"/>
        <item x="98"/>
        <item x="51"/>
        <item x="74"/>
        <item x="24"/>
        <item x="65"/>
        <item x="80"/>
        <item x="70"/>
        <item x="41"/>
        <item x="63"/>
        <item x="30"/>
        <item x="26"/>
        <item x="14"/>
        <item x="31"/>
        <item x="47"/>
        <item x="36"/>
        <item x="33"/>
        <item x="29"/>
        <item x="45"/>
        <item x="49"/>
        <item x="44"/>
        <item x="27"/>
        <item x="69"/>
        <item x="35"/>
        <item x="81"/>
        <item x="46"/>
        <item x="7"/>
        <item x="40"/>
        <item x="28"/>
        <item x="18"/>
        <item x="37"/>
        <item x="86"/>
        <item x="12"/>
        <item x="23"/>
        <item x="43"/>
        <item x="20"/>
        <item x="10"/>
        <item x="22"/>
        <item x="8"/>
        <item x="17"/>
        <item x="21"/>
        <item x="15"/>
        <item x="16"/>
        <item x="25"/>
        <item x="3"/>
        <item x="13"/>
        <item x="9"/>
        <item x="2"/>
        <item x="1"/>
        <item x="5"/>
        <item x="11"/>
        <item x="6"/>
        <item x="4"/>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6"/>
  </rowFields>
  <rowItems count="3">
    <i>
      <x v="1"/>
    </i>
    <i>
      <x/>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数据透视表2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387:E390"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ortType="descending" showAll="0">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ortType="de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ortType="descending" showAll="0">
      <items count="3">
        <item x="0"/>
        <item x="1"/>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 axis="axisRow" compact="0" sortType="descending" showAll="0">
      <items count="3">
        <item x="0"/>
        <item x="1"/>
        <item t="default"/>
      </items>
      <autoSortScope>
        <pivotArea fieldPosition="0">
          <references count="1">
            <reference field="4294967294" count="1" selected="0">
              <x v="0"/>
            </reference>
          </references>
        </pivotArea>
      </autoSortScope>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7"/>
  </rowFields>
  <rowItems count="3">
    <i>
      <x/>
    </i>
    <i>
      <x v="1"/>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3">
    <format dxfId="205">
      <pivotArea type="all" dataOnly="0" outline="0" fieldPosition="0"/>
    </format>
    <format dxfId="206">
      <pivotArea type="all" dataOnly="0" outline="0" fieldPosition="0"/>
    </format>
    <format dxfId="207">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数据透视表26"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398:E409" firstHeaderRow="0" firstDataRow="1" firstDataCol="1"/>
  <pivotFields count="56">
    <pivotField compact="0" showAll="0">
      <items count="101">
        <item x="65"/>
        <item x="67"/>
        <item x="63"/>
        <item x="93"/>
        <item x="44"/>
        <item x="40"/>
        <item x="61"/>
        <item x="52"/>
        <item x="43"/>
        <item x="57"/>
        <item x="90"/>
        <item x="20"/>
        <item x="3"/>
        <item x="73"/>
        <item x="28"/>
        <item x="31"/>
        <item x="66"/>
        <item x="98"/>
        <item x="33"/>
        <item x="74"/>
        <item x="91"/>
        <item x="68"/>
        <item x="18"/>
        <item x="32"/>
        <item x="97"/>
        <item x="82"/>
        <item x="72"/>
        <item x="2"/>
        <item x="11"/>
        <item x="15"/>
        <item x="47"/>
        <item x="50"/>
        <item x="30"/>
        <item x="8"/>
        <item x="83"/>
        <item x="23"/>
        <item x="39"/>
        <item x="26"/>
        <item x="25"/>
        <item x="6"/>
        <item x="56"/>
        <item x="64"/>
        <item x="19"/>
        <item x="1"/>
        <item x="79"/>
        <item x="87"/>
        <item x="77"/>
        <item x="59"/>
        <item x="42"/>
        <item x="58"/>
        <item x="88"/>
        <item x="13"/>
        <item x="5"/>
        <item x="86"/>
        <item x="80"/>
        <item x="92"/>
        <item x="7"/>
        <item x="27"/>
        <item x="45"/>
        <item x="99"/>
        <item x="34"/>
        <item x="49"/>
        <item x="76"/>
        <item x="55"/>
        <item x="78"/>
        <item x="17"/>
        <item x="75"/>
        <item x="21"/>
        <item x="16"/>
        <item x="4"/>
        <item x="38"/>
        <item x="71"/>
        <item x="70"/>
        <item x="69"/>
        <item x="96"/>
        <item x="94"/>
        <item x="84"/>
        <item x="60"/>
        <item x="85"/>
        <item x="48"/>
        <item x="12"/>
        <item x="53"/>
        <item x="37"/>
        <item x="10"/>
        <item x="51"/>
        <item x="46"/>
        <item x="0"/>
        <item x="62"/>
        <item x="22"/>
        <item x="29"/>
        <item x="35"/>
        <item x="36"/>
        <item x="14"/>
        <item x="54"/>
        <item x="81"/>
        <item x="9"/>
        <item x="89"/>
        <item x="95"/>
        <item x="24"/>
        <item x="4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ortType="descending" showAll="0">
      <items count="11">
        <item x="9"/>
        <item x="5"/>
        <item x="7"/>
        <item x="4"/>
        <item x="6"/>
        <item x="8"/>
        <item x="1"/>
        <item x="2"/>
        <item x="0"/>
        <item x="3"/>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dataField="1" compact="0" showAll="0">
      <items count="2">
        <item x="0"/>
        <item t="default"/>
      </items>
    </pivotField>
    <pivotField dataField="1" compact="0" showAll="0">
      <items count="101">
        <item x="97"/>
        <item x="76"/>
        <item x="82"/>
        <item x="85"/>
        <item x="93"/>
        <item x="99"/>
        <item x="95"/>
        <item x="79"/>
        <item x="57"/>
        <item x="87"/>
        <item x="71"/>
        <item x="50"/>
        <item x="98"/>
        <item x="68"/>
        <item x="73"/>
        <item x="89"/>
        <item x="62"/>
        <item x="67"/>
        <item x="77"/>
        <item x="91"/>
        <item x="84"/>
        <item x="83"/>
        <item x="94"/>
        <item x="78"/>
        <item x="90"/>
        <item x="72"/>
        <item x="96"/>
        <item x="32"/>
        <item x="70"/>
        <item x="55"/>
        <item x="47"/>
        <item x="66"/>
        <item x="64"/>
        <item x="63"/>
        <item x="80"/>
        <item x="58"/>
        <item x="38"/>
        <item x="92"/>
        <item x="59"/>
        <item x="51"/>
        <item x="56"/>
        <item x="61"/>
        <item x="36"/>
        <item x="42"/>
        <item x="60"/>
        <item x="86"/>
        <item x="74"/>
        <item x="35"/>
        <item x="52"/>
        <item x="75"/>
        <item x="27"/>
        <item x="53"/>
        <item x="48"/>
        <item x="54"/>
        <item x="65"/>
        <item x="69"/>
        <item x="34"/>
        <item x="14"/>
        <item x="33"/>
        <item x="49"/>
        <item x="26"/>
        <item x="44"/>
        <item x="19"/>
        <item x="41"/>
        <item x="45"/>
        <item x="46"/>
        <item x="37"/>
        <item x="40"/>
        <item x="43"/>
        <item x="39"/>
        <item x="30"/>
        <item x="22"/>
        <item x="23"/>
        <item x="31"/>
        <item x="29"/>
        <item x="24"/>
        <item x="16"/>
        <item x="18"/>
        <item x="81"/>
        <item x="20"/>
        <item x="21"/>
        <item x="88"/>
        <item x="28"/>
        <item x="17"/>
        <item x="12"/>
        <item x="7"/>
        <item x="15"/>
        <item x="10"/>
        <item x="9"/>
        <item x="13"/>
        <item x="8"/>
        <item x="3"/>
        <item x="11"/>
        <item x="6"/>
        <item x="2"/>
        <item x="25"/>
        <item x="4"/>
        <item x="5"/>
        <item x="1"/>
        <item x="0"/>
        <item t="default"/>
      </items>
    </pivotField>
    <pivotField dataField="1" compact="0" showAll="0">
      <items count="101">
        <item x="97"/>
        <item x="93"/>
        <item x="85"/>
        <item x="68"/>
        <item x="82"/>
        <item x="88"/>
        <item x="50"/>
        <item x="79"/>
        <item x="73"/>
        <item x="96"/>
        <item x="32"/>
        <item x="57"/>
        <item x="67"/>
        <item x="83"/>
        <item x="94"/>
        <item x="54"/>
        <item x="38"/>
        <item x="71"/>
        <item x="62"/>
        <item x="76"/>
        <item x="52"/>
        <item x="91"/>
        <item x="90"/>
        <item x="55"/>
        <item x="95"/>
        <item x="87"/>
        <item x="77"/>
        <item x="89"/>
        <item x="19"/>
        <item x="99"/>
        <item x="48"/>
        <item x="72"/>
        <item x="84"/>
        <item x="78"/>
        <item x="61"/>
        <item x="60"/>
        <item x="58"/>
        <item x="75"/>
        <item x="39"/>
        <item x="56"/>
        <item x="53"/>
        <item x="59"/>
        <item x="42"/>
        <item x="92"/>
        <item x="34"/>
        <item x="64"/>
        <item x="66"/>
        <item x="98"/>
        <item x="51"/>
        <item x="74"/>
        <item x="24"/>
        <item x="65"/>
        <item x="80"/>
        <item x="70"/>
        <item x="41"/>
        <item x="63"/>
        <item x="30"/>
        <item x="26"/>
        <item x="14"/>
        <item x="31"/>
        <item x="47"/>
        <item x="36"/>
        <item x="33"/>
        <item x="29"/>
        <item x="45"/>
        <item x="49"/>
        <item x="44"/>
        <item x="27"/>
        <item x="69"/>
        <item x="35"/>
        <item x="81"/>
        <item x="46"/>
        <item x="7"/>
        <item x="40"/>
        <item x="28"/>
        <item x="18"/>
        <item x="37"/>
        <item x="86"/>
        <item x="12"/>
        <item x="23"/>
        <item x="43"/>
        <item x="20"/>
        <item x="10"/>
        <item x="22"/>
        <item x="8"/>
        <item x="17"/>
        <item x="21"/>
        <item x="15"/>
        <item x="16"/>
        <item x="25"/>
        <item x="3"/>
        <item x="13"/>
        <item x="9"/>
        <item x="2"/>
        <item x="1"/>
        <item x="5"/>
        <item x="11"/>
        <item x="6"/>
        <item x="4"/>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8"/>
  </rowFields>
  <rowItems count="11">
    <i>
      <x v="8"/>
    </i>
    <i>
      <x v="6"/>
    </i>
    <i>
      <x v="9"/>
    </i>
    <i>
      <x v="7"/>
    </i>
    <i>
      <x v="1"/>
    </i>
    <i>
      <x v="4"/>
    </i>
    <i>
      <x v="2"/>
    </i>
    <i>
      <x v="3"/>
    </i>
    <i>
      <x/>
    </i>
    <i>
      <x v="5"/>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1">
    <format dxfId="208">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数据透视表1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296:E312" firstHeaderRow="0" firstDataRow="1" firstDataCol="1"/>
  <pivotFields count="56">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5">
        <item x="0"/>
        <item x="1"/>
        <item x="2"/>
        <item x="3"/>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 compact="0" showAll="0">
      <items count="2">
        <item x="0"/>
        <item t="default"/>
      </items>
    </pivotField>
    <pivotField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showAll="0">
      <items count="12">
        <item x="0"/>
        <item x="1"/>
        <item x="2"/>
        <item x="3"/>
        <item x="4"/>
        <item x="5"/>
        <item x="6"/>
        <item x="7"/>
        <item x="8"/>
        <item x="9"/>
        <item x="10"/>
        <item t="default"/>
      </items>
    </pivotField>
    <pivotField compact="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compact="0" showAll="0">
      <items count="10">
        <item x="0"/>
        <item x="1"/>
        <item x="2"/>
        <item x="3"/>
        <item x="4"/>
        <item x="5"/>
        <item x="6"/>
        <item x="7"/>
        <item x="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45">
        <item x="24"/>
        <item x="2"/>
        <item x="39"/>
        <item x="26"/>
        <item x="34"/>
        <item x="28"/>
        <item x="32"/>
        <item x="29"/>
        <item x="16"/>
        <item x="7"/>
        <item x="27"/>
        <item x="12"/>
        <item x="11"/>
        <item x="4"/>
        <item x="40"/>
        <item x="23"/>
        <item x="41"/>
        <item x="33"/>
        <item x="9"/>
        <item x="10"/>
        <item x="42"/>
        <item x="15"/>
        <item x="21"/>
        <item x="19"/>
        <item x="35"/>
        <item x="43"/>
        <item x="0"/>
        <item x="14"/>
        <item x="13"/>
        <item x="38"/>
        <item x="22"/>
        <item x="37"/>
        <item x="31"/>
        <item x="36"/>
        <item x="8"/>
        <item x="1"/>
        <item x="3"/>
        <item x="25"/>
        <item x="18"/>
        <item x="20"/>
        <item x="17"/>
        <item x="6"/>
        <item x="5"/>
        <item x="30"/>
        <item t="default"/>
      </items>
      <autoSortScope>
        <pivotArea fieldPosition="0">
          <references count="1">
            <reference field="4294967294" count="1" selected="0">
              <x v="0"/>
            </reference>
          </references>
        </pivotArea>
      </autoSortScope>
    </pivotField>
    <pivotField compact="0" numFmtId="201"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ortType="descending" showAll="0">
      <items count="6">
        <item x="0"/>
        <item x="1"/>
        <item x="2"/>
        <item x="3"/>
        <item x="4"/>
        <item t="default"/>
      </items>
      <autoSortScope>
        <pivotArea fieldPosition="0">
          <references count="1">
            <reference field="4294967294" count="1" selected="0">
              <x v="0"/>
            </reference>
          </references>
        </pivotArea>
      </autoSortScope>
    </pivotField>
    <pivotField compact="0" sortType="descending" showAll="0">
      <items count="7">
        <item x="0"/>
        <item x="1"/>
        <item x="2"/>
        <item x="3"/>
        <item x="4"/>
        <item x="5"/>
        <item t="default"/>
      </items>
      <autoSortScope>
        <pivotArea fieldPosition="0">
          <references count="1">
            <reference field="4294967294" count="1" selected="0">
              <x v="0"/>
            </reference>
          </references>
        </pivotArea>
      </autoSortScope>
    </pivotField>
    <pivotField axis="axisRow" compact="0" sortType="descending" showAll="0">
      <items count="16">
        <item x="0"/>
        <item x="1"/>
        <item x="2"/>
        <item x="3"/>
        <item x="4"/>
        <item x="5"/>
        <item x="6"/>
        <item x="7"/>
        <item x="8"/>
        <item x="9"/>
        <item x="10"/>
        <item x="11"/>
        <item x="12"/>
        <item x="13"/>
        <item x="14"/>
        <item t="default"/>
      </items>
      <autoSortScope>
        <pivotArea fieldPosition="0">
          <references count="1">
            <reference field="4294967294" count="1" selected="0">
              <x v="0"/>
            </reference>
          </references>
        </pivotArea>
      </autoSortScope>
    </pivotField>
    <pivotField compact="0" showAll="0">
      <items count="18">
        <item x="0"/>
        <item x="1"/>
        <item x="2"/>
        <item x="3"/>
        <item x="4"/>
        <item x="5"/>
        <item x="6"/>
        <item x="7"/>
        <item x="8"/>
        <item x="9"/>
        <item x="10"/>
        <item x="11"/>
        <item x="12"/>
        <item x="13"/>
        <item x="14"/>
        <item x="15"/>
        <item x="16"/>
        <item t="default"/>
      </items>
    </pivotField>
    <pivotField compact="0" showAll="0">
      <items count="8">
        <item x="0"/>
        <item x="1"/>
        <item x="2"/>
        <item x="3"/>
        <item x="4"/>
        <item x="5"/>
        <item x="6"/>
        <item t="default"/>
      </items>
    </pivotField>
    <pivotField compact="0" showAll="0">
      <items count="3">
        <item x="0"/>
        <item x="1"/>
        <item t="default"/>
      </items>
    </pivotField>
    <pivotField compact="0" showAll="0">
      <items count="4">
        <item x="0"/>
        <item x="1"/>
        <item x="2"/>
        <item t="default"/>
      </items>
    </pivotField>
    <pivotField compact="0" showAll="0">
      <items count="3">
        <item x="0"/>
        <item x="1"/>
        <item t="default"/>
      </items>
    </pivotField>
    <pivotField compact="0" showAll="0">
      <items count="12">
        <item x="0"/>
        <item x="1"/>
        <item x="2"/>
        <item x="3"/>
        <item x="4"/>
        <item x="5"/>
        <item x="6"/>
        <item x="7"/>
        <item x="8"/>
        <item x="9"/>
        <item x="10"/>
        <item t="default"/>
      </items>
    </pivotField>
    <pivotField compact="0" showAll="0">
      <items count="10">
        <item x="0"/>
        <item x="1"/>
        <item x="2"/>
        <item x="3"/>
        <item x="4"/>
        <item x="5"/>
        <item x="6"/>
        <item x="7"/>
        <item x="8"/>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8">
        <item x="0"/>
        <item x="1"/>
        <item x="2"/>
        <item x="3"/>
        <item x="4"/>
        <item x="5"/>
        <item x="6"/>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dataField="1" compact="0" showAll="0">
      <items count="2">
        <item x="0"/>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compact="0" numFmtId="3"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numFmtId="176"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numFmtId="177" showAll="0">
      <items count="14">
        <item x="0"/>
        <item x="1"/>
        <item x="2"/>
        <item x="3"/>
        <item x="4"/>
        <item x="5"/>
        <item x="6"/>
        <item x="7"/>
        <item x="8"/>
        <item x="9"/>
        <item x="10"/>
        <item x="11"/>
        <item x="12"/>
        <item t="default"/>
      </items>
    </pivotField>
    <pivotField compact="0" numFmtId="3"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compact="0" numFmtId="178"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numFmtId="3"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compact="0" showAll="0">
      <items count="10">
        <item x="0"/>
        <item x="1"/>
        <item x="2"/>
        <item x="3"/>
        <item x="4"/>
        <item x="5"/>
        <item x="6"/>
        <item x="7"/>
        <item x="8"/>
        <item t="default"/>
      </items>
    </pivotField>
    <pivotField compact="0" showAll="0">
      <items count="7">
        <item x="0"/>
        <item x="1"/>
        <item x="2"/>
        <item x="3"/>
        <item x="4"/>
        <item x="5"/>
        <item t="default"/>
      </items>
    </pivotField>
    <pivotField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compact="0" numFmtId="3" showAll="0">
      <items count="5">
        <item x="0"/>
        <item x="1"/>
        <item x="2"/>
        <item x="3"/>
        <item t="default"/>
      </items>
    </pivotField>
    <pivotField compact="0" numFmtId="3" showAll="0">
      <items count="20">
        <item x="0"/>
        <item x="1"/>
        <item x="2"/>
        <item x="3"/>
        <item x="4"/>
        <item x="5"/>
        <item x="6"/>
        <item x="7"/>
        <item x="8"/>
        <item x="9"/>
        <item x="10"/>
        <item x="11"/>
        <item x="12"/>
        <item x="13"/>
        <item x="14"/>
        <item x="15"/>
        <item x="16"/>
        <item x="17"/>
        <item x="18"/>
        <item t="default"/>
      </items>
    </pivotField>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5">
        <item x="0"/>
        <item x="1"/>
        <item x="2"/>
        <item x="3"/>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4">
        <item x="0"/>
        <item x="1"/>
        <item x="2"/>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22"/>
  </rowFields>
  <rowItems count="16">
    <i>
      <x v="3"/>
    </i>
    <i>
      <x/>
    </i>
    <i>
      <x v="4"/>
    </i>
    <i>
      <x v="2"/>
    </i>
    <i>
      <x v="5"/>
    </i>
    <i>
      <x v="1"/>
    </i>
    <i>
      <x v="6"/>
    </i>
    <i>
      <x v="8"/>
    </i>
    <i>
      <x v="12"/>
    </i>
    <i>
      <x v="11"/>
    </i>
    <i>
      <x v="10"/>
    </i>
    <i>
      <x v="9"/>
    </i>
    <i>
      <x v="7"/>
    </i>
    <i>
      <x v="13"/>
    </i>
    <i>
      <x v="14"/>
    </i>
    <i t="grand">
      <x/>
    </i>
  </rowItems>
  <colFields count="1">
    <field x="-2"/>
  </colFields>
  <colItems count="3">
    <i>
      <x/>
    </i>
    <i i="1">
      <x v="1"/>
    </i>
    <i i="2">
      <x v="2"/>
    </i>
  </colItems>
  <dataFields count="3">
    <dataField name="求和项:近30天销量" fld="35" baseField="0" baseItem="0"/>
    <dataField name="求和项:近30天销售额($)" fld="36" baseField="0" baseItem="0"/>
    <dataField name="求和项:计数" fld="34" baseField="0" baseItem="0"/>
  </dataFields>
  <formats count="9">
    <format dxfId="209">
      <pivotArea type="all" dataOnly="0" outline="0" fieldPosition="0"/>
    </format>
    <format dxfId="210">
      <pivotArea type="all" dataOnly="0" outline="0" fieldPosition="0"/>
    </format>
    <format dxfId="211">
      <pivotArea type="all" dataOnly="0" outline="0" fieldPosition="0"/>
    </format>
    <format dxfId="212">
      <pivotArea collapsedLevelsAreSubtotals="1" fieldPosition="0">
        <references count="2">
          <reference field="22" count="1" selected="0">
            <x v="5"/>
          </reference>
          <reference field="4294967294" count="1" selected="0">
            <x v="2"/>
          </reference>
        </references>
      </pivotArea>
    </format>
    <format dxfId="213">
      <pivotArea collapsedLevelsAreSubtotals="1" fieldPosition="0">
        <references count="2">
          <reference field="22" count="1" selected="0">
            <x v="5"/>
          </reference>
          <reference field="4294967294" count="1" selected="0">
            <x v="2"/>
          </reference>
        </references>
      </pivotArea>
    </format>
    <format dxfId="214">
      <pivotArea dataOnly="0" labelOnly="1" fieldPosition="0">
        <references count="1">
          <reference field="22" count="1">
            <x v="5"/>
          </reference>
        </references>
      </pivotArea>
    </format>
    <format dxfId="215">
      <pivotArea collapsedLevelsAreSubtotals="1" fieldPosition="0">
        <references count="1">
          <reference field="22" count="1" selected="0">
            <x v="5"/>
          </reference>
        </references>
      </pivotArea>
    </format>
    <format dxfId="216">
      <pivotArea dataOnly="0" labelOnly="1" fieldPosition="0">
        <references count="1">
          <reference field="22" count="1">
            <x v="8"/>
          </reference>
        </references>
      </pivotArea>
    </format>
    <format dxfId="217">
      <pivotArea collapsedLevelsAreSubtotals="1" fieldPosition="0">
        <references count="1">
          <reference field="22" count="1" selected="0">
            <x v="8"/>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99" Type="http://schemas.openxmlformats.org/officeDocument/2006/relationships/hyperlink" Target="https://www.amazon.com/dp/B09K6MK5VN?psc=1" TargetMode="External"/><Relationship Id="rId98" Type="http://schemas.openxmlformats.org/officeDocument/2006/relationships/hyperlink" Target="https://www.amazon.com/dp/B07Z9HNYQ9?psc=1" TargetMode="External"/><Relationship Id="rId97" Type="http://schemas.openxmlformats.org/officeDocument/2006/relationships/hyperlink" Target="https://www.amazon.com/dp/B0B3S8Y8SM?psc=1" TargetMode="External"/><Relationship Id="rId96" Type="http://schemas.openxmlformats.org/officeDocument/2006/relationships/hyperlink" Target="https://www.amazon.com/dp/B06W55WL7Q?psc=1" TargetMode="External"/><Relationship Id="rId95" Type="http://schemas.openxmlformats.org/officeDocument/2006/relationships/hyperlink" Target="https://www.amazon.com/dp/B07MR3KWSL?psc=1" TargetMode="External"/><Relationship Id="rId94" Type="http://schemas.openxmlformats.org/officeDocument/2006/relationships/hyperlink" Target="https://www.amazon.com/dp/B07RX9JQGN?psc=1" TargetMode="External"/><Relationship Id="rId93" Type="http://schemas.openxmlformats.org/officeDocument/2006/relationships/hyperlink" Target="https://www.amazon.com/dp/B0872DQV7Z?psc=1" TargetMode="External"/><Relationship Id="rId92" Type="http://schemas.openxmlformats.org/officeDocument/2006/relationships/hyperlink" Target="https://www.amazon.com/dp/B09B7SB46R?psc=1" TargetMode="External"/><Relationship Id="rId91" Type="http://schemas.openxmlformats.org/officeDocument/2006/relationships/hyperlink" Target="https://www.amazon.com/dp/B08YNDYG71?psc=1" TargetMode="External"/><Relationship Id="rId90" Type="http://schemas.openxmlformats.org/officeDocument/2006/relationships/hyperlink" Target="https://www.amazon.com/dp/B0B7C5ZY9S?psc=1" TargetMode="External"/><Relationship Id="rId9" Type="http://schemas.openxmlformats.org/officeDocument/2006/relationships/hyperlink" Target="https://www.amazon.com/dp/B0BPY841P6?psc=1" TargetMode="External"/><Relationship Id="rId89" Type="http://schemas.openxmlformats.org/officeDocument/2006/relationships/hyperlink" Target="https://www.amazon.com/dp/B08CW95ZFR?psc=1" TargetMode="External"/><Relationship Id="rId88" Type="http://schemas.openxmlformats.org/officeDocument/2006/relationships/hyperlink" Target="https://www.amazon.com/dp/B08QKTXT1N?psc=1" TargetMode="External"/><Relationship Id="rId87" Type="http://schemas.openxmlformats.org/officeDocument/2006/relationships/hyperlink" Target="https://www.amazon.com/dp/B087T8LKNC?psc=1" TargetMode="External"/><Relationship Id="rId86" Type="http://schemas.openxmlformats.org/officeDocument/2006/relationships/hyperlink" Target="https://www.amazon.com/dp/B086GWG6BG?psc=1" TargetMode="External"/><Relationship Id="rId85" Type="http://schemas.openxmlformats.org/officeDocument/2006/relationships/hyperlink" Target="https://www.amazon.com/dp/B07SCGY2H6?psc=1" TargetMode="External"/><Relationship Id="rId84" Type="http://schemas.openxmlformats.org/officeDocument/2006/relationships/hyperlink" Target="https://www.amazon.com/dp/B07J2PWRFJ?psc=1" TargetMode="External"/><Relationship Id="rId83" Type="http://schemas.openxmlformats.org/officeDocument/2006/relationships/hyperlink" Target="https://www.amazon.com/dp/B08DL8WH9V?psc=1" TargetMode="External"/><Relationship Id="rId82" Type="http://schemas.openxmlformats.org/officeDocument/2006/relationships/hyperlink" Target="https://www.amazon.com/dp/B076FPT78K?psc=1" TargetMode="External"/><Relationship Id="rId81" Type="http://schemas.openxmlformats.org/officeDocument/2006/relationships/hyperlink" Target="https://www.amazon.com/dp/B07X1VXQMS?psc=1" TargetMode="External"/><Relationship Id="rId80" Type="http://schemas.openxmlformats.org/officeDocument/2006/relationships/hyperlink" Target="https://www.amazon.com/dp/B081SYTG63?psc=1" TargetMode="External"/><Relationship Id="rId8" Type="http://schemas.openxmlformats.org/officeDocument/2006/relationships/hyperlink" Target="https://www.amazon.com/dp/B0BD4BYR11?psc=1" TargetMode="External"/><Relationship Id="rId79" Type="http://schemas.openxmlformats.org/officeDocument/2006/relationships/hyperlink" Target="https://www.amazon.com/dp/B096X9LGJ1?psc=1" TargetMode="External"/><Relationship Id="rId78" Type="http://schemas.openxmlformats.org/officeDocument/2006/relationships/hyperlink" Target="https://www.amazon.com/dp/B07QDSHKV1?psc=1" TargetMode="External"/><Relationship Id="rId77" Type="http://schemas.openxmlformats.org/officeDocument/2006/relationships/hyperlink" Target="https://www.amazon.com/dp/B07QDSNFS2?psc=1" TargetMode="External"/><Relationship Id="rId76" Type="http://schemas.openxmlformats.org/officeDocument/2006/relationships/hyperlink" Target="https://www.amazon.com/dp/B08YDQSG55?psc=1" TargetMode="External"/><Relationship Id="rId75" Type="http://schemas.openxmlformats.org/officeDocument/2006/relationships/hyperlink" Target="https://www.amazon.com/dp/B08PNHBCTL?psc=1" TargetMode="External"/><Relationship Id="rId74" Type="http://schemas.openxmlformats.org/officeDocument/2006/relationships/hyperlink" Target="https://www.amazon.com/dp/B08SHFYQMV?psc=1" TargetMode="External"/><Relationship Id="rId73" Type="http://schemas.openxmlformats.org/officeDocument/2006/relationships/hyperlink" Target="https://www.amazon.com/dp/B0B4BLJL1C?psc=1" TargetMode="External"/><Relationship Id="rId72" Type="http://schemas.openxmlformats.org/officeDocument/2006/relationships/hyperlink" Target="https://www.amazon.com/dp/B08JCG9YW4?psc=1" TargetMode="External"/><Relationship Id="rId71" Type="http://schemas.openxmlformats.org/officeDocument/2006/relationships/hyperlink" Target="https://www.amazon.com/dp/B07PPD1H64?psc=1" TargetMode="External"/><Relationship Id="rId70" Type="http://schemas.openxmlformats.org/officeDocument/2006/relationships/hyperlink" Target="https://www.amazon.com/dp/B09ZTTF9DD?psc=1" TargetMode="External"/><Relationship Id="rId7" Type="http://schemas.openxmlformats.org/officeDocument/2006/relationships/hyperlink" Target="https://www.amazon.com/dp/B07NBQX8HS?psc=1" TargetMode="External"/><Relationship Id="rId69" Type="http://schemas.openxmlformats.org/officeDocument/2006/relationships/hyperlink" Target="https://www.amazon.com/dp/B095Y6S7Z9?psc=1" TargetMode="External"/><Relationship Id="rId68" Type="http://schemas.openxmlformats.org/officeDocument/2006/relationships/hyperlink" Target="https://www.amazon.com/dp/B07NLHMYH4?psc=1" TargetMode="External"/><Relationship Id="rId67" Type="http://schemas.openxmlformats.org/officeDocument/2006/relationships/hyperlink" Target="https://www.amazon.com/dp/B0769Y1JVN?psc=1" TargetMode="External"/><Relationship Id="rId66" Type="http://schemas.openxmlformats.org/officeDocument/2006/relationships/hyperlink" Target="https://www.amazon.com/dp/B086K1T4JJ?psc=1" TargetMode="External"/><Relationship Id="rId65" Type="http://schemas.openxmlformats.org/officeDocument/2006/relationships/hyperlink" Target="https://www.amazon.com/dp/B08DPXDRVX?psc=1" TargetMode="External"/><Relationship Id="rId64" Type="http://schemas.openxmlformats.org/officeDocument/2006/relationships/hyperlink" Target="https://www.amazon.com/dp/B07Z3GF36Y?psc=1" TargetMode="External"/><Relationship Id="rId63" Type="http://schemas.openxmlformats.org/officeDocument/2006/relationships/hyperlink" Target="https://www.amazon.com/dp/B07Z1R5D26?psc=1" TargetMode="External"/><Relationship Id="rId62" Type="http://schemas.openxmlformats.org/officeDocument/2006/relationships/hyperlink" Target="https://www.amazon.com/dp/B07LBGDTCQ?psc=1" TargetMode="External"/><Relationship Id="rId61" Type="http://schemas.openxmlformats.org/officeDocument/2006/relationships/hyperlink" Target="https://www.amazon.com/dp/B01L7TOZJO?psc=1" TargetMode="External"/><Relationship Id="rId60" Type="http://schemas.openxmlformats.org/officeDocument/2006/relationships/hyperlink" Target="https://www.amazon.com/dp/B096N3FTZP?psc=1" TargetMode="External"/><Relationship Id="rId6" Type="http://schemas.openxmlformats.org/officeDocument/2006/relationships/hyperlink" Target="https://www.amazon.com/dp/B08R6KMBQT?psc=1" TargetMode="External"/><Relationship Id="rId59" Type="http://schemas.openxmlformats.org/officeDocument/2006/relationships/hyperlink" Target="https://www.amazon.com/dp/B0B1G5M31V?psc=1" TargetMode="External"/><Relationship Id="rId58" Type="http://schemas.openxmlformats.org/officeDocument/2006/relationships/hyperlink" Target="https://www.amazon.com/dp/B0993H43N3?psc=1" TargetMode="External"/><Relationship Id="rId57" Type="http://schemas.openxmlformats.org/officeDocument/2006/relationships/hyperlink" Target="https://www.amazon.com/dp/B01NAFY0W9?psc=1" TargetMode="External"/><Relationship Id="rId56" Type="http://schemas.openxmlformats.org/officeDocument/2006/relationships/hyperlink" Target="https://www.amazon.com/dp/B07256H8D2?psc=1" TargetMode="External"/><Relationship Id="rId55" Type="http://schemas.openxmlformats.org/officeDocument/2006/relationships/hyperlink" Target="https://www.amazon.com/dp/B08CY6ZPCW?psc=1" TargetMode="External"/><Relationship Id="rId54" Type="http://schemas.openxmlformats.org/officeDocument/2006/relationships/hyperlink" Target="https://www.amazon.com/dp/B07FYXBHJ9?psc=1" TargetMode="External"/><Relationship Id="rId53" Type="http://schemas.openxmlformats.org/officeDocument/2006/relationships/hyperlink" Target="https://www.amazon.com/dp/B07S76WBGF?psc=1" TargetMode="External"/><Relationship Id="rId52" Type="http://schemas.openxmlformats.org/officeDocument/2006/relationships/hyperlink" Target="https://www.amazon.com/dp/B0BRKSXZJH?psc=1" TargetMode="External"/><Relationship Id="rId51" Type="http://schemas.openxmlformats.org/officeDocument/2006/relationships/hyperlink" Target="https://www.amazon.com/dp/B09C8NVNK2?psc=1" TargetMode="External"/><Relationship Id="rId50" Type="http://schemas.openxmlformats.org/officeDocument/2006/relationships/hyperlink" Target="https://www.amazon.com/dp/B0815KJCM1?psc=1" TargetMode="External"/><Relationship Id="rId5" Type="http://schemas.openxmlformats.org/officeDocument/2006/relationships/hyperlink" Target="https://www.amazon.com/dp/B08YS614RJ?psc=1" TargetMode="External"/><Relationship Id="rId49" Type="http://schemas.openxmlformats.org/officeDocument/2006/relationships/hyperlink" Target="https://www.amazon.com/dp/B09P15M6XR?psc=1" TargetMode="External"/><Relationship Id="rId48" Type="http://schemas.openxmlformats.org/officeDocument/2006/relationships/hyperlink" Target="https://www.amazon.com/dp/B08K8T3W2V?psc=1" TargetMode="External"/><Relationship Id="rId47" Type="http://schemas.openxmlformats.org/officeDocument/2006/relationships/hyperlink" Target="https://www.amazon.com/dp/B01M036C6E?psc=1" TargetMode="External"/><Relationship Id="rId46" Type="http://schemas.openxmlformats.org/officeDocument/2006/relationships/hyperlink" Target="https://www.amazon.com/dp/B08FMVM61C?psc=1" TargetMode="External"/><Relationship Id="rId45" Type="http://schemas.openxmlformats.org/officeDocument/2006/relationships/hyperlink" Target="https://www.amazon.com/dp/B07FF117K7?psc=1" TargetMode="External"/><Relationship Id="rId44" Type="http://schemas.openxmlformats.org/officeDocument/2006/relationships/hyperlink" Target="https://www.amazon.com/dp/B09X5BK8TF?psc=1" TargetMode="External"/><Relationship Id="rId43" Type="http://schemas.openxmlformats.org/officeDocument/2006/relationships/hyperlink" Target="https://www.amazon.com/dp/B08YS2ZZ97?psc=1" TargetMode="External"/><Relationship Id="rId42" Type="http://schemas.openxmlformats.org/officeDocument/2006/relationships/hyperlink" Target="https://www.amazon.com/dp/B0BNH66GKX?psc=1" TargetMode="External"/><Relationship Id="rId41" Type="http://schemas.openxmlformats.org/officeDocument/2006/relationships/hyperlink" Target="https://www.amazon.com/dp/B0B7MSDCH4?psc=1" TargetMode="External"/><Relationship Id="rId40" Type="http://schemas.openxmlformats.org/officeDocument/2006/relationships/hyperlink" Target="https://www.amazon.com/dp/B0BFCV16X3?psc=1" TargetMode="External"/><Relationship Id="rId4" Type="http://schemas.openxmlformats.org/officeDocument/2006/relationships/hyperlink" Target="https://www.amazon.com/dp/B0936FGLQS?psc=1" TargetMode="External"/><Relationship Id="rId39" Type="http://schemas.openxmlformats.org/officeDocument/2006/relationships/hyperlink" Target="https://www.amazon.com/dp/B095HCR6NM?psc=1" TargetMode="External"/><Relationship Id="rId38" Type="http://schemas.openxmlformats.org/officeDocument/2006/relationships/hyperlink" Target="https://www.amazon.com/dp/B09BNH854T?psc=1" TargetMode="External"/><Relationship Id="rId37" Type="http://schemas.openxmlformats.org/officeDocument/2006/relationships/hyperlink" Target="https://www.amazon.com/dp/B09DYL88HF?psc=1" TargetMode="External"/><Relationship Id="rId36" Type="http://schemas.openxmlformats.org/officeDocument/2006/relationships/hyperlink" Target="https://www.amazon.com/dp/B08QQRH2Z9?psc=1" TargetMode="External"/><Relationship Id="rId35" Type="http://schemas.openxmlformats.org/officeDocument/2006/relationships/hyperlink" Target="https://www.amazon.com/dp/B08V5DPMM5?psc=1" TargetMode="External"/><Relationship Id="rId34" Type="http://schemas.openxmlformats.org/officeDocument/2006/relationships/hyperlink" Target="https://www.amazon.com/dp/B07S6529ZZ?psc=1" TargetMode="External"/><Relationship Id="rId33" Type="http://schemas.openxmlformats.org/officeDocument/2006/relationships/hyperlink" Target="https://www.amazon.com/dp/B0B7CBQM87?psc=1" TargetMode="External"/><Relationship Id="rId32" Type="http://schemas.openxmlformats.org/officeDocument/2006/relationships/hyperlink" Target="https://www.amazon.com/dp/B07N9786PZ?psc=1" TargetMode="External"/><Relationship Id="rId31" Type="http://schemas.openxmlformats.org/officeDocument/2006/relationships/hyperlink" Target="https://www.amazon.com/dp/B09DYPNPV4?psc=1" TargetMode="External"/><Relationship Id="rId30" Type="http://schemas.openxmlformats.org/officeDocument/2006/relationships/hyperlink" Target="https://www.amazon.com/dp/B0777RJG6D?psc=1" TargetMode="External"/><Relationship Id="rId3" Type="http://schemas.openxmlformats.org/officeDocument/2006/relationships/hyperlink" Target="https://www.amazon.com/dp/B085W3GN5J?psc=1" TargetMode="External"/><Relationship Id="rId29" Type="http://schemas.openxmlformats.org/officeDocument/2006/relationships/hyperlink" Target="https://www.amazon.com/dp/B0B5G788P2?psc=1" TargetMode="External"/><Relationship Id="rId28" Type="http://schemas.openxmlformats.org/officeDocument/2006/relationships/hyperlink" Target="https://www.amazon.com/dp/B09MS2RQGL?psc=1" TargetMode="External"/><Relationship Id="rId27" Type="http://schemas.openxmlformats.org/officeDocument/2006/relationships/hyperlink" Target="https://www.amazon.com/dp/B09BJHB2BD?psc=1" TargetMode="External"/><Relationship Id="rId26" Type="http://schemas.openxmlformats.org/officeDocument/2006/relationships/hyperlink" Target="https://www.amazon.com/dp/B09871GCN1?psc=1" TargetMode="External"/><Relationship Id="rId25" Type="http://schemas.openxmlformats.org/officeDocument/2006/relationships/hyperlink" Target="https://www.amazon.com/dp/B08WCLJ7JG?psc=1" TargetMode="External"/><Relationship Id="rId24" Type="http://schemas.openxmlformats.org/officeDocument/2006/relationships/hyperlink" Target="https://www.amazon.com/dp/B0B1J6SB7C?psc=1" TargetMode="External"/><Relationship Id="rId23" Type="http://schemas.openxmlformats.org/officeDocument/2006/relationships/hyperlink" Target="https://www.amazon.com/dp/B08GNZJ4R1?psc=1" TargetMode="External"/><Relationship Id="rId22" Type="http://schemas.openxmlformats.org/officeDocument/2006/relationships/hyperlink" Target="https://www.amazon.com/dp/B085GN68LC?psc=1" TargetMode="External"/><Relationship Id="rId21" Type="http://schemas.openxmlformats.org/officeDocument/2006/relationships/hyperlink" Target="https://www.amazon.com/dp/B07GJBBGHG?psc=1" TargetMode="External"/><Relationship Id="rId20" Type="http://schemas.openxmlformats.org/officeDocument/2006/relationships/hyperlink" Target="https://www.amazon.com/dp/B089TQWJKK?psc=1" TargetMode="External"/><Relationship Id="rId2" Type="http://schemas.openxmlformats.org/officeDocument/2006/relationships/hyperlink" Target="https://www.amazon.com/dp/B08YS3WCVY?psc=1" TargetMode="External"/><Relationship Id="rId19" Type="http://schemas.openxmlformats.org/officeDocument/2006/relationships/hyperlink" Target="https://www.amazon.com/dp/B07VM1FT8W?psc=1" TargetMode="External"/><Relationship Id="rId18" Type="http://schemas.openxmlformats.org/officeDocument/2006/relationships/hyperlink" Target="https://www.amazon.com/dp/?psc=1" TargetMode="External"/><Relationship Id="rId17" Type="http://schemas.openxmlformats.org/officeDocument/2006/relationships/hyperlink" Target="https://www.amazon.com/dp/B0815KPZVB?psc=1" TargetMode="External"/><Relationship Id="rId16" Type="http://schemas.openxmlformats.org/officeDocument/2006/relationships/hyperlink" Target="https://www.amazon.com/dp/B0B5B54DNF?psc=1" TargetMode="External"/><Relationship Id="rId15" Type="http://schemas.openxmlformats.org/officeDocument/2006/relationships/hyperlink" Target="https://www.amazon.com/dp/B075X3287P?psc=1" TargetMode="External"/><Relationship Id="rId14" Type="http://schemas.openxmlformats.org/officeDocument/2006/relationships/hyperlink" Target="https://www.amazon.com/dp/B085LT31HP?psc=1" TargetMode="External"/><Relationship Id="rId13" Type="http://schemas.openxmlformats.org/officeDocument/2006/relationships/hyperlink" Target="https://www.amazon.com/dp/B07LBZGD97?psc=1" TargetMode="External"/><Relationship Id="rId12" Type="http://schemas.openxmlformats.org/officeDocument/2006/relationships/hyperlink" Target="https://www.amazon.com/dp/B07VM28XTR?psc=1" TargetMode="External"/><Relationship Id="rId117" Type="http://schemas.openxmlformats.org/officeDocument/2006/relationships/hyperlink" Target="https://www.amazon.com/dp/B097YYKC1H?psc=1" TargetMode="External"/><Relationship Id="rId116" Type="http://schemas.openxmlformats.org/officeDocument/2006/relationships/hyperlink" Target="https://www.amazon.com/dp/B09CR5S18P?psc=1" TargetMode="External"/><Relationship Id="rId115" Type="http://schemas.openxmlformats.org/officeDocument/2006/relationships/hyperlink" Target="https://www.amazon.com/dp/B096N28SZP?psc=1" TargetMode="External"/><Relationship Id="rId114" Type="http://schemas.openxmlformats.org/officeDocument/2006/relationships/hyperlink" Target="https://www.amazon.com/dp/B089TQ82WT?psc=1" TargetMode="External"/><Relationship Id="rId113" Type="http://schemas.openxmlformats.org/officeDocument/2006/relationships/hyperlink" Target="https://www.amazon.com/dp/B08BXX69K4?psc=1" TargetMode="External"/><Relationship Id="rId112" Type="http://schemas.openxmlformats.org/officeDocument/2006/relationships/hyperlink" Target="https://www.amazon.com/dp/B08P27TNL6?psc=1" TargetMode="External"/><Relationship Id="rId111" Type="http://schemas.openxmlformats.org/officeDocument/2006/relationships/hyperlink" Target="https://www.amazon.com/dp/B08SHYP66H?psc=1" TargetMode="External"/><Relationship Id="rId110" Type="http://schemas.openxmlformats.org/officeDocument/2006/relationships/hyperlink" Target="https://www.amazon.com/dp/B08DVVY1SW?psc=1" TargetMode="External"/><Relationship Id="rId11" Type="http://schemas.openxmlformats.org/officeDocument/2006/relationships/hyperlink" Target="https://www.amazon.com/dp/B0BGM4JY9G?psc=1" TargetMode="External"/><Relationship Id="rId109" Type="http://schemas.openxmlformats.org/officeDocument/2006/relationships/hyperlink" Target="https://www.amazon.com/dp/B08NCHMH1L?psc=1" TargetMode="External"/><Relationship Id="rId108" Type="http://schemas.openxmlformats.org/officeDocument/2006/relationships/hyperlink" Target="https://www.amazon.com/dp/B07VS447SB?psc=1" TargetMode="External"/><Relationship Id="rId107" Type="http://schemas.openxmlformats.org/officeDocument/2006/relationships/hyperlink" Target="https://www.amazon.com/dp/B08HYLZBHT?psc=1" TargetMode="External"/><Relationship Id="rId106" Type="http://schemas.openxmlformats.org/officeDocument/2006/relationships/hyperlink" Target="https://www.amazon.com/dp/B07PH44BJS?psc=1" TargetMode="External"/><Relationship Id="rId105" Type="http://schemas.openxmlformats.org/officeDocument/2006/relationships/hyperlink" Target="https://www.amazon.com/dp/B01K0W8LTE?psc=1" TargetMode="External"/><Relationship Id="rId104" Type="http://schemas.openxmlformats.org/officeDocument/2006/relationships/hyperlink" Target="https://www.amazon.com/dp/B08BXXQ37X?psc=1" TargetMode="External"/><Relationship Id="rId103" Type="http://schemas.openxmlformats.org/officeDocument/2006/relationships/hyperlink" Target="https://www.amazon.com/dp/B07YGVC4LX?psc=1" TargetMode="External"/><Relationship Id="rId102" Type="http://schemas.openxmlformats.org/officeDocument/2006/relationships/hyperlink" Target="https://www.amazon.com/dp/B07CFW48ND?psc=1" TargetMode="External"/><Relationship Id="rId101" Type="http://schemas.openxmlformats.org/officeDocument/2006/relationships/hyperlink" Target="https://www.amazon.com/dp/B00IXBMS6M?psc=1" TargetMode="External"/><Relationship Id="rId100" Type="http://schemas.openxmlformats.org/officeDocument/2006/relationships/hyperlink" Target="https://www.amazon.com/dp/B08GPPMK8W?psc=1" TargetMode="External"/><Relationship Id="rId10" Type="http://schemas.openxmlformats.org/officeDocument/2006/relationships/hyperlink" Target="https://www.amazon.com/dp/B0978M8136?psc=1" TargetMode="External"/><Relationship Id="rId1" Type="http://schemas.openxmlformats.org/officeDocument/2006/relationships/hyperlink" Target="https://www.amazon.com/dp/B07FDJMC9Q?psc=1"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images-na.ssl-images-amazon.com/images/I/31EwvDJ4DEL._AC_US600_.jpg" TargetMode="External"/><Relationship Id="rId98" Type="http://schemas.openxmlformats.org/officeDocument/2006/relationships/hyperlink" Target="https://www.amazon.com/dp/B09KQY2TH2?psc=1" TargetMode="External"/><Relationship Id="rId97" Type="http://schemas.openxmlformats.org/officeDocument/2006/relationships/hyperlink" Target="https://m.media-amazon.com/images/W/IMAGERENDERING_521856-T2/images/I/41RjVllXMiL._AC_US600_.jpg" TargetMode="External"/><Relationship Id="rId96" Type="http://schemas.openxmlformats.org/officeDocument/2006/relationships/hyperlink" Target="https://www.amazon.com/dp/B092PY8F5J?psc=1" TargetMode="External"/><Relationship Id="rId95" Type="http://schemas.openxmlformats.org/officeDocument/2006/relationships/hyperlink" Target="https://images-na.ssl-images-amazon.com/images/I/5135MRrXWrL._AC_US600_.jpg" TargetMode="External"/><Relationship Id="rId94" Type="http://schemas.openxmlformats.org/officeDocument/2006/relationships/hyperlink" Target="https://www.amazon.com/dp/B08K8T3W2V?psc=1" TargetMode="External"/><Relationship Id="rId93" Type="http://schemas.openxmlformats.org/officeDocument/2006/relationships/hyperlink" Target="https://images-na.ssl-images-amazon.com/images/I/41YlA3PVYBL._AC_US600_.jpg" TargetMode="External"/><Relationship Id="rId92" Type="http://schemas.openxmlformats.org/officeDocument/2006/relationships/hyperlink" Target="https://www.amazon.com/dp/B09TZZS2GJ?psc=1" TargetMode="External"/><Relationship Id="rId91" Type="http://schemas.openxmlformats.org/officeDocument/2006/relationships/hyperlink" Target="https://images-na.ssl-images-amazon.com/images/I/41EfD0xmTgL._AC_US600_.jpg" TargetMode="External"/><Relationship Id="rId90" Type="http://schemas.openxmlformats.org/officeDocument/2006/relationships/hyperlink" Target="https://www.amazon.com/dp/B085GN68LC?psc=1" TargetMode="External"/><Relationship Id="rId9" Type="http://schemas.openxmlformats.org/officeDocument/2006/relationships/hyperlink" Target="https://images-na.ssl-images-amazon.com/images/I/411xmojvHOL._AC_US600_.jpg" TargetMode="External"/><Relationship Id="rId89" Type="http://schemas.openxmlformats.org/officeDocument/2006/relationships/hyperlink" Target="https://images-na.ssl-images-amazon.com/images/I/41RnifaGGML._AC_US600_.jpg" TargetMode="External"/><Relationship Id="rId88" Type="http://schemas.openxmlformats.org/officeDocument/2006/relationships/hyperlink" Target="https://www.amazon.com/dp/B08YP4NHQM?psc=1" TargetMode="External"/><Relationship Id="rId87" Type="http://schemas.openxmlformats.org/officeDocument/2006/relationships/hyperlink" Target="https://images-na.ssl-images-amazon.com/images/I/31VXHjBfcfL._AC_US600_.jpg" TargetMode="External"/><Relationship Id="rId86" Type="http://schemas.openxmlformats.org/officeDocument/2006/relationships/hyperlink" Target="https://www.amazon.com/dp/B07G3V9K17?psc=1" TargetMode="External"/><Relationship Id="rId85" Type="http://schemas.openxmlformats.org/officeDocument/2006/relationships/hyperlink" Target="https://m.media-amazon.com/images/I/51yODvXRBGL._AC_US600_.jpg" TargetMode="External"/><Relationship Id="rId84" Type="http://schemas.openxmlformats.org/officeDocument/2006/relationships/hyperlink" Target="https://www.amazon.com/dp/B0BG5635Z7?psc=1" TargetMode="External"/><Relationship Id="rId83" Type="http://schemas.openxmlformats.org/officeDocument/2006/relationships/hyperlink" Target="https://images-na.ssl-images-amazon.com/images/I/41NWjD1CuNL._AC_US600_.jpg" TargetMode="External"/><Relationship Id="rId82" Type="http://schemas.openxmlformats.org/officeDocument/2006/relationships/hyperlink" Target="https://www.amazon.com/dp/B08KFNK3QH?psc=1" TargetMode="External"/><Relationship Id="rId81" Type="http://schemas.openxmlformats.org/officeDocument/2006/relationships/hyperlink" Target="https://images-na.ssl-images-amazon.com/images/I/41fJQ2R4N-L._AC_US600_.jpg" TargetMode="External"/><Relationship Id="rId80" Type="http://schemas.openxmlformats.org/officeDocument/2006/relationships/hyperlink" Target="https://www.amazon.com/dp/B09GL56L4T?psc=1" TargetMode="External"/><Relationship Id="rId8" Type="http://schemas.openxmlformats.org/officeDocument/2006/relationships/hyperlink" Target="https://www.amazon.com/dp/B096N3FTZP?psc=1" TargetMode="External"/><Relationship Id="rId79" Type="http://schemas.openxmlformats.org/officeDocument/2006/relationships/hyperlink" Target="https://images-na.ssl-images-amazon.com/images/I/41ELapobmZL._AC_US600_.jpg" TargetMode="External"/><Relationship Id="rId78" Type="http://schemas.openxmlformats.org/officeDocument/2006/relationships/hyperlink" Target="https://www.amazon.com/dp/B0BX71WBK5?psc=1" TargetMode="External"/><Relationship Id="rId77" Type="http://schemas.openxmlformats.org/officeDocument/2006/relationships/hyperlink" Target="https://images-na.ssl-images-amazon.com/images/I/315isMXS8rL._AC_US600_.jpg" TargetMode="External"/><Relationship Id="rId76" Type="http://schemas.openxmlformats.org/officeDocument/2006/relationships/hyperlink" Target="https://www.amazon.com/dp/B091YHDCVR?psc=1" TargetMode="External"/><Relationship Id="rId75" Type="http://schemas.openxmlformats.org/officeDocument/2006/relationships/hyperlink" Target="https://m.media-amazon.com/images/I/51-mk87x0yL._AC_US600_.jpg" TargetMode="External"/><Relationship Id="rId74" Type="http://schemas.openxmlformats.org/officeDocument/2006/relationships/hyperlink" Target="https://www.amazon.com/dp/B0BQJL33K3?psc=1" TargetMode="External"/><Relationship Id="rId73" Type="http://schemas.openxmlformats.org/officeDocument/2006/relationships/hyperlink" Target="https://images-na.ssl-images-amazon.com/images/I/41xKS3OoclL._AC_US600_.jpg" TargetMode="External"/><Relationship Id="rId72" Type="http://schemas.openxmlformats.org/officeDocument/2006/relationships/hyperlink" Target="https://www.amazon.com/dp/B08CW95ZFR?psc=1" TargetMode="External"/><Relationship Id="rId71" Type="http://schemas.openxmlformats.org/officeDocument/2006/relationships/hyperlink" Target="https://images-na.ssl-images-amazon.com/images/I/31EAxEEMbVL._AC_US600_.jpg" TargetMode="External"/><Relationship Id="rId70" Type="http://schemas.openxmlformats.org/officeDocument/2006/relationships/hyperlink" Target="https://www.amazon.com/dp/B08QQRH2Z9?psc=1" TargetMode="External"/><Relationship Id="rId7" Type="http://schemas.openxmlformats.org/officeDocument/2006/relationships/hyperlink" Target="https://images-na.ssl-images-amazon.com/images/I/517ZDIeX2AL._AC_US600_.jpg" TargetMode="External"/><Relationship Id="rId69" Type="http://schemas.openxmlformats.org/officeDocument/2006/relationships/hyperlink" Target="https://images-na.ssl-images-amazon.com/images/I/413QzyJkOQL._AC_US600_.jpg" TargetMode="External"/><Relationship Id="rId68" Type="http://schemas.openxmlformats.org/officeDocument/2006/relationships/hyperlink" Target="https://www.amazon.com/dp/B0777RJG6D?psc=1" TargetMode="External"/><Relationship Id="rId67" Type="http://schemas.openxmlformats.org/officeDocument/2006/relationships/hyperlink" Target="https://images-na.ssl-images-amazon.com/images/I/41fB3jg85OL._AC_US600_.jpg" TargetMode="External"/><Relationship Id="rId66" Type="http://schemas.openxmlformats.org/officeDocument/2006/relationships/hyperlink" Target="https://www.amazon.com/dp/B0B4NXNWT5?psc=1" TargetMode="External"/><Relationship Id="rId65" Type="http://schemas.openxmlformats.org/officeDocument/2006/relationships/hyperlink" Target="https://images-na.ssl-images-amazon.com/images/I/41OVlRD-CtL._AC_US600_.jpg" TargetMode="External"/><Relationship Id="rId64" Type="http://schemas.openxmlformats.org/officeDocument/2006/relationships/hyperlink" Target="https://www.amazon.com/dp/B07FF117K7?psc=1" TargetMode="External"/><Relationship Id="rId63" Type="http://schemas.openxmlformats.org/officeDocument/2006/relationships/hyperlink" Target="https://images-na.ssl-images-amazon.com/images/I/51RjObEKN4L._AC_US600_.jpg" TargetMode="External"/><Relationship Id="rId62" Type="http://schemas.openxmlformats.org/officeDocument/2006/relationships/hyperlink" Target="https://www.amazon.com/dp/B0872DQV7Z?psc=1" TargetMode="External"/><Relationship Id="rId61" Type="http://schemas.openxmlformats.org/officeDocument/2006/relationships/hyperlink" Target="https://images-na.ssl-images-amazon.com/images/I/31HerJYQxzL._AC_US600_.jpg" TargetMode="External"/><Relationship Id="rId60" Type="http://schemas.openxmlformats.org/officeDocument/2006/relationships/hyperlink" Target="https://www.amazon.com/dp/B08SJ6L9MT?psc=1" TargetMode="External"/><Relationship Id="rId6" Type="http://schemas.openxmlformats.org/officeDocument/2006/relationships/hyperlink" Target="https://www.amazon.com/dp/B07VM28XTR?psc=1" TargetMode="External"/><Relationship Id="rId59" Type="http://schemas.openxmlformats.org/officeDocument/2006/relationships/hyperlink" Target="https://m.media-amazon.com/images/W/IMAGERENDERING_521856-T1/images/I/3196QeAvkXL._AC_US600_.jpg" TargetMode="External"/><Relationship Id="rId58" Type="http://schemas.openxmlformats.org/officeDocument/2006/relationships/hyperlink" Target="https://www.amazon.com/dp/B0BDFRZX3F?psc=1" TargetMode="External"/><Relationship Id="rId57" Type="http://schemas.openxmlformats.org/officeDocument/2006/relationships/hyperlink" Target="https://images-na.ssl-images-amazon.com/images/I/415DRxbG3pL._AC_US600_.jpg" TargetMode="External"/><Relationship Id="rId56" Type="http://schemas.openxmlformats.org/officeDocument/2006/relationships/hyperlink" Target="https://www.amazon.com/dp/B07NBQX8HS?psc=1" TargetMode="External"/><Relationship Id="rId55" Type="http://schemas.openxmlformats.org/officeDocument/2006/relationships/hyperlink" Target="https://images-na.ssl-images-amazon.com/images/I/51DUgyoMOhL._AC_US600_.jpg" TargetMode="External"/><Relationship Id="rId54" Type="http://schemas.openxmlformats.org/officeDocument/2006/relationships/hyperlink" Target="https://www.amazon.com/dp/B07NLHMYH4?psc=1" TargetMode="External"/><Relationship Id="rId53" Type="http://schemas.openxmlformats.org/officeDocument/2006/relationships/hyperlink" Target="https://images-na.ssl-images-amazon.com/images/I/41nAgEWFdGL._AC_US600_.jpg" TargetMode="External"/><Relationship Id="rId52" Type="http://schemas.openxmlformats.org/officeDocument/2006/relationships/hyperlink" Target="https://www.amazon.com/dp/B09HKM5SVD?psc=1" TargetMode="External"/><Relationship Id="rId51" Type="http://schemas.openxmlformats.org/officeDocument/2006/relationships/hyperlink" Target="https://images-na.ssl-images-amazon.com/images/I/41hLUQwvoaL._AC_US600_.jpg" TargetMode="External"/><Relationship Id="rId50" Type="http://schemas.openxmlformats.org/officeDocument/2006/relationships/hyperlink" Target="https://www.amazon.com/dp/B07S85TPLG?psc=1" TargetMode="External"/><Relationship Id="rId5" Type="http://schemas.openxmlformats.org/officeDocument/2006/relationships/hyperlink" Target="https://images-na.ssl-images-amazon.com/images/I/4148pXjT5JL._AC_US600_.jpg" TargetMode="External"/><Relationship Id="rId49" Type="http://schemas.openxmlformats.org/officeDocument/2006/relationships/hyperlink" Target="https://images-na.ssl-images-amazon.com/images/I/51LYB9lQdLL._AC_US600_.jpg" TargetMode="External"/><Relationship Id="rId48" Type="http://schemas.openxmlformats.org/officeDocument/2006/relationships/hyperlink" Target="https://www.amazon.com/dp/B08DL8WH9V?psc=1" TargetMode="External"/><Relationship Id="rId47" Type="http://schemas.openxmlformats.org/officeDocument/2006/relationships/hyperlink" Target="https://images-na.ssl-images-amazon.com/images/I/415CVTfKbfL._AC_US600_.jpg" TargetMode="External"/><Relationship Id="rId46" Type="http://schemas.openxmlformats.org/officeDocument/2006/relationships/hyperlink" Target="https://www.amazon.com/dp/B082JWBBXB?psc=1" TargetMode="External"/><Relationship Id="rId45" Type="http://schemas.openxmlformats.org/officeDocument/2006/relationships/hyperlink" Target="https://images-na.ssl-images-amazon.com/images/I/41qabW46GoL._AC_US600_.jpg" TargetMode="External"/><Relationship Id="rId44" Type="http://schemas.openxmlformats.org/officeDocument/2006/relationships/hyperlink" Target="https://www.amazon.com/dp/B08DKYBTPH?psc=1" TargetMode="External"/><Relationship Id="rId43" Type="http://schemas.openxmlformats.org/officeDocument/2006/relationships/hyperlink" Target="https://images-na.ssl-images-amazon.com/images/I/51m3RCjOtoL._AC_US600_.jpg" TargetMode="External"/><Relationship Id="rId42" Type="http://schemas.openxmlformats.org/officeDocument/2006/relationships/hyperlink" Target="https://www.amazon.com/dp/B0BGM4JY9G?psc=1" TargetMode="External"/><Relationship Id="rId41" Type="http://schemas.openxmlformats.org/officeDocument/2006/relationships/hyperlink" Target="https://images-na.ssl-images-amazon.com/images/I/5114QyaSorL._AC_US600_.jpg" TargetMode="External"/><Relationship Id="rId401" Type="http://schemas.openxmlformats.org/officeDocument/2006/relationships/hyperlink" Target="https://m.media-amazon.com/images/I/41pnsxRns1L._AC_US600_.jpg" TargetMode="External"/><Relationship Id="rId400" Type="http://schemas.openxmlformats.org/officeDocument/2006/relationships/hyperlink" Target="https://www.amazon.com/dp/B09ST8J28N?psc=1" TargetMode="External"/><Relationship Id="rId40" Type="http://schemas.openxmlformats.org/officeDocument/2006/relationships/hyperlink" Target="https://www.amazon.com/dp/B0BDG5T19F?psc=1" TargetMode="External"/><Relationship Id="rId4" Type="http://schemas.openxmlformats.org/officeDocument/2006/relationships/hyperlink" Target="https://www.amazon.com/dp/B0936FGLQS?psc=1" TargetMode="External"/><Relationship Id="rId399" Type="http://schemas.openxmlformats.org/officeDocument/2006/relationships/hyperlink" Target="https://m.media-amazon.com/images/I/31NEHObRlXL._AC_US600_.jpg" TargetMode="External"/><Relationship Id="rId398" Type="http://schemas.openxmlformats.org/officeDocument/2006/relationships/hyperlink" Target="https://www.amazon.com/dp/B09FNT7LVL?psc=1" TargetMode="External"/><Relationship Id="rId397" Type="http://schemas.openxmlformats.org/officeDocument/2006/relationships/hyperlink" Target="https://images-na.ssl-images-amazon.com/images/I/41RAMv5IRmL._AC_US600_.jpg" TargetMode="External"/><Relationship Id="rId396" Type="http://schemas.openxmlformats.org/officeDocument/2006/relationships/hyperlink" Target="https://www.amazon.com/dp/B08L39951F?psc=1" TargetMode="External"/><Relationship Id="rId395" Type="http://schemas.openxmlformats.org/officeDocument/2006/relationships/hyperlink" Target="https://images-na.ssl-images-amazon.com/images/I/31It+FgPb9L._AC_US600_.jpg" TargetMode="External"/><Relationship Id="rId394" Type="http://schemas.openxmlformats.org/officeDocument/2006/relationships/hyperlink" Target="https://www.amazon.com/dp/B079L2ZQGB?psc=1" TargetMode="External"/><Relationship Id="rId393" Type="http://schemas.openxmlformats.org/officeDocument/2006/relationships/hyperlink" Target="https://m.media-amazon.com/images/I/51QaiEFUo+L._AC_US600_.jpg" TargetMode="External"/><Relationship Id="rId392" Type="http://schemas.openxmlformats.org/officeDocument/2006/relationships/hyperlink" Target="https://www.amazon.com/dp/B09X9TGX48?psc=1" TargetMode="External"/><Relationship Id="rId391" Type="http://schemas.openxmlformats.org/officeDocument/2006/relationships/hyperlink" Target="https://images-na.ssl-images-amazon.com/images/I/31M7tNm+HTL._AC_US600_.jpg" TargetMode="External"/><Relationship Id="rId390" Type="http://schemas.openxmlformats.org/officeDocument/2006/relationships/hyperlink" Target="https://www.amazon.com/dp/B08BSMJD9C?psc=1" TargetMode="External"/><Relationship Id="rId39" Type="http://schemas.openxmlformats.org/officeDocument/2006/relationships/hyperlink" Target="https://images-na.ssl-images-amazon.com/images/I/511xSzv8yRL._AC_US600_.jpg" TargetMode="External"/><Relationship Id="rId389" Type="http://schemas.openxmlformats.org/officeDocument/2006/relationships/hyperlink" Target="https://images-na.ssl-images-amazon.com/images/I/41ocwQbRJuS._AC_US600_.jpg" TargetMode="External"/><Relationship Id="rId388" Type="http://schemas.openxmlformats.org/officeDocument/2006/relationships/hyperlink" Target="https://www.amazon.com/dp/B093MMDQ8L?psc=1" TargetMode="External"/><Relationship Id="rId387" Type="http://schemas.openxmlformats.org/officeDocument/2006/relationships/hyperlink" Target="https://images-na.ssl-images-amazon.com/images/I/310RrHWidHL._AC_US600_.jpg" TargetMode="External"/><Relationship Id="rId386" Type="http://schemas.openxmlformats.org/officeDocument/2006/relationships/hyperlink" Target="https://www.amazon.com/dp/B0923CBH72?psc=1" TargetMode="External"/><Relationship Id="rId385" Type="http://schemas.openxmlformats.org/officeDocument/2006/relationships/hyperlink" Target="https://images-na.ssl-images-amazon.com/images/I/41eKdT3NoWL._AC_US600_.jpg" TargetMode="External"/><Relationship Id="rId384" Type="http://schemas.openxmlformats.org/officeDocument/2006/relationships/hyperlink" Target="https://www.amazon.com/dp/B096QZJCFK?psc=1" TargetMode="External"/><Relationship Id="rId383" Type="http://schemas.openxmlformats.org/officeDocument/2006/relationships/hyperlink" Target="https://images-na.ssl-images-amazon.com/images/I/41FrTFztleL._AC_US600_.jpg" TargetMode="External"/><Relationship Id="rId382" Type="http://schemas.openxmlformats.org/officeDocument/2006/relationships/hyperlink" Target="https://www.amazon.com/dp/B094QYWH38?psc=1" TargetMode="External"/><Relationship Id="rId381" Type="http://schemas.openxmlformats.org/officeDocument/2006/relationships/hyperlink" Target="https://images-na.ssl-images-amazon.com/images/I/31mtratIY2L._AC_US600_.jpg" TargetMode="External"/><Relationship Id="rId380" Type="http://schemas.openxmlformats.org/officeDocument/2006/relationships/hyperlink" Target="https://www.amazon.com/dp/B0BW7VC725?psc=1" TargetMode="External"/><Relationship Id="rId38" Type="http://schemas.openxmlformats.org/officeDocument/2006/relationships/hyperlink" Target="https://www.amazon.com/dp/B09B7SB46R?psc=1" TargetMode="External"/><Relationship Id="rId379" Type="http://schemas.openxmlformats.org/officeDocument/2006/relationships/hyperlink" Target="https://images-na.ssl-images-amazon.com/images/I/51TZKjvd89L._AC_US600_.jpg" TargetMode="External"/><Relationship Id="rId378" Type="http://schemas.openxmlformats.org/officeDocument/2006/relationships/hyperlink" Target="https://www.amazon.com/dp/B08TSQ3ML9?psc=1" TargetMode="External"/><Relationship Id="rId377" Type="http://schemas.openxmlformats.org/officeDocument/2006/relationships/hyperlink" Target="https://images-na.ssl-images-amazon.com/images/I/519QPBDgceL._AC_US600_.jpg" TargetMode="External"/><Relationship Id="rId376" Type="http://schemas.openxmlformats.org/officeDocument/2006/relationships/hyperlink" Target="https://www.amazon.com/dp/B0BT84LMQ8?psc=1" TargetMode="External"/><Relationship Id="rId375" Type="http://schemas.openxmlformats.org/officeDocument/2006/relationships/hyperlink" Target="https://images-na.ssl-images-amazon.com/images/I/418EWiLd+iL._AC_US600_.jpg" TargetMode="External"/><Relationship Id="rId374" Type="http://schemas.openxmlformats.org/officeDocument/2006/relationships/hyperlink" Target="https://www.amazon.com/dp/B09SB2RMCZ?psc=1" TargetMode="External"/><Relationship Id="rId373" Type="http://schemas.openxmlformats.org/officeDocument/2006/relationships/hyperlink" Target="https://images-na.ssl-images-amazon.com/images/I/41na0cqIyYL._AC_US600_.jpg" TargetMode="External"/><Relationship Id="rId372" Type="http://schemas.openxmlformats.org/officeDocument/2006/relationships/hyperlink" Target="https://www.amazon.com/dp/B0777THX2R?psc=1" TargetMode="External"/><Relationship Id="rId371" Type="http://schemas.openxmlformats.org/officeDocument/2006/relationships/hyperlink" Target="https://images-na.ssl-images-amazon.com/images/I/51hskugOyCL._AC_US600_.jpg" TargetMode="External"/><Relationship Id="rId370" Type="http://schemas.openxmlformats.org/officeDocument/2006/relationships/hyperlink" Target="https://www.amazon.com/dp/B0B2K7CPP8?psc=1" TargetMode="External"/><Relationship Id="rId37" Type="http://schemas.openxmlformats.org/officeDocument/2006/relationships/hyperlink" Target="https://images-na.ssl-images-amazon.com/images/I/41Tiw9rl9aL._AC_US600_.jpg" TargetMode="External"/><Relationship Id="rId369" Type="http://schemas.openxmlformats.org/officeDocument/2006/relationships/hyperlink" Target="https://m.media-amazon.com/images/W/IMAGERENDERING_521856-T2/images/I/41VQrbjlsQL._AC_US600_.jpg" TargetMode="External"/><Relationship Id="rId368" Type="http://schemas.openxmlformats.org/officeDocument/2006/relationships/hyperlink" Target="https://www.amazon.com/dp/B0882NCLC9?psc=1" TargetMode="External"/><Relationship Id="rId367" Type="http://schemas.openxmlformats.org/officeDocument/2006/relationships/hyperlink" Target="https://images-na.ssl-images-amazon.com/images/I/41fB8fJv3+S._AC_US600_.jpg" TargetMode="External"/><Relationship Id="rId366" Type="http://schemas.openxmlformats.org/officeDocument/2006/relationships/hyperlink" Target="https://www.amazon.com/dp/B08JCG9YW4?psc=1" TargetMode="External"/><Relationship Id="rId365" Type="http://schemas.openxmlformats.org/officeDocument/2006/relationships/hyperlink" Target="https://m.media-amazon.com/images/W/IMAGERENDERING_521856-T1/images/I/51l-+MUwR1L._AC_US600_.jpg" TargetMode="External"/><Relationship Id="rId364" Type="http://schemas.openxmlformats.org/officeDocument/2006/relationships/hyperlink" Target="https://www.amazon.com/dp/B0BWJY2CDK?psc=1" TargetMode="External"/><Relationship Id="rId363" Type="http://schemas.openxmlformats.org/officeDocument/2006/relationships/hyperlink" Target="https://m.media-amazon.com/images/I/41uj2M0ByyL._AC_US600_.jpg" TargetMode="External"/><Relationship Id="rId362" Type="http://schemas.openxmlformats.org/officeDocument/2006/relationships/hyperlink" Target="https://www.amazon.com/dp/B08ZJ1N7PJ?psc=1" TargetMode="External"/><Relationship Id="rId361" Type="http://schemas.openxmlformats.org/officeDocument/2006/relationships/hyperlink" Target="https://images-na.ssl-images-amazon.com/images/I/41AZapeoTgL._AC_US600_.jpg" TargetMode="External"/><Relationship Id="rId360" Type="http://schemas.openxmlformats.org/officeDocument/2006/relationships/hyperlink" Target="https://www.amazon.com/dp/B0996943CH?psc=1" TargetMode="External"/><Relationship Id="rId36" Type="http://schemas.openxmlformats.org/officeDocument/2006/relationships/hyperlink" Target="https://www.amazon.com/dp/B096N28SZP?psc=1" TargetMode="External"/><Relationship Id="rId359" Type="http://schemas.openxmlformats.org/officeDocument/2006/relationships/hyperlink" Target="https://m.media-amazon.com/images/W/IMAGERENDERING_521856-T2/images/I/41Wdni8B7HL._AC_US600_.jpg" TargetMode="External"/><Relationship Id="rId358" Type="http://schemas.openxmlformats.org/officeDocument/2006/relationships/hyperlink" Target="https://www.amazon.com/dp/B07XYR5P8Z?psc=1" TargetMode="External"/><Relationship Id="rId357" Type="http://schemas.openxmlformats.org/officeDocument/2006/relationships/hyperlink" Target="https://images-na.ssl-images-amazon.com/images/I/41yQWXNHT+L._AC_US600_.jpg" TargetMode="External"/><Relationship Id="rId356" Type="http://schemas.openxmlformats.org/officeDocument/2006/relationships/hyperlink" Target="https://www.amazon.com/dp/B09KNBHWSJ?psc=1" TargetMode="External"/><Relationship Id="rId355" Type="http://schemas.openxmlformats.org/officeDocument/2006/relationships/hyperlink" Target="https://images-na.ssl-images-amazon.com/images/I/41oFSBERDUL._AC_US600_.jpg" TargetMode="External"/><Relationship Id="rId354" Type="http://schemas.openxmlformats.org/officeDocument/2006/relationships/hyperlink" Target="https://www.amazon.com/dp/B07VF7J5VQ?psc=1" TargetMode="External"/><Relationship Id="rId353" Type="http://schemas.openxmlformats.org/officeDocument/2006/relationships/hyperlink" Target="https://images-na.ssl-images-amazon.com/images/I/41qCoizMeTL._AC_US600_.jpg" TargetMode="External"/><Relationship Id="rId352" Type="http://schemas.openxmlformats.org/officeDocument/2006/relationships/hyperlink" Target="https://www.amazon.com/dp/B09JGSVHZC?psc=1" TargetMode="External"/><Relationship Id="rId351" Type="http://schemas.openxmlformats.org/officeDocument/2006/relationships/hyperlink" Target="https://m.media-amazon.com/images/I/41-RKq1zvVL._AC_US600_.jpg" TargetMode="External"/><Relationship Id="rId350" Type="http://schemas.openxmlformats.org/officeDocument/2006/relationships/hyperlink" Target="https://www.amazon.com/dp/B084ZZTVCJ?psc=1" TargetMode="External"/><Relationship Id="rId35" Type="http://schemas.openxmlformats.org/officeDocument/2006/relationships/hyperlink" Target="https://images-na.ssl-images-amazon.com/images/I/41R9UEekBML._AC_US600_.jpg" TargetMode="External"/><Relationship Id="rId349" Type="http://schemas.openxmlformats.org/officeDocument/2006/relationships/hyperlink" Target="https://images-na.ssl-images-amazon.com/images/I/51SmSddUO7L._AC_US600_.jpg" TargetMode="External"/><Relationship Id="rId348" Type="http://schemas.openxmlformats.org/officeDocument/2006/relationships/hyperlink" Target="https://www.amazon.com/dp/B0BC3ZJG57?psc=1" TargetMode="External"/><Relationship Id="rId347" Type="http://schemas.openxmlformats.org/officeDocument/2006/relationships/hyperlink" Target="https://images-na.ssl-images-amazon.com/images/I/41-KZswStJL._AC_US600_.jpg" TargetMode="External"/><Relationship Id="rId346" Type="http://schemas.openxmlformats.org/officeDocument/2006/relationships/hyperlink" Target="https://www.amazon.com/dp/B09PRDH9WY?psc=1" TargetMode="External"/><Relationship Id="rId345" Type="http://schemas.openxmlformats.org/officeDocument/2006/relationships/hyperlink" Target="https://m.media-amazon.com/images/I/51fyZTN6mxS._AC_US600_.jpg" TargetMode="External"/><Relationship Id="rId344" Type="http://schemas.openxmlformats.org/officeDocument/2006/relationships/hyperlink" Target="https://www.amazon.com/dp/B08WJL15XL?psc=1" TargetMode="External"/><Relationship Id="rId343" Type="http://schemas.openxmlformats.org/officeDocument/2006/relationships/hyperlink" Target="https://images-na.ssl-images-amazon.com/images/I/417A8JoBQbL._AC_US600_.jpg" TargetMode="External"/><Relationship Id="rId342" Type="http://schemas.openxmlformats.org/officeDocument/2006/relationships/hyperlink" Target="https://www.amazon.com/dp/B0B1GSWB7T?psc=1" TargetMode="External"/><Relationship Id="rId341" Type="http://schemas.openxmlformats.org/officeDocument/2006/relationships/hyperlink" Target="https://images-na.ssl-images-amazon.com/images/I/51DDs0EcMKL._AC_US600_.jpg" TargetMode="External"/><Relationship Id="rId340" Type="http://schemas.openxmlformats.org/officeDocument/2006/relationships/hyperlink" Target="https://www.amazon.com/dp/B0BNHRF9ZV?psc=1" TargetMode="External"/><Relationship Id="rId34" Type="http://schemas.openxmlformats.org/officeDocument/2006/relationships/hyperlink" Target="https://www.amazon.com/dp/B0B59D1J98?psc=1" TargetMode="External"/><Relationship Id="rId339" Type="http://schemas.openxmlformats.org/officeDocument/2006/relationships/hyperlink" Target="https://m.media-amazon.com/images/I/41TD+zMXubL._AC_US600_.jpg" TargetMode="External"/><Relationship Id="rId338" Type="http://schemas.openxmlformats.org/officeDocument/2006/relationships/hyperlink" Target="https://www.amazon.com/dp/B0B157T2J4?psc=1" TargetMode="External"/><Relationship Id="rId337" Type="http://schemas.openxmlformats.org/officeDocument/2006/relationships/hyperlink" Target="https://images-na.ssl-images-amazon.com/images/I/51pWOsKPv+L._AC_US600_.jpg" TargetMode="External"/><Relationship Id="rId336" Type="http://schemas.openxmlformats.org/officeDocument/2006/relationships/hyperlink" Target="https://www.amazon.com/dp/B09VX679PC?psc=1" TargetMode="External"/><Relationship Id="rId335" Type="http://schemas.openxmlformats.org/officeDocument/2006/relationships/hyperlink" Target="https://images-na.ssl-images-amazon.com/images/I/31BOWas9fwL._AC_US600_.jpg" TargetMode="External"/><Relationship Id="rId334" Type="http://schemas.openxmlformats.org/officeDocument/2006/relationships/hyperlink" Target="https://www.amazon.com/dp/B0BB7278C9?psc=1" TargetMode="External"/><Relationship Id="rId333" Type="http://schemas.openxmlformats.org/officeDocument/2006/relationships/hyperlink" Target="https://images-na.ssl-images-amazon.com/images/I/51WVLngZsPL._AC_US600_.jpg" TargetMode="External"/><Relationship Id="rId332" Type="http://schemas.openxmlformats.org/officeDocument/2006/relationships/hyperlink" Target="https://www.amazon.com/dp/B0BL74HQ4P?psc=1" TargetMode="External"/><Relationship Id="rId331" Type="http://schemas.openxmlformats.org/officeDocument/2006/relationships/hyperlink" Target="https://images-na.ssl-images-amazon.com/images/I/516YC9Zbu4L._AC_US600_.jpg" TargetMode="External"/><Relationship Id="rId330" Type="http://schemas.openxmlformats.org/officeDocument/2006/relationships/hyperlink" Target="https://www.amazon.com/dp/B09Q4Y7BDY?psc=1" TargetMode="External"/><Relationship Id="rId33" Type="http://schemas.openxmlformats.org/officeDocument/2006/relationships/hyperlink" Target="https://images-na.ssl-images-amazon.com/images/I/31LS4+++HlL._AC_US600_.jpg" TargetMode="External"/><Relationship Id="rId329" Type="http://schemas.openxmlformats.org/officeDocument/2006/relationships/hyperlink" Target="https://images-na.ssl-images-amazon.com/images/I/41yc5k8WWvL._AC_US600_.jpg" TargetMode="External"/><Relationship Id="rId328" Type="http://schemas.openxmlformats.org/officeDocument/2006/relationships/hyperlink" Target="https://www.amazon.com/dp/B07CYTSWXV?psc=1" TargetMode="External"/><Relationship Id="rId327" Type="http://schemas.openxmlformats.org/officeDocument/2006/relationships/hyperlink" Target="https://images-na.ssl-images-amazon.com/images/I/51xGVNJzo7L._AC_US600_.jpg" TargetMode="External"/><Relationship Id="rId326" Type="http://schemas.openxmlformats.org/officeDocument/2006/relationships/hyperlink" Target="https://www.amazon.com/dp/B07ZF6WLVX?psc=1" TargetMode="External"/><Relationship Id="rId325" Type="http://schemas.openxmlformats.org/officeDocument/2006/relationships/hyperlink" Target="https://images-na.ssl-images-amazon.com/images/I/311sQ3sL2bL._AC_US600_.jpg" TargetMode="External"/><Relationship Id="rId324" Type="http://schemas.openxmlformats.org/officeDocument/2006/relationships/hyperlink" Target="https://www.amazon.com/dp/B09SVGTDF1?psc=1" TargetMode="External"/><Relationship Id="rId323" Type="http://schemas.openxmlformats.org/officeDocument/2006/relationships/hyperlink" Target="https://images-na.ssl-images-amazon.com/images/I/51MAjW5-n-L._AC_US600_.jpg" TargetMode="External"/><Relationship Id="rId322" Type="http://schemas.openxmlformats.org/officeDocument/2006/relationships/hyperlink" Target="https://www.amazon.com/dp/B09XHL6KL4?psc=1" TargetMode="External"/><Relationship Id="rId321" Type="http://schemas.openxmlformats.org/officeDocument/2006/relationships/hyperlink" Target="https://images-na.ssl-images-amazon.com/images/I/511qqWp4WWL._AC_US600_.jpg" TargetMode="External"/><Relationship Id="rId320" Type="http://schemas.openxmlformats.org/officeDocument/2006/relationships/hyperlink" Target="https://www.amazon.com/dp/B07LBGDTCQ?psc=1" TargetMode="External"/><Relationship Id="rId32" Type="http://schemas.openxmlformats.org/officeDocument/2006/relationships/hyperlink" Target="https://www.amazon.com/dp/B07S6529ZZ?psc=1" TargetMode="External"/><Relationship Id="rId319" Type="http://schemas.openxmlformats.org/officeDocument/2006/relationships/hyperlink" Target="https://images-na.ssl-images-amazon.com/images/I/31H56P5yfrL._AC_US600_.jpg" TargetMode="External"/><Relationship Id="rId318" Type="http://schemas.openxmlformats.org/officeDocument/2006/relationships/hyperlink" Target="https://www.amazon.com/dp/B08YNDYG71?psc=1" TargetMode="External"/><Relationship Id="rId317" Type="http://schemas.openxmlformats.org/officeDocument/2006/relationships/hyperlink" Target="https://images-na.ssl-images-amazon.com/images/I/31+gdMrAOgL._AC_US600_.jpg" TargetMode="External"/><Relationship Id="rId316" Type="http://schemas.openxmlformats.org/officeDocument/2006/relationships/hyperlink" Target="https://www.amazon.com/dp/B07VH2CXPJ?psc=1" TargetMode="External"/><Relationship Id="rId315" Type="http://schemas.openxmlformats.org/officeDocument/2006/relationships/hyperlink" Target="https://images-na.ssl-images-amazon.com/images/I/41-b7PVAsGL._AC_US600_.jpg" TargetMode="External"/><Relationship Id="rId314" Type="http://schemas.openxmlformats.org/officeDocument/2006/relationships/hyperlink" Target="https://www.amazon.com/dp/B08QQ6KWYN?psc=1" TargetMode="External"/><Relationship Id="rId313" Type="http://schemas.openxmlformats.org/officeDocument/2006/relationships/hyperlink" Target="https://m.media-amazon.com/images/I/41xRnynIT4L._AC_US600_.jpg" TargetMode="External"/><Relationship Id="rId312" Type="http://schemas.openxmlformats.org/officeDocument/2006/relationships/hyperlink" Target="https://www.amazon.com/dp/B0977M6FJP?psc=1" TargetMode="External"/><Relationship Id="rId311" Type="http://schemas.openxmlformats.org/officeDocument/2006/relationships/hyperlink" Target="https://m.media-amazon.com/images/I/5175B17BeLL._AC_US600_.jpg" TargetMode="External"/><Relationship Id="rId310" Type="http://schemas.openxmlformats.org/officeDocument/2006/relationships/hyperlink" Target="https://www.amazon.com/dp/B01MDMHRXG?psc=1" TargetMode="External"/><Relationship Id="rId31" Type="http://schemas.openxmlformats.org/officeDocument/2006/relationships/hyperlink" Target="https://images-na.ssl-images-amazon.com/images/I/41FSF9nXbwL._AC_US600_.jpg" TargetMode="External"/><Relationship Id="rId309" Type="http://schemas.openxmlformats.org/officeDocument/2006/relationships/hyperlink" Target="https://m.media-amazon.com/images/W/IMAGERENDERING_521856-T1/images/I/51Lcpdw+CiL._AC_US600_.jpg" TargetMode="External"/><Relationship Id="rId308" Type="http://schemas.openxmlformats.org/officeDocument/2006/relationships/hyperlink" Target="https://www.amazon.com/dp/B07P11X2TK?psc=1" TargetMode="External"/><Relationship Id="rId307" Type="http://schemas.openxmlformats.org/officeDocument/2006/relationships/hyperlink" Target="https://images-na.ssl-images-amazon.com/images/I/31mUrNkEHJL._AC_US600_.jpg" TargetMode="External"/><Relationship Id="rId306" Type="http://schemas.openxmlformats.org/officeDocument/2006/relationships/hyperlink" Target="https://www.amazon.com/dp/B09XMF752B?psc=1" TargetMode="External"/><Relationship Id="rId305" Type="http://schemas.openxmlformats.org/officeDocument/2006/relationships/hyperlink" Target="https://m.media-amazon.com/images/I/51elYXGsRXL._AC_US600_.jpg" TargetMode="External"/><Relationship Id="rId304" Type="http://schemas.openxmlformats.org/officeDocument/2006/relationships/hyperlink" Target="https://www.amazon.com/dp/B09PY984CM?psc=1" TargetMode="External"/><Relationship Id="rId303" Type="http://schemas.openxmlformats.org/officeDocument/2006/relationships/hyperlink" Target="https://images-na.ssl-images-amazon.com/images/I/51932OdqxCL._AC_US600_.jpg" TargetMode="External"/><Relationship Id="rId302" Type="http://schemas.openxmlformats.org/officeDocument/2006/relationships/hyperlink" Target="https://www.amazon.com/dp/B09PDC8MQ3?psc=1" TargetMode="External"/><Relationship Id="rId301" Type="http://schemas.openxmlformats.org/officeDocument/2006/relationships/hyperlink" Target="https://images-na.ssl-images-amazon.com/images/I/31t5GBCFKzL._AC_US600_.jpg" TargetMode="External"/><Relationship Id="rId300" Type="http://schemas.openxmlformats.org/officeDocument/2006/relationships/hyperlink" Target="https://www.amazon.com/dp/B08578WCDF?psc=1" TargetMode="External"/><Relationship Id="rId30" Type="http://schemas.openxmlformats.org/officeDocument/2006/relationships/hyperlink" Target="https://www.amazon.com/dp/B0B6ZXKNJN?psc=1" TargetMode="External"/><Relationship Id="rId3" Type="http://schemas.openxmlformats.org/officeDocument/2006/relationships/hyperlink" Target="https://images-na.ssl-images-amazon.com/images/I/31MBSKiZOPL._AC_US600_.jpg" TargetMode="External"/><Relationship Id="rId299" Type="http://schemas.openxmlformats.org/officeDocument/2006/relationships/hyperlink" Target="https://images-na.ssl-images-amazon.com/images/I/41EAkNh6L1L._AC_US600_.jpg" TargetMode="External"/><Relationship Id="rId298" Type="http://schemas.openxmlformats.org/officeDocument/2006/relationships/hyperlink" Target="https://www.amazon.com/dp/B09MS2RQGL?psc=1" TargetMode="External"/><Relationship Id="rId297" Type="http://schemas.openxmlformats.org/officeDocument/2006/relationships/hyperlink" Target="https://images-na.ssl-images-amazon.com/images/I/41YMGJtaP1L._AC_US600_.jpg" TargetMode="External"/><Relationship Id="rId296" Type="http://schemas.openxmlformats.org/officeDocument/2006/relationships/hyperlink" Target="https://www.amazon.com/dp/B08BH24R3T?psc=1" TargetMode="External"/><Relationship Id="rId295" Type="http://schemas.openxmlformats.org/officeDocument/2006/relationships/hyperlink" Target="https://m.media-amazon.com/images/I/51covP1YufL._AC_US600_.jpg" TargetMode="External"/><Relationship Id="rId294" Type="http://schemas.openxmlformats.org/officeDocument/2006/relationships/hyperlink" Target="https://www.amazon.com/dp/B0B3JHGSZS?psc=1" TargetMode="External"/><Relationship Id="rId293" Type="http://schemas.openxmlformats.org/officeDocument/2006/relationships/hyperlink" Target="https://images-na.ssl-images-amazon.com/images/I/41xSMcJLTOL._AC_US600_.jpg" TargetMode="External"/><Relationship Id="rId292" Type="http://schemas.openxmlformats.org/officeDocument/2006/relationships/hyperlink" Target="https://www.amazon.com/dp/B08FTLBL29?psc=1" TargetMode="External"/><Relationship Id="rId291" Type="http://schemas.openxmlformats.org/officeDocument/2006/relationships/hyperlink" Target="https://images-na.ssl-images-amazon.com/images/I/51AzCYj9HyL._AC_US600_.jpg" TargetMode="External"/><Relationship Id="rId290" Type="http://schemas.openxmlformats.org/officeDocument/2006/relationships/hyperlink" Target="https://www.amazon.com/dp/B09VKYGBQJ?psc=1" TargetMode="External"/><Relationship Id="rId29" Type="http://schemas.openxmlformats.org/officeDocument/2006/relationships/hyperlink" Target="https://images-na.ssl-images-amazon.com/images/I/51lqoRxpKAL._AC_US600_.jpg" TargetMode="External"/><Relationship Id="rId289" Type="http://schemas.openxmlformats.org/officeDocument/2006/relationships/hyperlink" Target="https://images-na.ssl-images-amazon.com/images/I/418TOd4vjVL._AC_US600_.jpg" TargetMode="External"/><Relationship Id="rId288" Type="http://schemas.openxmlformats.org/officeDocument/2006/relationships/hyperlink" Target="https://www.amazon.com/dp/B08WYQJ53B?psc=1" TargetMode="External"/><Relationship Id="rId287" Type="http://schemas.openxmlformats.org/officeDocument/2006/relationships/hyperlink" Target="https://images-na.ssl-images-amazon.com/images/I/61C5TzZzUlL._AC_US600_.jpg" TargetMode="External"/><Relationship Id="rId286" Type="http://schemas.openxmlformats.org/officeDocument/2006/relationships/hyperlink" Target="https://www.amazon.com/dp/B09TQC3CJR?psc=1" TargetMode="External"/><Relationship Id="rId285" Type="http://schemas.openxmlformats.org/officeDocument/2006/relationships/hyperlink" Target="https://images-na.ssl-images-amazon.com/images/I/51GEJcm2B1S._AC_US600_.jpg" TargetMode="External"/><Relationship Id="rId284" Type="http://schemas.openxmlformats.org/officeDocument/2006/relationships/hyperlink" Target="https://www.amazon.com/dp/B09139HJGJ?psc=1" TargetMode="External"/><Relationship Id="rId283" Type="http://schemas.openxmlformats.org/officeDocument/2006/relationships/hyperlink" Target="https://images-na.ssl-images-amazon.com/images/I/51ozpk-BgNL._AC_US600_.jpg" TargetMode="External"/><Relationship Id="rId282" Type="http://schemas.openxmlformats.org/officeDocument/2006/relationships/hyperlink" Target="https://www.amazon.com/dp/B0BS599CMJ?psc=1" TargetMode="External"/><Relationship Id="rId281" Type="http://schemas.openxmlformats.org/officeDocument/2006/relationships/hyperlink" Target="https://images-na.ssl-images-amazon.com/images/I/419pJKND6fL._AC_US600_.jpg" TargetMode="External"/><Relationship Id="rId280" Type="http://schemas.openxmlformats.org/officeDocument/2006/relationships/hyperlink" Target="https://www.amazon.com/dp/B07N9H6D9D?psc=1" TargetMode="External"/><Relationship Id="rId28" Type="http://schemas.openxmlformats.org/officeDocument/2006/relationships/hyperlink" Target="https://www.amazon.com/dp/B07SCGY2H6?psc=1" TargetMode="External"/><Relationship Id="rId279" Type="http://schemas.openxmlformats.org/officeDocument/2006/relationships/hyperlink" Target="https://images-na.ssl-images-amazon.com/images/I/51w12X416yL._AC_US600_.jpg" TargetMode="External"/><Relationship Id="rId278" Type="http://schemas.openxmlformats.org/officeDocument/2006/relationships/hyperlink" Target="https://www.amazon.com/dp/B0BQJ6Y3TW?psc=1" TargetMode="External"/><Relationship Id="rId277" Type="http://schemas.openxmlformats.org/officeDocument/2006/relationships/hyperlink" Target="https://images-na.ssl-images-amazon.com/images/I/41GYCUDUqbL._AC_US600_.jpg" TargetMode="External"/><Relationship Id="rId276" Type="http://schemas.openxmlformats.org/officeDocument/2006/relationships/hyperlink" Target="https://www.amazon.com/dp/B0BMP7ZK4T?psc=1" TargetMode="External"/><Relationship Id="rId275" Type="http://schemas.openxmlformats.org/officeDocument/2006/relationships/hyperlink" Target="https://images-na.ssl-images-amazon.com/images/I/41L96sAtJ9L._AC_US600_.jpg" TargetMode="External"/><Relationship Id="rId274" Type="http://schemas.openxmlformats.org/officeDocument/2006/relationships/hyperlink" Target="https://www.amazon.com/dp/B092ZHXM37?psc=1" TargetMode="External"/><Relationship Id="rId273" Type="http://schemas.openxmlformats.org/officeDocument/2006/relationships/hyperlink" Target="https://m.media-amazon.com/images/I/4109SBDZg1L._AC_US600_.jpg" TargetMode="External"/><Relationship Id="rId272" Type="http://schemas.openxmlformats.org/officeDocument/2006/relationships/hyperlink" Target="https://www.amazon.com/dp/B08QM92YBH?psc=1" TargetMode="External"/><Relationship Id="rId271" Type="http://schemas.openxmlformats.org/officeDocument/2006/relationships/hyperlink" Target="https://images-na.ssl-images-amazon.com/images/I/41jpDorOqRL._AC_US600_.jpg" TargetMode="External"/><Relationship Id="rId270" Type="http://schemas.openxmlformats.org/officeDocument/2006/relationships/hyperlink" Target="https://www.amazon.com/dp/B089GJXTXF?psc=1" TargetMode="External"/><Relationship Id="rId27" Type="http://schemas.openxmlformats.org/officeDocument/2006/relationships/hyperlink" Target="https://images-na.ssl-images-amazon.com/images/I/41kv0O2RO5L._AC_US600_.jpg" TargetMode="External"/><Relationship Id="rId269" Type="http://schemas.openxmlformats.org/officeDocument/2006/relationships/hyperlink" Target="https://images-na.ssl-images-amazon.com/images/I/41ryaxSKz8L._AC_US600_.jpg" TargetMode="External"/><Relationship Id="rId268" Type="http://schemas.openxmlformats.org/officeDocument/2006/relationships/hyperlink" Target="https://www.amazon.com/dp/B09X5BK8TF?psc=1" TargetMode="External"/><Relationship Id="rId267" Type="http://schemas.openxmlformats.org/officeDocument/2006/relationships/hyperlink" Target="https://m.media-amazon.com/images/W/IMAGERENDERING_521856-T2/images/I/31yPH5v0BCS._AC_US600_.jpg" TargetMode="External"/><Relationship Id="rId266" Type="http://schemas.openxmlformats.org/officeDocument/2006/relationships/hyperlink" Target="https://www.amazon.com/dp/B08P2PPD6W?psc=1" TargetMode="External"/><Relationship Id="rId265" Type="http://schemas.openxmlformats.org/officeDocument/2006/relationships/hyperlink" Target="https://m.media-amazon.com/images/I/51ZmqVqG7uS._AC_US600_.jpg" TargetMode="External"/><Relationship Id="rId264" Type="http://schemas.openxmlformats.org/officeDocument/2006/relationships/hyperlink" Target="https://www.amazon.com/dp/B0936MKPT8?psc=1" TargetMode="External"/><Relationship Id="rId263" Type="http://schemas.openxmlformats.org/officeDocument/2006/relationships/hyperlink" Target="https://m.media-amazon.com/images/I/413HNtfoR7L._AC_US600_.jpg" TargetMode="External"/><Relationship Id="rId262" Type="http://schemas.openxmlformats.org/officeDocument/2006/relationships/hyperlink" Target="https://www.amazon.com/dp/B07XQKK2MB?psc=1" TargetMode="External"/><Relationship Id="rId261" Type="http://schemas.openxmlformats.org/officeDocument/2006/relationships/hyperlink" Target="https://images-na.ssl-images-amazon.com/images/I/51m3Mcq7EEL._AC_US600_.jpg" TargetMode="External"/><Relationship Id="rId260" Type="http://schemas.openxmlformats.org/officeDocument/2006/relationships/hyperlink" Target="https://www.amazon.com/dp/B08R68562Y?psc=1" TargetMode="External"/><Relationship Id="rId26" Type="http://schemas.openxmlformats.org/officeDocument/2006/relationships/hyperlink" Target="https://www.amazon.com/dp/B075X3287P?psc=1" TargetMode="External"/><Relationship Id="rId259" Type="http://schemas.openxmlformats.org/officeDocument/2006/relationships/hyperlink" Target="https://m.media-amazon.com/images/I/51N0x14n+AL._AC_US600_.jpg" TargetMode="External"/><Relationship Id="rId258" Type="http://schemas.openxmlformats.org/officeDocument/2006/relationships/hyperlink" Target="https://www.amazon.com/dp/B0BVVCQPP9?psc=1" TargetMode="External"/><Relationship Id="rId257" Type="http://schemas.openxmlformats.org/officeDocument/2006/relationships/hyperlink" Target="https://images-na.ssl-images-amazon.com/images/I/31ADxxI3XjL._AC_US600_.jpg" TargetMode="External"/><Relationship Id="rId256" Type="http://schemas.openxmlformats.org/officeDocument/2006/relationships/hyperlink" Target="https://www.amazon.com/dp/B08CY6ZPCW?psc=1" TargetMode="External"/><Relationship Id="rId255" Type="http://schemas.openxmlformats.org/officeDocument/2006/relationships/hyperlink" Target="https://images-na.ssl-images-amazon.com/images/I/41lbBkQw9eL._AC_US600_.jpg" TargetMode="External"/><Relationship Id="rId254" Type="http://schemas.openxmlformats.org/officeDocument/2006/relationships/hyperlink" Target="https://www.amazon.com/dp/B07Z9HNYQ9?psc=1" TargetMode="External"/><Relationship Id="rId253" Type="http://schemas.openxmlformats.org/officeDocument/2006/relationships/hyperlink" Target="https://images-na.ssl-images-amazon.com/images/I/41oyDNvYsGL._AC_US600_.jpg" TargetMode="External"/><Relationship Id="rId252" Type="http://schemas.openxmlformats.org/officeDocument/2006/relationships/hyperlink" Target="https://www.amazon.com/dp/B07V39R29T?psc=1" TargetMode="External"/><Relationship Id="rId251" Type="http://schemas.openxmlformats.org/officeDocument/2006/relationships/hyperlink" Target="https://images-na.ssl-images-amazon.com/images/I/41iZ4j7pCQL._AC_US600_.jpg" TargetMode="External"/><Relationship Id="rId250" Type="http://schemas.openxmlformats.org/officeDocument/2006/relationships/hyperlink" Target="https://www.amazon.com/dp/B0B1MD5HBN?psc=1" TargetMode="External"/><Relationship Id="rId25" Type="http://schemas.openxmlformats.org/officeDocument/2006/relationships/hyperlink" Target="https://images-na.ssl-images-amazon.com/images/I/31rlJFuHaWL._AC_US600_.jpg" TargetMode="External"/><Relationship Id="rId249" Type="http://schemas.openxmlformats.org/officeDocument/2006/relationships/hyperlink" Target="https://images-na.ssl-images-amazon.com/images/I/41Vufu1KwhL._AC_US600_.jpg" TargetMode="External"/><Relationship Id="rId248" Type="http://schemas.openxmlformats.org/officeDocument/2006/relationships/hyperlink" Target="https://www.amazon.com/dp/B07Z1R5D26?psc=1" TargetMode="External"/><Relationship Id="rId247" Type="http://schemas.openxmlformats.org/officeDocument/2006/relationships/hyperlink" Target="https://images-na.ssl-images-amazon.com/images/I/616e+YnFBoS._AC_US600_.jpg" TargetMode="External"/><Relationship Id="rId246" Type="http://schemas.openxmlformats.org/officeDocument/2006/relationships/hyperlink" Target="https://www.amazon.com/dp/B0893RB4BH?psc=1" TargetMode="External"/><Relationship Id="rId245" Type="http://schemas.openxmlformats.org/officeDocument/2006/relationships/hyperlink" Target="https://images-na.ssl-images-amazon.com/images/I/41i6RaTZPWL._AC_US600_.jpg" TargetMode="External"/><Relationship Id="rId244" Type="http://schemas.openxmlformats.org/officeDocument/2006/relationships/hyperlink" Target="https://www.amazon.com/dp/B0B18MBRHD?psc=1" TargetMode="External"/><Relationship Id="rId243" Type="http://schemas.openxmlformats.org/officeDocument/2006/relationships/hyperlink" Target="https://images-na.ssl-images-amazon.com/images/I/41UKs3XQkmL._AC_US600_.jpg" TargetMode="External"/><Relationship Id="rId242" Type="http://schemas.openxmlformats.org/officeDocument/2006/relationships/hyperlink" Target="https://www.amazon.com/dp/B0BPLG5GFW?psc=1" TargetMode="External"/><Relationship Id="rId241" Type="http://schemas.openxmlformats.org/officeDocument/2006/relationships/hyperlink" Target="https://images-na.ssl-images-amazon.com/images/I/51Z9ph1oLoL._AC_US600_.jpg" TargetMode="External"/><Relationship Id="rId240" Type="http://schemas.openxmlformats.org/officeDocument/2006/relationships/hyperlink" Target="https://www.amazon.com/dp/B09NS522NG?psc=1" TargetMode="External"/><Relationship Id="rId24" Type="http://schemas.openxmlformats.org/officeDocument/2006/relationships/hyperlink" Target="https://www.amazon.com/dp/B089TQWJKK?psc=1" TargetMode="External"/><Relationship Id="rId239" Type="http://schemas.openxmlformats.org/officeDocument/2006/relationships/hyperlink" Target="https://m.media-amazon.com/images/I/41K7k9nX6sL._AC_US600_.jpg" TargetMode="External"/><Relationship Id="rId238" Type="http://schemas.openxmlformats.org/officeDocument/2006/relationships/hyperlink" Target="https://www.amazon.com/dp/B09696JZVR?psc=1" TargetMode="External"/><Relationship Id="rId237" Type="http://schemas.openxmlformats.org/officeDocument/2006/relationships/hyperlink" Target="https://images-na.ssl-images-amazon.com/images/I/41Eimf3muML._AC_US600_.jpg" TargetMode="External"/><Relationship Id="rId236" Type="http://schemas.openxmlformats.org/officeDocument/2006/relationships/hyperlink" Target="https://www.amazon.com/dp/B09871GCN1?psc=1" TargetMode="External"/><Relationship Id="rId235" Type="http://schemas.openxmlformats.org/officeDocument/2006/relationships/hyperlink" Target="https://images-na.ssl-images-amazon.com/images/I/51Dc8o0n62L._AC_US600_.jpg" TargetMode="External"/><Relationship Id="rId234" Type="http://schemas.openxmlformats.org/officeDocument/2006/relationships/hyperlink" Target="https://www.amazon.com/dp/B0BKH3GB4Q?psc=1" TargetMode="External"/><Relationship Id="rId233" Type="http://schemas.openxmlformats.org/officeDocument/2006/relationships/hyperlink" Target="https://images-na.ssl-images-amazon.com/images/I/41zlAqz5EQS._AC_US600_.jpg" TargetMode="External"/><Relationship Id="rId232" Type="http://schemas.openxmlformats.org/officeDocument/2006/relationships/hyperlink" Target="https://www.amazon.com/dp/B06XYKVPLS?psc=1" TargetMode="External"/><Relationship Id="rId231" Type="http://schemas.openxmlformats.org/officeDocument/2006/relationships/hyperlink" Target="https://m.media-amazon.com/images/W/IMAGERENDERING_521856-T1/images/I/41uMb4vYYiL._AC_US600_.jpg" TargetMode="External"/><Relationship Id="rId230" Type="http://schemas.openxmlformats.org/officeDocument/2006/relationships/hyperlink" Target="https://www.amazon.com/dp/B0B52885M9?psc=1" TargetMode="External"/><Relationship Id="rId23" Type="http://schemas.openxmlformats.org/officeDocument/2006/relationships/hyperlink" Target="https://images-na.ssl-images-amazon.com/images/I/4176C1ZTLJL._AC_US600_.jpg" TargetMode="External"/><Relationship Id="rId229" Type="http://schemas.openxmlformats.org/officeDocument/2006/relationships/hyperlink" Target="https://images-na.ssl-images-amazon.com/images/I/51Pp7HEnMDL._AC_US600_.jpg" TargetMode="External"/><Relationship Id="rId228" Type="http://schemas.openxmlformats.org/officeDocument/2006/relationships/hyperlink" Target="https://www.amazon.com/dp/B08HPQ384Y?psc=1" TargetMode="External"/><Relationship Id="rId227" Type="http://schemas.openxmlformats.org/officeDocument/2006/relationships/hyperlink" Target="https://images-na.ssl-images-amazon.com/images/I/514XT9luXRL._AC_US600_.jpg" TargetMode="External"/><Relationship Id="rId226" Type="http://schemas.openxmlformats.org/officeDocument/2006/relationships/hyperlink" Target="https://www.amazon.com/dp/B0B94K541Q?psc=1" TargetMode="External"/><Relationship Id="rId225" Type="http://schemas.openxmlformats.org/officeDocument/2006/relationships/hyperlink" Target="https://images-na.ssl-images-amazon.com/images/I/31oBMRVPbJS._AC_US600_.jpg" TargetMode="External"/><Relationship Id="rId224" Type="http://schemas.openxmlformats.org/officeDocument/2006/relationships/hyperlink" Target="https://www.amazon.com/dp/B08P27RFLB?psc=1" TargetMode="External"/><Relationship Id="rId223" Type="http://schemas.openxmlformats.org/officeDocument/2006/relationships/hyperlink" Target="https://images-na.ssl-images-amazon.com/images/I/41itlVcI-8L._AC_US600_.jpg" TargetMode="External"/><Relationship Id="rId222" Type="http://schemas.openxmlformats.org/officeDocument/2006/relationships/hyperlink" Target="https://www.amazon.com/dp/B09B9K9552?psc=1" TargetMode="External"/><Relationship Id="rId221" Type="http://schemas.openxmlformats.org/officeDocument/2006/relationships/hyperlink" Target="https://images-na.ssl-images-amazon.com/images/I/41XooFogX3S._AC_US600_.jpg" TargetMode="External"/><Relationship Id="rId220" Type="http://schemas.openxmlformats.org/officeDocument/2006/relationships/hyperlink" Target="https://www.amazon.com/dp/B087WW1W78?psc=1" TargetMode="External"/><Relationship Id="rId22" Type="http://schemas.openxmlformats.org/officeDocument/2006/relationships/hyperlink" Target="https://www.amazon.com/dp/B09MR49K1D?psc=1" TargetMode="External"/><Relationship Id="rId219" Type="http://schemas.openxmlformats.org/officeDocument/2006/relationships/hyperlink" Target="https://images-na.ssl-images-amazon.com/images/I/51cjHLNNdfL._AC_US600_.jpg" TargetMode="External"/><Relationship Id="rId218" Type="http://schemas.openxmlformats.org/officeDocument/2006/relationships/hyperlink" Target="https://www.amazon.com/dp/B08739L374?psc=1" TargetMode="External"/><Relationship Id="rId217" Type="http://schemas.openxmlformats.org/officeDocument/2006/relationships/hyperlink" Target="https://m.media-amazon.com/images/I/51wkIrk1KRL._AC_US200_.jpg" TargetMode="External"/><Relationship Id="rId216" Type="http://schemas.openxmlformats.org/officeDocument/2006/relationships/hyperlink" Target="https://www.amazon.com/dp/1950099385?psc=1" TargetMode="External"/><Relationship Id="rId215" Type="http://schemas.openxmlformats.org/officeDocument/2006/relationships/hyperlink" Target="https://m.media-amazon.com/images/I/41MMVnAeq+L._AC_US600_.jpg" TargetMode="External"/><Relationship Id="rId214" Type="http://schemas.openxmlformats.org/officeDocument/2006/relationships/hyperlink" Target="https://www.amazon.com/dp/B09Y12NVC2?psc=1" TargetMode="External"/><Relationship Id="rId213" Type="http://schemas.openxmlformats.org/officeDocument/2006/relationships/hyperlink" Target="https://images-na.ssl-images-amazon.com/images/I/51TJcRe+XLL._AC_US600_.jpg" TargetMode="External"/><Relationship Id="rId212" Type="http://schemas.openxmlformats.org/officeDocument/2006/relationships/hyperlink" Target="https://www.amazon.com/dp/B07DBNSCFW?psc=1" TargetMode="External"/><Relationship Id="rId211" Type="http://schemas.openxmlformats.org/officeDocument/2006/relationships/hyperlink" Target="https://images-na.ssl-images-amazon.com/images/I/41Bh+8iMurL._AC_US600_.jpg" TargetMode="External"/><Relationship Id="rId210" Type="http://schemas.openxmlformats.org/officeDocument/2006/relationships/hyperlink" Target="https://www.amazon.com/dp/B086GWG6BG?psc=1" TargetMode="External"/><Relationship Id="rId21" Type="http://schemas.openxmlformats.org/officeDocument/2006/relationships/hyperlink" Target="https://images-na.ssl-images-amazon.com/images/I/51AXChaatIL._AC_US600_.jpg" TargetMode="External"/><Relationship Id="rId209" Type="http://schemas.openxmlformats.org/officeDocument/2006/relationships/hyperlink" Target="https://images-na.ssl-images-amazon.com/images/I/51BtVuritGL._AC_US600_.jpg" TargetMode="External"/><Relationship Id="rId208" Type="http://schemas.openxmlformats.org/officeDocument/2006/relationships/hyperlink" Target="https://www.amazon.com/dp/B08TWB9L5P?psc=1" TargetMode="External"/><Relationship Id="rId207" Type="http://schemas.openxmlformats.org/officeDocument/2006/relationships/hyperlink" Target="https://m.media-amazon.com/images/I/61PY7xJYKRL._AC_US600_.jpg" TargetMode="External"/><Relationship Id="rId206" Type="http://schemas.openxmlformats.org/officeDocument/2006/relationships/hyperlink" Target="https://www.amazon.com/dp/B0B3SHYNBG?psc=1" TargetMode="External"/><Relationship Id="rId205" Type="http://schemas.openxmlformats.org/officeDocument/2006/relationships/hyperlink" Target="https://images-na.ssl-images-amazon.com/images/I/31hes0z4e1L._AC_US600_.jpg" TargetMode="External"/><Relationship Id="rId204" Type="http://schemas.openxmlformats.org/officeDocument/2006/relationships/hyperlink" Target="https://www.amazon.com/dp/B084B7PF4K?psc=1" TargetMode="External"/><Relationship Id="rId203" Type="http://schemas.openxmlformats.org/officeDocument/2006/relationships/hyperlink" Target="https://images-na.ssl-images-amazon.com/images/I/41Kx73WvRML._AC_US600_.jpg" TargetMode="External"/><Relationship Id="rId202" Type="http://schemas.openxmlformats.org/officeDocument/2006/relationships/hyperlink" Target="https://www.amazon.com/dp/B086K1T4JJ?psc=1" TargetMode="External"/><Relationship Id="rId201" Type="http://schemas.openxmlformats.org/officeDocument/2006/relationships/hyperlink" Target="https://images-na.ssl-images-amazon.com/images/I/418+jnE43GL._AC_US600_.jpg" TargetMode="External"/><Relationship Id="rId200" Type="http://schemas.openxmlformats.org/officeDocument/2006/relationships/hyperlink" Target="https://www.amazon.com/dp/B01LX9T6HF?psc=1" TargetMode="External"/><Relationship Id="rId20" Type="http://schemas.openxmlformats.org/officeDocument/2006/relationships/hyperlink" Target="https://www.amazon.com/dp/B074VJVKH5?psc=1" TargetMode="External"/><Relationship Id="rId2" Type="http://schemas.openxmlformats.org/officeDocument/2006/relationships/hyperlink" Target="https://www.amazon.com/dp/B07FDJMC9Q?psc=1" TargetMode="External"/><Relationship Id="rId199" Type="http://schemas.openxmlformats.org/officeDocument/2006/relationships/hyperlink" Target="https://images-na.ssl-images-amazon.com/images/I/41UTCIgF3RL._AC_US600_.jpg" TargetMode="External"/><Relationship Id="rId198" Type="http://schemas.openxmlformats.org/officeDocument/2006/relationships/hyperlink" Target="https://www.amazon.com/dp/B08KXTDBQC?psc=1" TargetMode="External"/><Relationship Id="rId197" Type="http://schemas.openxmlformats.org/officeDocument/2006/relationships/hyperlink" Target="https://images-na.ssl-images-amazon.com/images/I/41Q4s94S0uL._AC_US600_.jpg" TargetMode="External"/><Relationship Id="rId196" Type="http://schemas.openxmlformats.org/officeDocument/2006/relationships/hyperlink" Target="https://www.amazon.com/dp/B076FPT78K?psc=1" TargetMode="External"/><Relationship Id="rId195" Type="http://schemas.openxmlformats.org/officeDocument/2006/relationships/hyperlink" Target="https://m.media-amazon.com/images/I/51WhsyhjoiL._AC_US600_.jpg" TargetMode="External"/><Relationship Id="rId194" Type="http://schemas.openxmlformats.org/officeDocument/2006/relationships/hyperlink" Target="https://www.amazon.com/dp/B0B1CZ57FF?psc=1" TargetMode="External"/><Relationship Id="rId193" Type="http://schemas.openxmlformats.org/officeDocument/2006/relationships/hyperlink" Target="https://images-na.ssl-images-amazon.com/images/I/41kb9+9AjPL._AC_US600_.jpg" TargetMode="External"/><Relationship Id="rId192" Type="http://schemas.openxmlformats.org/officeDocument/2006/relationships/hyperlink" Target="https://www.amazon.com/dp/B0B3G8V6MV?psc=1" TargetMode="External"/><Relationship Id="rId191" Type="http://schemas.openxmlformats.org/officeDocument/2006/relationships/hyperlink" Target="https://m.media-amazon.com/images/W/IMAGERENDERING_521856-T2/images/I/41LNy6LgobL._AC_US600_.jpg" TargetMode="External"/><Relationship Id="rId190" Type="http://schemas.openxmlformats.org/officeDocument/2006/relationships/hyperlink" Target="https://www.amazon.com/dp/B0B42HSLFQ?psc=1" TargetMode="External"/><Relationship Id="rId19" Type="http://schemas.openxmlformats.org/officeDocument/2006/relationships/hyperlink" Target="https://images-na.ssl-images-amazon.com/images/I/41ZQmtXww2L._AC_US600_.jpg" TargetMode="External"/><Relationship Id="rId189" Type="http://schemas.openxmlformats.org/officeDocument/2006/relationships/hyperlink" Target="https://images-na.ssl-images-amazon.com/images/I/41RUxUeb1SL._AC_US600_.jpg" TargetMode="External"/><Relationship Id="rId188" Type="http://schemas.openxmlformats.org/officeDocument/2006/relationships/hyperlink" Target="https://www.amazon.com/dp/B09DYPNPV4?psc=1" TargetMode="External"/><Relationship Id="rId187" Type="http://schemas.openxmlformats.org/officeDocument/2006/relationships/hyperlink" Target="https://images-na.ssl-images-amazon.com/images/I/516+29sy+uL._AC_US600_.jpg" TargetMode="External"/><Relationship Id="rId186" Type="http://schemas.openxmlformats.org/officeDocument/2006/relationships/hyperlink" Target="https://www.amazon.com/dp/B08G5CH2HR?psc=1" TargetMode="External"/><Relationship Id="rId185" Type="http://schemas.openxmlformats.org/officeDocument/2006/relationships/hyperlink" Target="https://images-na.ssl-images-amazon.com/images/I/419w5-1jmOL._AC_US600_.jpg" TargetMode="External"/><Relationship Id="rId184" Type="http://schemas.openxmlformats.org/officeDocument/2006/relationships/hyperlink" Target="https://www.amazon.com/dp/B08L3SW8DZ?psc=1" TargetMode="External"/><Relationship Id="rId183" Type="http://schemas.openxmlformats.org/officeDocument/2006/relationships/hyperlink" Target="https://images-na.ssl-images-amazon.com/images/I/610-Wi7DvML._AC_US600_.jpg" TargetMode="External"/><Relationship Id="rId182" Type="http://schemas.openxmlformats.org/officeDocument/2006/relationships/hyperlink" Target="https://www.amazon.com/dp/B07PMM3MMH?psc=1" TargetMode="External"/><Relationship Id="rId181" Type="http://schemas.openxmlformats.org/officeDocument/2006/relationships/hyperlink" Target="https://images-na.ssl-images-amazon.com/images/I/51DaREWGV9L._AC_US600_.jpg" TargetMode="External"/><Relationship Id="rId180" Type="http://schemas.openxmlformats.org/officeDocument/2006/relationships/hyperlink" Target="https://www.amazon.com/dp/B0BR4ZYSRF?psc=1" TargetMode="External"/><Relationship Id="rId18" Type="http://schemas.openxmlformats.org/officeDocument/2006/relationships/hyperlink" Target="https://www.amazon.com/dp/B0815KJCM1?psc=1" TargetMode="External"/><Relationship Id="rId179" Type="http://schemas.openxmlformats.org/officeDocument/2006/relationships/hyperlink" Target="https://m.media-amazon.com/images/W/IMAGERENDERING_521856-T1/images/I/41VVyif1syL._AC_US600_.jpg" TargetMode="External"/><Relationship Id="rId178" Type="http://schemas.openxmlformats.org/officeDocument/2006/relationships/hyperlink" Target="https://www.amazon.com/dp/B081PGHZGR?psc=1" TargetMode="External"/><Relationship Id="rId177" Type="http://schemas.openxmlformats.org/officeDocument/2006/relationships/hyperlink" Target="https://images-na.ssl-images-amazon.com/images/I/51p7DpMN9bL._AC_US600_.jpg" TargetMode="External"/><Relationship Id="rId176" Type="http://schemas.openxmlformats.org/officeDocument/2006/relationships/hyperlink" Target="https://www.amazon.com/dp/B097PCDBRR?psc=1" TargetMode="External"/><Relationship Id="rId175" Type="http://schemas.openxmlformats.org/officeDocument/2006/relationships/hyperlink" Target="https://images-na.ssl-images-amazon.com/images/I/41wkF4drYML._AC_US600_.jpg" TargetMode="External"/><Relationship Id="rId174" Type="http://schemas.openxmlformats.org/officeDocument/2006/relationships/hyperlink" Target="https://www.amazon.com/dp/B08NSVZY1K?psc=1" TargetMode="External"/><Relationship Id="rId173" Type="http://schemas.openxmlformats.org/officeDocument/2006/relationships/hyperlink" Target="https://images-na.ssl-images-amazon.com/images/I/41WjXoD4znL._AC_US600_.jpg" TargetMode="External"/><Relationship Id="rId172" Type="http://schemas.openxmlformats.org/officeDocument/2006/relationships/hyperlink" Target="https://www.amazon.com/dp/B0BD4BYR11?psc=1" TargetMode="External"/><Relationship Id="rId171" Type="http://schemas.openxmlformats.org/officeDocument/2006/relationships/hyperlink" Target="https://images-na.ssl-images-amazon.com/images/I/41Ie-5jgNBL._AC_US600_.jpg" TargetMode="External"/><Relationship Id="rId170" Type="http://schemas.openxmlformats.org/officeDocument/2006/relationships/hyperlink" Target="https://www.amazon.com/dp/B07GNSHPBQ?psc=1" TargetMode="External"/><Relationship Id="rId17" Type="http://schemas.openxmlformats.org/officeDocument/2006/relationships/hyperlink" Target="https://m.media-amazon.com/images/I/51gVe2W29nL._AC_US600_.jpg" TargetMode="External"/><Relationship Id="rId169" Type="http://schemas.openxmlformats.org/officeDocument/2006/relationships/hyperlink" Target="https://images-na.ssl-images-amazon.com/images/I/51DFrKWE3+L._AC_US600_.jpg" TargetMode="External"/><Relationship Id="rId168" Type="http://schemas.openxmlformats.org/officeDocument/2006/relationships/hyperlink" Target="https://www.amazon.com/dp/B0BG2MGDXN?psc=1" TargetMode="External"/><Relationship Id="rId167" Type="http://schemas.openxmlformats.org/officeDocument/2006/relationships/hyperlink" Target="https://images-na.ssl-images-amazon.com/images/I/41gnPXQ60DL._AC_US600_.jpg" TargetMode="External"/><Relationship Id="rId166" Type="http://schemas.openxmlformats.org/officeDocument/2006/relationships/hyperlink" Target="https://www.amazon.com/dp/B083TGW7DN?psc=1" TargetMode="External"/><Relationship Id="rId165" Type="http://schemas.openxmlformats.org/officeDocument/2006/relationships/hyperlink" Target="https://images-na.ssl-images-amazon.com/images/I/41EXcFBZ2uL._AC_US600_.jpg" TargetMode="External"/><Relationship Id="rId164" Type="http://schemas.openxmlformats.org/officeDocument/2006/relationships/hyperlink" Target="https://www.amazon.com/dp/B08PNHBCTL?psc=1" TargetMode="External"/><Relationship Id="rId163" Type="http://schemas.openxmlformats.org/officeDocument/2006/relationships/hyperlink" Target="https://images-na.ssl-images-amazon.com/images/I/41nnl0IYwmL._AC_US600_.jpg" TargetMode="External"/><Relationship Id="rId162" Type="http://schemas.openxmlformats.org/officeDocument/2006/relationships/hyperlink" Target="https://www.amazon.com/dp/B0BF4TCX6J?psc=1" TargetMode="External"/><Relationship Id="rId161" Type="http://schemas.openxmlformats.org/officeDocument/2006/relationships/hyperlink" Target="https://m.media-amazon.com/images/I/31nldc5I5qL._AC_US600_.jpg" TargetMode="External"/><Relationship Id="rId160" Type="http://schemas.openxmlformats.org/officeDocument/2006/relationships/hyperlink" Target="https://www.amazon.com/dp/B08NCHMH1L?psc=1" TargetMode="External"/><Relationship Id="rId16" Type="http://schemas.openxmlformats.org/officeDocument/2006/relationships/hyperlink" Target="https://www.amazon.com/dp/B0BLYJZZ87?psc=1" TargetMode="External"/><Relationship Id="rId159" Type="http://schemas.openxmlformats.org/officeDocument/2006/relationships/hyperlink" Target="https://images-na.ssl-images-amazon.com/images/I/51B7UIiB95L._AC_US600_.jpg" TargetMode="External"/><Relationship Id="rId158" Type="http://schemas.openxmlformats.org/officeDocument/2006/relationships/hyperlink" Target="https://www.amazon.com/dp/B01L7TOZJO?psc=1" TargetMode="External"/><Relationship Id="rId157" Type="http://schemas.openxmlformats.org/officeDocument/2006/relationships/hyperlink" Target="https://images-na.ssl-images-amazon.com/images/I/51e2Fp15xnL._AC_US600_.jpg" TargetMode="External"/><Relationship Id="rId156" Type="http://schemas.openxmlformats.org/officeDocument/2006/relationships/hyperlink" Target="https://www.amazon.com/dp/B07XF4HW8G?psc=1" TargetMode="External"/><Relationship Id="rId155" Type="http://schemas.openxmlformats.org/officeDocument/2006/relationships/hyperlink" Target="https://m.media-amazon.com/images/I/616n2LE4ghL._AC_US600_.jpg" TargetMode="External"/><Relationship Id="rId154" Type="http://schemas.openxmlformats.org/officeDocument/2006/relationships/hyperlink" Target="https://www.amazon.com/dp/B0BKPT8QCL?psc=1" TargetMode="External"/><Relationship Id="rId153" Type="http://schemas.openxmlformats.org/officeDocument/2006/relationships/hyperlink" Target="https://images-na.ssl-images-amazon.com/images/I/41xpc1obGyL._AC_US600_.jpg" TargetMode="External"/><Relationship Id="rId152" Type="http://schemas.openxmlformats.org/officeDocument/2006/relationships/hyperlink" Target="https://www.amazon.com/dp/B0B7C28KPT?psc=1" TargetMode="External"/><Relationship Id="rId151" Type="http://schemas.openxmlformats.org/officeDocument/2006/relationships/hyperlink" Target="https://images-na.ssl-images-amazon.com/images/I/416HZaiHMcL._AC_US600_.jpg" TargetMode="External"/><Relationship Id="rId150" Type="http://schemas.openxmlformats.org/officeDocument/2006/relationships/hyperlink" Target="https://www.amazon.com/dp/B09BZVQNTC?psc=1" TargetMode="External"/><Relationship Id="rId15" Type="http://schemas.openxmlformats.org/officeDocument/2006/relationships/hyperlink" Target="https://images-na.ssl-images-amazon.com/images/I/31VZzB+Y2+L._AC_US600_.jpg" TargetMode="External"/><Relationship Id="rId149" Type="http://schemas.openxmlformats.org/officeDocument/2006/relationships/hyperlink" Target="https://images-na.ssl-images-amazon.com/images/I/41-nj5fRENL._AC_US600_.jpg" TargetMode="External"/><Relationship Id="rId148" Type="http://schemas.openxmlformats.org/officeDocument/2006/relationships/hyperlink" Target="https://www.amazon.com/dp/B0853CR7LG?psc=1" TargetMode="External"/><Relationship Id="rId147" Type="http://schemas.openxmlformats.org/officeDocument/2006/relationships/hyperlink" Target="https://images-na.ssl-images-amazon.com/images/I/41CU7z7y-ML._AC_US600_.jpg" TargetMode="External"/><Relationship Id="rId146" Type="http://schemas.openxmlformats.org/officeDocument/2006/relationships/hyperlink" Target="https://www.amazon.com/dp/B08N3F9PRJ?psc=1" TargetMode="External"/><Relationship Id="rId145" Type="http://schemas.openxmlformats.org/officeDocument/2006/relationships/hyperlink" Target="https://images-na.ssl-images-amazon.com/images/I/41ctRPisslL._AC_US600_.jpg" TargetMode="External"/><Relationship Id="rId144" Type="http://schemas.openxmlformats.org/officeDocument/2006/relationships/hyperlink" Target="https://www.amazon.com/dp/B08R6GZ2KP?psc=1" TargetMode="External"/><Relationship Id="rId143" Type="http://schemas.openxmlformats.org/officeDocument/2006/relationships/hyperlink" Target="https://images-na.ssl-images-amazon.com/images/I/51sGLLlmj8L._AC_US600_.jpg" TargetMode="External"/><Relationship Id="rId142" Type="http://schemas.openxmlformats.org/officeDocument/2006/relationships/hyperlink" Target="https://www.amazon.com/dp/B07LBZGD97?psc=1" TargetMode="External"/><Relationship Id="rId141" Type="http://schemas.openxmlformats.org/officeDocument/2006/relationships/hyperlink" Target="https://m.media-amazon.com/images/I/41rnc2ha9bL._AC_US600_.jpg" TargetMode="External"/><Relationship Id="rId140" Type="http://schemas.openxmlformats.org/officeDocument/2006/relationships/hyperlink" Target="https://www.amazon.com/dp/B0BK1W9HZY?psc=1" TargetMode="External"/><Relationship Id="rId14" Type="http://schemas.openxmlformats.org/officeDocument/2006/relationships/hyperlink" Target="https://www.amazon.com/dp/B096X9LGJ1?psc=1" TargetMode="External"/><Relationship Id="rId139" Type="http://schemas.openxmlformats.org/officeDocument/2006/relationships/hyperlink" Target="https://m.media-amazon.com/images/W/IMAGERENDERING_521856-T1/images/I/41Jkp816TuL._AC_US600_.jpg" TargetMode="External"/><Relationship Id="rId138" Type="http://schemas.openxmlformats.org/officeDocument/2006/relationships/hyperlink" Target="https://www.amazon.com/dp/B07Z6RHKFV?psc=1" TargetMode="External"/><Relationship Id="rId137" Type="http://schemas.openxmlformats.org/officeDocument/2006/relationships/hyperlink" Target="https://m.media-amazon.com/images/W/IMAGERENDERING_521856-T2/images/I/414P2GL4cAL._AC_US600_.jpg" TargetMode="External"/><Relationship Id="rId136" Type="http://schemas.openxmlformats.org/officeDocument/2006/relationships/hyperlink" Target="https://www.amazon.com/dp/B08T9FBB68?psc=1" TargetMode="External"/><Relationship Id="rId135" Type="http://schemas.openxmlformats.org/officeDocument/2006/relationships/hyperlink" Target="https://images-na.ssl-images-amazon.com/images/I/41jZv9IQKtL._AC_US600_.jpg" TargetMode="External"/><Relationship Id="rId134" Type="http://schemas.openxmlformats.org/officeDocument/2006/relationships/hyperlink" Target="https://www.amazon.com/dp/B08X24LS5V?psc=1" TargetMode="External"/><Relationship Id="rId133" Type="http://schemas.openxmlformats.org/officeDocument/2006/relationships/hyperlink" Target="https://images-na.ssl-images-amazon.com/images/I/5135qxoHciL._AC_US600_.jpg" TargetMode="External"/><Relationship Id="rId132" Type="http://schemas.openxmlformats.org/officeDocument/2006/relationships/hyperlink" Target="https://www.amazon.com/dp/B09YS1RQ8J?psc=1" TargetMode="External"/><Relationship Id="rId131" Type="http://schemas.openxmlformats.org/officeDocument/2006/relationships/hyperlink" Target="https://images-na.ssl-images-amazon.com/images/I/41x1QmekmBL._AC_US600_.jpg" TargetMode="External"/><Relationship Id="rId130" Type="http://schemas.openxmlformats.org/officeDocument/2006/relationships/hyperlink" Target="https://www.amazon.com/dp/B0BBFTPTKH?psc=1" TargetMode="External"/><Relationship Id="rId13" Type="http://schemas.openxmlformats.org/officeDocument/2006/relationships/hyperlink" Target="https://images-na.ssl-images-amazon.com/images/I/41WAoH5H6NL._AC_US600_.jpg" TargetMode="External"/><Relationship Id="rId129" Type="http://schemas.openxmlformats.org/officeDocument/2006/relationships/hyperlink" Target="https://images-na.ssl-images-amazon.com/images/I/41i41ZJLGcL._AC_US600_.jpg" TargetMode="External"/><Relationship Id="rId128" Type="http://schemas.openxmlformats.org/officeDocument/2006/relationships/hyperlink" Target="https://www.amazon.com/dp/B087T8LKNC?psc=1" TargetMode="External"/><Relationship Id="rId127" Type="http://schemas.openxmlformats.org/officeDocument/2006/relationships/hyperlink" Target="https://images-na.ssl-images-amazon.com/images/I/412Pw6DoHsL._AC_US600_.jpg" TargetMode="External"/><Relationship Id="rId126" Type="http://schemas.openxmlformats.org/officeDocument/2006/relationships/hyperlink" Target="https://www.amazon.com/dp/B09XJV2739?psc=1" TargetMode="External"/><Relationship Id="rId125" Type="http://schemas.openxmlformats.org/officeDocument/2006/relationships/hyperlink" Target="https://images-na.ssl-images-amazon.com/images/I/41+QhGCYlnL._AC_US600_.jpg" TargetMode="External"/><Relationship Id="rId124" Type="http://schemas.openxmlformats.org/officeDocument/2006/relationships/hyperlink" Target="https://www.amazon.com/dp/B07X1VXQMS?psc=1" TargetMode="External"/><Relationship Id="rId123" Type="http://schemas.openxmlformats.org/officeDocument/2006/relationships/hyperlink" Target="https://m.media-amazon.com/images/I/31FWlEg5fqL._AC_US600_.jpg" TargetMode="External"/><Relationship Id="rId122" Type="http://schemas.openxmlformats.org/officeDocument/2006/relationships/hyperlink" Target="https://www.amazon.com/dp/B075BDY5WR?psc=1" TargetMode="External"/><Relationship Id="rId121" Type="http://schemas.openxmlformats.org/officeDocument/2006/relationships/hyperlink" Target="https://images-na.ssl-images-amazon.com/images/I/51qTgjsG+jL._AC_US600_.jpg" TargetMode="External"/><Relationship Id="rId120" Type="http://schemas.openxmlformats.org/officeDocument/2006/relationships/hyperlink" Target="https://www.amazon.com/dp/B0BGBMW9G5?psc=1" TargetMode="External"/><Relationship Id="rId12" Type="http://schemas.openxmlformats.org/officeDocument/2006/relationships/hyperlink" Target="https://www.amazon.com/dp/B08R6KMBQT?psc=1" TargetMode="External"/><Relationship Id="rId119" Type="http://schemas.openxmlformats.org/officeDocument/2006/relationships/hyperlink" Target="https://images-na.ssl-images-amazon.com/images/I/51chJ-m0ftL._AC_US600_.jpg" TargetMode="External"/><Relationship Id="rId118" Type="http://schemas.openxmlformats.org/officeDocument/2006/relationships/hyperlink" Target="https://www.amazon.com/dp/B07VM9SDMH?psc=1" TargetMode="External"/><Relationship Id="rId117" Type="http://schemas.openxmlformats.org/officeDocument/2006/relationships/hyperlink" Target="https://images-na.ssl-images-amazon.com/images/I/319fwckxydL._AC_US600_.jpg" TargetMode="External"/><Relationship Id="rId116" Type="http://schemas.openxmlformats.org/officeDocument/2006/relationships/hyperlink" Target="https://www.amazon.com/dp/B08FMT6N24?psc=1" TargetMode="External"/><Relationship Id="rId115" Type="http://schemas.openxmlformats.org/officeDocument/2006/relationships/hyperlink" Target="https://images-na.ssl-images-amazon.com/images/I/31mEyFByQOL._AC_US600_.jpg" TargetMode="External"/><Relationship Id="rId114" Type="http://schemas.openxmlformats.org/officeDocument/2006/relationships/hyperlink" Target="https://www.amazon.com/dp/B095Y6ZF5Q?psc=1" TargetMode="External"/><Relationship Id="rId113" Type="http://schemas.openxmlformats.org/officeDocument/2006/relationships/hyperlink" Target="https://images-na.ssl-images-amazon.com/images/I/51lFApwTvlL._AC_US600_.jpg" TargetMode="External"/><Relationship Id="rId112" Type="http://schemas.openxmlformats.org/officeDocument/2006/relationships/hyperlink" Target="https://www.amazon.com/dp/B0BF4V6584?psc=1" TargetMode="External"/><Relationship Id="rId111" Type="http://schemas.openxmlformats.org/officeDocument/2006/relationships/hyperlink" Target="https://images-na.ssl-images-amazon.com/images/I/41019YXde4L._AC_US600_.jpg" TargetMode="External"/><Relationship Id="rId110" Type="http://schemas.openxmlformats.org/officeDocument/2006/relationships/hyperlink" Target="https://www.amazon.com/dp/B08R12QZS1?psc=1" TargetMode="External"/><Relationship Id="rId11" Type="http://schemas.openxmlformats.org/officeDocument/2006/relationships/hyperlink" Target="https://images-na.ssl-images-amazon.com/images/I/41sxpx4irVL._AC_US600_.jpg" TargetMode="External"/><Relationship Id="rId109" Type="http://schemas.openxmlformats.org/officeDocument/2006/relationships/hyperlink" Target="https://images-na.ssl-images-amazon.com/images/I/41xI07RSgBL._AC_US600_.jpg" TargetMode="External"/><Relationship Id="rId108" Type="http://schemas.openxmlformats.org/officeDocument/2006/relationships/hyperlink" Target="https://www.amazon.com/dp/B0978M8136?psc=1" TargetMode="External"/><Relationship Id="rId107" Type="http://schemas.openxmlformats.org/officeDocument/2006/relationships/hyperlink" Target="https://images-na.ssl-images-amazon.com/images/I/41xJrOGz4aL._AC_US600_.jpg" TargetMode="External"/><Relationship Id="rId106" Type="http://schemas.openxmlformats.org/officeDocument/2006/relationships/hyperlink" Target="https://www.amazon.com/dp/B089NKT312?psc=1" TargetMode="External"/><Relationship Id="rId105" Type="http://schemas.openxmlformats.org/officeDocument/2006/relationships/hyperlink" Target="https://images-na.ssl-images-amazon.com/images/I/41M1ysVClKL._AC_US600_.jpg" TargetMode="External"/><Relationship Id="rId104" Type="http://schemas.openxmlformats.org/officeDocument/2006/relationships/hyperlink" Target="https://www.amazon.com/dp/B07ZWG619F?psc=1" TargetMode="External"/><Relationship Id="rId103" Type="http://schemas.openxmlformats.org/officeDocument/2006/relationships/hyperlink" Target="https://images-na.ssl-images-amazon.com/images/I/51wK1gMNZLL._AC_US600_.jpg" TargetMode="External"/><Relationship Id="rId102" Type="http://schemas.openxmlformats.org/officeDocument/2006/relationships/hyperlink" Target="https://www.amazon.com/dp/B07W67NQMN?psc=1" TargetMode="External"/><Relationship Id="rId101" Type="http://schemas.openxmlformats.org/officeDocument/2006/relationships/hyperlink" Target="https://m.media-amazon.com/images/I/51hOezlAX+L._AC_US600_.jpg" TargetMode="External"/><Relationship Id="rId100" Type="http://schemas.openxmlformats.org/officeDocument/2006/relationships/hyperlink" Target="https://www.amazon.com/dp/B09XWJ19YS?psc=1" TargetMode="External"/><Relationship Id="rId10" Type="http://schemas.openxmlformats.org/officeDocument/2006/relationships/hyperlink" Target="https://www.amazon.com/dp/B085W3GN5J?psc=1" TargetMode="Externa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99" Type="http://schemas.openxmlformats.org/officeDocument/2006/relationships/hyperlink" Target="https://www.amazon.com/dp/B08FMT6N24?psc=1" TargetMode="External"/><Relationship Id="rId98" Type="http://schemas.openxmlformats.org/officeDocument/2006/relationships/hyperlink" Target="https://images-na.ssl-images-amazon.com/images/I/31mEyFByQOL._AC_US600_.jpg" TargetMode="External"/><Relationship Id="rId97" Type="http://schemas.openxmlformats.org/officeDocument/2006/relationships/hyperlink" Target="https://www.amazon.com/dp/B095Y6ZF5Q?psc=1" TargetMode="External"/><Relationship Id="rId96" Type="http://schemas.openxmlformats.org/officeDocument/2006/relationships/hyperlink" Target="https://images-na.ssl-images-amazon.com/images/I/41019YXde4L._AC_US600_.jpg" TargetMode="External"/><Relationship Id="rId95" Type="http://schemas.openxmlformats.org/officeDocument/2006/relationships/hyperlink" Target="https://www.amazon.com/dp/B08R12QZS1?psc=1" TargetMode="External"/><Relationship Id="rId94" Type="http://schemas.openxmlformats.org/officeDocument/2006/relationships/hyperlink" Target="https://images-na.ssl-images-amazon.com/images/I/41xI07RSgBL._AC_US600_.jpg" TargetMode="External"/><Relationship Id="rId93" Type="http://schemas.openxmlformats.org/officeDocument/2006/relationships/hyperlink" Target="https://www.amazon.com/dp/B0978M8136?psc=1" TargetMode="External"/><Relationship Id="rId92" Type="http://schemas.openxmlformats.org/officeDocument/2006/relationships/hyperlink" Target="https://images-na.ssl-images-amazon.com/images/I/41xJrOGz4aL._AC_US600_.jpg" TargetMode="External"/><Relationship Id="rId91" Type="http://schemas.openxmlformats.org/officeDocument/2006/relationships/hyperlink" Target="https://www.amazon.com/dp/B089NKT312?psc=1" TargetMode="External"/><Relationship Id="rId90" Type="http://schemas.openxmlformats.org/officeDocument/2006/relationships/hyperlink" Target="https://images-na.ssl-images-amazon.com/images/I/41M1ysVClKL._AC_US600_.jpg" TargetMode="External"/><Relationship Id="rId9" Type="http://schemas.openxmlformats.org/officeDocument/2006/relationships/hyperlink" Target="https://www.amazon.com/dp/B085W3GN5J?psc=1" TargetMode="External"/><Relationship Id="rId89" Type="http://schemas.openxmlformats.org/officeDocument/2006/relationships/hyperlink" Target="https://www.amazon.com/dp/B07ZWG619F?psc=1" TargetMode="External"/><Relationship Id="rId88" Type="http://schemas.openxmlformats.org/officeDocument/2006/relationships/hyperlink" Target="https://images-na.ssl-images-amazon.com/images/I/51wK1gMNZLL._AC_US600_.jpg" TargetMode="External"/><Relationship Id="rId87" Type="http://schemas.openxmlformats.org/officeDocument/2006/relationships/hyperlink" Target="https://www.amazon.com/dp/B07W67NQMN?psc=1" TargetMode="External"/><Relationship Id="rId86" Type="http://schemas.openxmlformats.org/officeDocument/2006/relationships/hyperlink" Target="https://m.media-amazon.com/images/I/51hOezlAX+L._AC_US600_.jpg" TargetMode="External"/><Relationship Id="rId85" Type="http://schemas.openxmlformats.org/officeDocument/2006/relationships/hyperlink" Target="https://www.amazon.com/dp/B09XWJ19YS?psc=1" TargetMode="External"/><Relationship Id="rId84" Type="http://schemas.openxmlformats.org/officeDocument/2006/relationships/hyperlink" Target="https://m.media-amazon.com/images/W/IMAGERENDERING_521856-T2/images/I/41RjVllXMiL._AC_US600_.jpg" TargetMode="External"/><Relationship Id="rId83" Type="http://schemas.openxmlformats.org/officeDocument/2006/relationships/hyperlink" Target="https://www.amazon.com/dp/B092PY8F5J?psc=1" TargetMode="External"/><Relationship Id="rId82" Type="http://schemas.openxmlformats.org/officeDocument/2006/relationships/hyperlink" Target="https://images-na.ssl-images-amazon.com/images/I/5135MRrXWrL._AC_US600_.jpg" TargetMode="External"/><Relationship Id="rId81" Type="http://schemas.openxmlformats.org/officeDocument/2006/relationships/hyperlink" Target="https://www.amazon.com/dp/B08K8T3W2V?psc=1" TargetMode="External"/><Relationship Id="rId80" Type="http://schemas.openxmlformats.org/officeDocument/2006/relationships/hyperlink" Target="https://images-na.ssl-images-amazon.com/images/I/41YlA3PVYBL._AC_US600_.jpg" TargetMode="External"/><Relationship Id="rId8" Type="http://schemas.openxmlformats.org/officeDocument/2006/relationships/hyperlink" Target="https://images-na.ssl-images-amazon.com/images/I/411xmojvHOL._AC_US600_.jpg" TargetMode="External"/><Relationship Id="rId79" Type="http://schemas.openxmlformats.org/officeDocument/2006/relationships/hyperlink" Target="https://www.amazon.com/dp/B09TZZS2GJ?psc=1" TargetMode="External"/><Relationship Id="rId78" Type="http://schemas.openxmlformats.org/officeDocument/2006/relationships/hyperlink" Target="https://images-na.ssl-images-amazon.com/images/I/41EfD0xmTgL._AC_US600_.jpg" TargetMode="External"/><Relationship Id="rId77" Type="http://schemas.openxmlformats.org/officeDocument/2006/relationships/hyperlink" Target="https://www.amazon.com/dp/B085GN68LC?psc=1" TargetMode="External"/><Relationship Id="rId76" Type="http://schemas.openxmlformats.org/officeDocument/2006/relationships/hyperlink" Target="https://images-na.ssl-images-amazon.com/images/I/41RnifaGGML._AC_US600_.jpg" TargetMode="External"/><Relationship Id="rId75" Type="http://schemas.openxmlformats.org/officeDocument/2006/relationships/hyperlink" Target="https://www.amazon.com/dp/B08YP4NHQM?psc=1" TargetMode="External"/><Relationship Id="rId74" Type="http://schemas.openxmlformats.org/officeDocument/2006/relationships/hyperlink" Target="https://images-na.ssl-images-amazon.com/images/I/31VXHjBfcfL._AC_US600_.jpg" TargetMode="External"/><Relationship Id="rId73" Type="http://schemas.openxmlformats.org/officeDocument/2006/relationships/hyperlink" Target="https://www.amazon.com/dp/B07G3V9K17?psc=1" TargetMode="External"/><Relationship Id="rId72" Type="http://schemas.openxmlformats.org/officeDocument/2006/relationships/hyperlink" Target="https://m.media-amazon.com/images/I/51yODvXRBGL._AC_US600_.jpg" TargetMode="External"/><Relationship Id="rId71" Type="http://schemas.openxmlformats.org/officeDocument/2006/relationships/hyperlink" Target="https://www.amazon.com/dp/B0BG5635Z7?psc=1" TargetMode="External"/><Relationship Id="rId70" Type="http://schemas.openxmlformats.org/officeDocument/2006/relationships/hyperlink" Target="https://images-na.ssl-images-amazon.com/images/I/41NWjD1CuNL._AC_US600_.jpg" TargetMode="External"/><Relationship Id="rId7" Type="http://schemas.openxmlformats.org/officeDocument/2006/relationships/hyperlink" Target="https://www.amazon.com/dp/B096N3FTZP?psc=1" TargetMode="External"/><Relationship Id="rId69" Type="http://schemas.openxmlformats.org/officeDocument/2006/relationships/hyperlink" Target="https://www.amazon.com/dp/B08KFNK3QH?psc=1" TargetMode="External"/><Relationship Id="rId68" Type="http://schemas.openxmlformats.org/officeDocument/2006/relationships/hyperlink" Target="https://images-na.ssl-images-amazon.com/images/I/41fJQ2R4N-L._AC_US600_.jpg" TargetMode="External"/><Relationship Id="rId67" Type="http://schemas.openxmlformats.org/officeDocument/2006/relationships/hyperlink" Target="https://www.amazon.com/dp/B09GL56L4T?psc=1" TargetMode="External"/><Relationship Id="rId66" Type="http://schemas.openxmlformats.org/officeDocument/2006/relationships/hyperlink" Target="https://images-na.ssl-images-amazon.com/images/I/41ELapobmZL._AC_US600_.jpg" TargetMode="External"/><Relationship Id="rId65" Type="http://schemas.openxmlformats.org/officeDocument/2006/relationships/hyperlink" Target="https://www.amazon.com/dp/B0BX71WBK5?psc=1" TargetMode="External"/><Relationship Id="rId64" Type="http://schemas.openxmlformats.org/officeDocument/2006/relationships/hyperlink" Target="https://images-na.ssl-images-amazon.com/images/I/41xKS3OoclL._AC_US600_.jpg" TargetMode="External"/><Relationship Id="rId63" Type="http://schemas.openxmlformats.org/officeDocument/2006/relationships/hyperlink" Target="https://www.amazon.com/dp/B08CW95ZFR?psc=1" TargetMode="External"/><Relationship Id="rId62" Type="http://schemas.openxmlformats.org/officeDocument/2006/relationships/hyperlink" Target="https://images-na.ssl-images-amazon.com/images/I/31EAxEEMbVL._AC_US600_.jpg" TargetMode="External"/><Relationship Id="rId61" Type="http://schemas.openxmlformats.org/officeDocument/2006/relationships/hyperlink" Target="https://www.amazon.com/dp/B08QQRH2Z9?psc=1" TargetMode="External"/><Relationship Id="rId60" Type="http://schemas.openxmlformats.org/officeDocument/2006/relationships/hyperlink" Target="https://images-na.ssl-images-amazon.com/images/I/413QzyJkOQL._AC_US600_.jpg" TargetMode="External"/><Relationship Id="rId6" Type="http://schemas.openxmlformats.org/officeDocument/2006/relationships/hyperlink" Target="https://images-na.ssl-images-amazon.com/images/I/517ZDIeX2AL._AC_US600_.jpg" TargetMode="External"/><Relationship Id="rId59" Type="http://schemas.openxmlformats.org/officeDocument/2006/relationships/hyperlink" Target="https://www.amazon.com/dp/B0777RJG6D?psc=1" TargetMode="External"/><Relationship Id="rId58" Type="http://schemas.openxmlformats.org/officeDocument/2006/relationships/hyperlink" Target="https://images-na.ssl-images-amazon.com/images/I/41OVlRD-CtL._AC_US600_.jpg" TargetMode="External"/><Relationship Id="rId57" Type="http://schemas.openxmlformats.org/officeDocument/2006/relationships/hyperlink" Target="https://www.amazon.com/dp/B07FF117K7?psc=1" TargetMode="External"/><Relationship Id="rId56" Type="http://schemas.openxmlformats.org/officeDocument/2006/relationships/hyperlink" Target="https://images-na.ssl-images-amazon.com/images/I/51RjObEKN4L._AC_US600_.jpg" TargetMode="External"/><Relationship Id="rId55" Type="http://schemas.openxmlformats.org/officeDocument/2006/relationships/hyperlink" Target="https://www.amazon.com/dp/B0872DQV7Z?psc=1" TargetMode="External"/><Relationship Id="rId54" Type="http://schemas.openxmlformats.org/officeDocument/2006/relationships/hyperlink" Target="https://images-na.ssl-images-amazon.com/images/I/31HerJYQxzL._AC_US600_.jpg" TargetMode="External"/><Relationship Id="rId53" Type="http://schemas.openxmlformats.org/officeDocument/2006/relationships/hyperlink" Target="https://www.amazon.com/dp/B08SJ6L9MT?psc=1" TargetMode="External"/><Relationship Id="rId52" Type="http://schemas.openxmlformats.org/officeDocument/2006/relationships/hyperlink" Target="https://m.media-amazon.com/images/W/IMAGERENDERING_521856-T1/images/I/3196QeAvkXL._AC_US600_.jpg" TargetMode="External"/><Relationship Id="rId51" Type="http://schemas.openxmlformats.org/officeDocument/2006/relationships/hyperlink" Target="https://www.amazon.com/dp/B0BDFRZX3F?psc=1" TargetMode="External"/><Relationship Id="rId50" Type="http://schemas.openxmlformats.org/officeDocument/2006/relationships/hyperlink" Target="https://images-na.ssl-images-amazon.com/images/I/415DRxbG3pL._AC_US600_.jpg" TargetMode="External"/><Relationship Id="rId5" Type="http://schemas.openxmlformats.org/officeDocument/2006/relationships/hyperlink" Target="https://www.amazon.com/dp/B07VM28XTR?psc=1" TargetMode="External"/><Relationship Id="rId49" Type="http://schemas.openxmlformats.org/officeDocument/2006/relationships/hyperlink" Target="https://www.amazon.com/dp/B07NBQX8HS?psc=1" TargetMode="External"/><Relationship Id="rId48" Type="http://schemas.openxmlformats.org/officeDocument/2006/relationships/hyperlink" Target="https://images-na.ssl-images-amazon.com/images/I/51DUgyoMOhL._AC_US600_.jpg" TargetMode="External"/><Relationship Id="rId47" Type="http://schemas.openxmlformats.org/officeDocument/2006/relationships/hyperlink" Target="https://www.amazon.com/dp/B07NLHMYH4?psc=1" TargetMode="External"/><Relationship Id="rId46" Type="http://schemas.openxmlformats.org/officeDocument/2006/relationships/hyperlink" Target="https://images-na.ssl-images-amazon.com/images/I/41nAgEWFdGL._AC_US600_.jpg" TargetMode="External"/><Relationship Id="rId45" Type="http://schemas.openxmlformats.org/officeDocument/2006/relationships/hyperlink" Target="https://www.amazon.com/dp/B09HKM5SVD?psc=1" TargetMode="External"/><Relationship Id="rId44" Type="http://schemas.openxmlformats.org/officeDocument/2006/relationships/hyperlink" Target="https://images-na.ssl-images-amazon.com/images/I/41hLUQwvoaL._AC_US600_.jpg" TargetMode="External"/><Relationship Id="rId43" Type="http://schemas.openxmlformats.org/officeDocument/2006/relationships/hyperlink" Target="https://www.amazon.com/dp/B07S85TPLG?psc=1" TargetMode="External"/><Relationship Id="rId42" Type="http://schemas.openxmlformats.org/officeDocument/2006/relationships/hyperlink" Target="https://images-na.ssl-images-amazon.com/images/I/51LYB9lQdLL._AC_US600_.jpg" TargetMode="External"/><Relationship Id="rId41" Type="http://schemas.openxmlformats.org/officeDocument/2006/relationships/hyperlink" Target="https://www.amazon.com/dp/B08DL8WH9V?psc=1" TargetMode="External"/><Relationship Id="rId40" Type="http://schemas.openxmlformats.org/officeDocument/2006/relationships/hyperlink" Target="https://images-na.ssl-images-amazon.com/images/I/415CVTfKbfL._AC_US600_.jpg" TargetMode="External"/><Relationship Id="rId4" Type="http://schemas.openxmlformats.org/officeDocument/2006/relationships/hyperlink" Target="https://images-na.ssl-images-amazon.com/images/I/4148pXjT5JL._AC_US600_.jpg" TargetMode="External"/><Relationship Id="rId39" Type="http://schemas.openxmlformats.org/officeDocument/2006/relationships/hyperlink" Target="https://www.amazon.com/dp/B082JWBBXB?psc=1" TargetMode="External"/><Relationship Id="rId38" Type="http://schemas.openxmlformats.org/officeDocument/2006/relationships/hyperlink" Target="https://images-na.ssl-images-amazon.com/images/I/41qabW46GoL._AC_US600_.jpg" TargetMode="External"/><Relationship Id="rId37" Type="http://schemas.openxmlformats.org/officeDocument/2006/relationships/hyperlink" Target="https://www.amazon.com/dp/B08DKYBTPH?psc=1" TargetMode="External"/><Relationship Id="rId36" Type="http://schemas.openxmlformats.org/officeDocument/2006/relationships/hyperlink" Target="https://images-na.ssl-images-amazon.com/images/I/51m3RCjOtoL._AC_US600_.jpg" TargetMode="External"/><Relationship Id="rId35" Type="http://schemas.openxmlformats.org/officeDocument/2006/relationships/hyperlink" Target="https://www.amazon.com/dp/B0BGM4JY9G?psc=1" TargetMode="External"/><Relationship Id="rId34" Type="http://schemas.openxmlformats.org/officeDocument/2006/relationships/hyperlink" Target="https://images-na.ssl-images-amazon.com/images/I/511xSzv8yRL._AC_US600_.jpg" TargetMode="External"/><Relationship Id="rId33" Type="http://schemas.openxmlformats.org/officeDocument/2006/relationships/hyperlink" Target="https://www.amazon.com/dp/B09B7SB46R?psc=1" TargetMode="External"/><Relationship Id="rId32" Type="http://schemas.openxmlformats.org/officeDocument/2006/relationships/hyperlink" Target="https://images-na.ssl-images-amazon.com/images/I/41Tiw9rl9aL._AC_US600_.jpg" TargetMode="External"/><Relationship Id="rId31" Type="http://schemas.openxmlformats.org/officeDocument/2006/relationships/hyperlink" Target="https://www.amazon.com/dp/B096N28SZP?psc=1" TargetMode="External"/><Relationship Id="rId30" Type="http://schemas.openxmlformats.org/officeDocument/2006/relationships/hyperlink" Target="https://images-na.ssl-images-amazon.com/images/I/41R9UEekBML._AC_US600_.jpg" TargetMode="External"/><Relationship Id="rId3" Type="http://schemas.openxmlformats.org/officeDocument/2006/relationships/hyperlink" Target="https://www.amazon.com/dp/B0936FGLQS?psc=1" TargetMode="External"/><Relationship Id="rId29" Type="http://schemas.openxmlformats.org/officeDocument/2006/relationships/hyperlink" Target="https://www.amazon.com/dp/B0B59D1J98?psc=1" TargetMode="External"/><Relationship Id="rId28" Type="http://schemas.openxmlformats.org/officeDocument/2006/relationships/hyperlink" Target="https://images-na.ssl-images-amazon.com/images/I/31LS4+++HlL._AC_US600_.jpg" TargetMode="External"/><Relationship Id="rId27" Type="http://schemas.openxmlformats.org/officeDocument/2006/relationships/hyperlink" Target="https://www.amazon.com/dp/B07S6529ZZ?psc=1" TargetMode="External"/><Relationship Id="rId26" Type="http://schemas.openxmlformats.org/officeDocument/2006/relationships/hyperlink" Target="https://images-na.ssl-images-amazon.com/images/I/41FSF9nXbwL._AC_US600_.jpg" TargetMode="External"/><Relationship Id="rId25" Type="http://schemas.openxmlformats.org/officeDocument/2006/relationships/hyperlink" Target="https://www.amazon.com/dp/B0B6ZXKNJN?psc=1" TargetMode="External"/><Relationship Id="rId24" Type="http://schemas.openxmlformats.org/officeDocument/2006/relationships/hyperlink" Target="https://images-na.ssl-images-amazon.com/images/I/51lqoRxpKAL._AC_US600_.jpg" TargetMode="External"/><Relationship Id="rId23" Type="http://schemas.openxmlformats.org/officeDocument/2006/relationships/hyperlink" Target="https://www.amazon.com/dp/B07SCGY2H6?psc=1" TargetMode="External"/><Relationship Id="rId22" Type="http://schemas.openxmlformats.org/officeDocument/2006/relationships/hyperlink" Target="https://images-na.ssl-images-amazon.com/images/I/41kv0O2RO5L._AC_US600_.jpg" TargetMode="External"/><Relationship Id="rId21" Type="http://schemas.openxmlformats.org/officeDocument/2006/relationships/hyperlink" Target="https://www.amazon.com/dp/B075X3287P?psc=1" TargetMode="External"/><Relationship Id="rId200" Type="http://schemas.openxmlformats.org/officeDocument/2006/relationships/hyperlink" Target="https://m.media-amazon.com/images/I/41K7k9nX6sL._AC_US600_.jpg" TargetMode="External"/><Relationship Id="rId20" Type="http://schemas.openxmlformats.org/officeDocument/2006/relationships/hyperlink" Target="https://images-na.ssl-images-amazon.com/images/I/31rlJFuHaWL._AC_US600_.jpg" TargetMode="External"/><Relationship Id="rId2" Type="http://schemas.openxmlformats.org/officeDocument/2006/relationships/hyperlink" Target="https://images-na.ssl-images-amazon.com/images/I/31MBSKiZOPL._AC_US600_.jpg" TargetMode="External"/><Relationship Id="rId199" Type="http://schemas.openxmlformats.org/officeDocument/2006/relationships/hyperlink" Target="https://www.amazon.com/dp/B09696JZVR?psc=1" TargetMode="External"/><Relationship Id="rId198" Type="http://schemas.openxmlformats.org/officeDocument/2006/relationships/hyperlink" Target="https://images-na.ssl-images-amazon.com/images/I/41Eimf3muML._AC_US600_.jpg" TargetMode="External"/><Relationship Id="rId197" Type="http://schemas.openxmlformats.org/officeDocument/2006/relationships/hyperlink" Target="https://www.amazon.com/dp/B09871GCN1?psc=1" TargetMode="External"/><Relationship Id="rId196" Type="http://schemas.openxmlformats.org/officeDocument/2006/relationships/hyperlink" Target="https://images-na.ssl-images-amazon.com/images/I/41zlAqz5EQS._AC_US600_.jpg" TargetMode="External"/><Relationship Id="rId195" Type="http://schemas.openxmlformats.org/officeDocument/2006/relationships/hyperlink" Target="https://www.amazon.com/dp/B06XYKVPLS?psc=1" TargetMode="External"/><Relationship Id="rId194" Type="http://schemas.openxmlformats.org/officeDocument/2006/relationships/hyperlink" Target="https://m.media-amazon.com/images/W/IMAGERENDERING_521856-T1/images/I/41uMb4vYYiL._AC_US600_.jpg" TargetMode="External"/><Relationship Id="rId193" Type="http://schemas.openxmlformats.org/officeDocument/2006/relationships/hyperlink" Target="https://www.amazon.com/dp/B0B52885M9?psc=1" TargetMode="External"/><Relationship Id="rId192" Type="http://schemas.openxmlformats.org/officeDocument/2006/relationships/hyperlink" Target="https://images-na.ssl-images-amazon.com/images/I/51Pp7HEnMDL._AC_US600_.jpg" TargetMode="External"/><Relationship Id="rId191" Type="http://schemas.openxmlformats.org/officeDocument/2006/relationships/hyperlink" Target="https://www.amazon.com/dp/B08HPQ384Y?psc=1" TargetMode="External"/><Relationship Id="rId190" Type="http://schemas.openxmlformats.org/officeDocument/2006/relationships/hyperlink" Target="https://images-na.ssl-images-amazon.com/images/I/514XT9luXRL._AC_US600_.jpg" TargetMode="External"/><Relationship Id="rId19" Type="http://schemas.openxmlformats.org/officeDocument/2006/relationships/hyperlink" Target="https://www.amazon.com/dp/B089TQWJKK?psc=1" TargetMode="External"/><Relationship Id="rId189" Type="http://schemas.openxmlformats.org/officeDocument/2006/relationships/hyperlink" Target="https://www.amazon.com/dp/B0B94K541Q?psc=1" TargetMode="External"/><Relationship Id="rId188" Type="http://schemas.openxmlformats.org/officeDocument/2006/relationships/hyperlink" Target="https://images-na.ssl-images-amazon.com/images/I/31oBMRVPbJS._AC_US600_.jpg" TargetMode="External"/><Relationship Id="rId187" Type="http://schemas.openxmlformats.org/officeDocument/2006/relationships/hyperlink" Target="https://www.amazon.com/dp/B08P27RFLB?psc=1" TargetMode="External"/><Relationship Id="rId186" Type="http://schemas.openxmlformats.org/officeDocument/2006/relationships/hyperlink" Target="https://images-na.ssl-images-amazon.com/images/I/41itlVcI-8L._AC_US600_.jpg" TargetMode="External"/><Relationship Id="rId185" Type="http://schemas.openxmlformats.org/officeDocument/2006/relationships/hyperlink" Target="https://www.amazon.com/dp/B09B9K9552?psc=1" TargetMode="External"/><Relationship Id="rId184" Type="http://schemas.openxmlformats.org/officeDocument/2006/relationships/hyperlink" Target="https://images-na.ssl-images-amazon.com/images/I/41XooFogX3S._AC_US600_.jpg" TargetMode="External"/><Relationship Id="rId183" Type="http://schemas.openxmlformats.org/officeDocument/2006/relationships/hyperlink" Target="https://www.amazon.com/dp/B087WW1W78?psc=1" TargetMode="External"/><Relationship Id="rId182" Type="http://schemas.openxmlformats.org/officeDocument/2006/relationships/hyperlink" Target="https://images-na.ssl-images-amazon.com/images/I/51cjHLNNdfL._AC_US600_.jpg" TargetMode="External"/><Relationship Id="rId181" Type="http://schemas.openxmlformats.org/officeDocument/2006/relationships/hyperlink" Target="https://www.amazon.com/dp/B08739L374?psc=1" TargetMode="External"/><Relationship Id="rId180" Type="http://schemas.openxmlformats.org/officeDocument/2006/relationships/hyperlink" Target="https://m.media-amazon.com/images/I/41MMVnAeq+L._AC_US600_.jpg" TargetMode="External"/><Relationship Id="rId18" Type="http://schemas.openxmlformats.org/officeDocument/2006/relationships/hyperlink" Target="https://images-na.ssl-images-amazon.com/images/I/4176C1ZTLJL._AC_US600_.jpg" TargetMode="External"/><Relationship Id="rId179" Type="http://schemas.openxmlformats.org/officeDocument/2006/relationships/hyperlink" Target="https://www.amazon.com/dp/B09Y12NVC2?psc=1" TargetMode="External"/><Relationship Id="rId178" Type="http://schemas.openxmlformats.org/officeDocument/2006/relationships/hyperlink" Target="https://images-na.ssl-images-amazon.com/images/I/41Bh+8iMurL._AC_US600_.jpg" TargetMode="External"/><Relationship Id="rId177" Type="http://schemas.openxmlformats.org/officeDocument/2006/relationships/hyperlink" Target="https://www.amazon.com/dp/B086GWG6BG?psc=1" TargetMode="External"/><Relationship Id="rId176" Type="http://schemas.openxmlformats.org/officeDocument/2006/relationships/hyperlink" Target="https://images-na.ssl-images-amazon.com/images/I/51BtVuritGL._AC_US600_.jpg" TargetMode="External"/><Relationship Id="rId175" Type="http://schemas.openxmlformats.org/officeDocument/2006/relationships/hyperlink" Target="https://www.amazon.com/dp/B08TWB9L5P?psc=1" TargetMode="External"/><Relationship Id="rId174" Type="http://schemas.openxmlformats.org/officeDocument/2006/relationships/hyperlink" Target="https://m.media-amazon.com/images/I/61PY7xJYKRL._AC_US600_.jpg" TargetMode="External"/><Relationship Id="rId173" Type="http://schemas.openxmlformats.org/officeDocument/2006/relationships/hyperlink" Target="https://www.amazon.com/dp/B0B3SHYNBG?psc=1" TargetMode="External"/><Relationship Id="rId172" Type="http://schemas.openxmlformats.org/officeDocument/2006/relationships/hyperlink" Target="https://images-na.ssl-images-amazon.com/images/I/31hes0z4e1L._AC_US600_.jpg" TargetMode="External"/><Relationship Id="rId171" Type="http://schemas.openxmlformats.org/officeDocument/2006/relationships/hyperlink" Target="https://www.amazon.com/dp/B084B7PF4K?psc=1" TargetMode="External"/><Relationship Id="rId170" Type="http://schemas.openxmlformats.org/officeDocument/2006/relationships/hyperlink" Target="https://images-na.ssl-images-amazon.com/images/I/41Kx73WvRML._AC_US600_.jpg" TargetMode="External"/><Relationship Id="rId17" Type="http://schemas.openxmlformats.org/officeDocument/2006/relationships/hyperlink" Target="https://www.amazon.com/dp/B09MR49K1D?psc=1" TargetMode="External"/><Relationship Id="rId169" Type="http://schemas.openxmlformats.org/officeDocument/2006/relationships/hyperlink" Target="https://www.amazon.com/dp/B086K1T4JJ?psc=1" TargetMode="External"/><Relationship Id="rId168" Type="http://schemas.openxmlformats.org/officeDocument/2006/relationships/hyperlink" Target="https://images-na.ssl-images-amazon.com/images/I/418+jnE43GL._AC_US600_.jpg" TargetMode="External"/><Relationship Id="rId167" Type="http://schemas.openxmlformats.org/officeDocument/2006/relationships/hyperlink" Target="https://www.amazon.com/dp/B01LX9T6HF?psc=1" TargetMode="External"/><Relationship Id="rId166" Type="http://schemas.openxmlformats.org/officeDocument/2006/relationships/hyperlink" Target="https://images-na.ssl-images-amazon.com/images/I/41UTCIgF3RL._AC_US600_.jpg" TargetMode="External"/><Relationship Id="rId165" Type="http://schemas.openxmlformats.org/officeDocument/2006/relationships/hyperlink" Target="https://www.amazon.com/dp/B08KXTDBQC?psc=1" TargetMode="External"/><Relationship Id="rId164" Type="http://schemas.openxmlformats.org/officeDocument/2006/relationships/hyperlink" Target="https://images-na.ssl-images-amazon.com/images/I/41Q4s94S0uL._AC_US600_.jpg" TargetMode="External"/><Relationship Id="rId163" Type="http://schemas.openxmlformats.org/officeDocument/2006/relationships/hyperlink" Target="https://www.amazon.com/dp/B076FPT78K?psc=1" TargetMode="External"/><Relationship Id="rId162" Type="http://schemas.openxmlformats.org/officeDocument/2006/relationships/hyperlink" Target="https://images-na.ssl-images-amazon.com/images/I/41kb9+9AjPL._AC_US600_.jpg" TargetMode="External"/><Relationship Id="rId161" Type="http://schemas.openxmlformats.org/officeDocument/2006/relationships/hyperlink" Target="https://www.amazon.com/dp/B0B3G8V6MV?psc=1" TargetMode="External"/><Relationship Id="rId160" Type="http://schemas.openxmlformats.org/officeDocument/2006/relationships/hyperlink" Target="https://images-na.ssl-images-amazon.com/images/I/41RUxUeb1SL._AC_US600_.jpg" TargetMode="External"/><Relationship Id="rId16" Type="http://schemas.openxmlformats.org/officeDocument/2006/relationships/hyperlink" Target="https://images-na.ssl-images-amazon.com/images/I/41ZQmtXww2L._AC_US600_.jpg" TargetMode="External"/><Relationship Id="rId159" Type="http://schemas.openxmlformats.org/officeDocument/2006/relationships/hyperlink" Target="https://www.amazon.com/dp/B09DYPNPV4?psc=1" TargetMode="External"/><Relationship Id="rId158" Type="http://schemas.openxmlformats.org/officeDocument/2006/relationships/hyperlink" Target="https://images-na.ssl-images-amazon.com/images/I/516+29sy+uL._AC_US600_.jpg" TargetMode="External"/><Relationship Id="rId157" Type="http://schemas.openxmlformats.org/officeDocument/2006/relationships/hyperlink" Target="https://www.amazon.com/dp/B08G5CH2HR?psc=1" TargetMode="External"/><Relationship Id="rId156" Type="http://schemas.openxmlformats.org/officeDocument/2006/relationships/hyperlink" Target="https://images-na.ssl-images-amazon.com/images/I/419w5-1jmOL._AC_US600_.jpg" TargetMode="External"/><Relationship Id="rId155" Type="http://schemas.openxmlformats.org/officeDocument/2006/relationships/hyperlink" Target="https://www.amazon.com/dp/B08L3SW8DZ?psc=1" TargetMode="External"/><Relationship Id="rId154" Type="http://schemas.openxmlformats.org/officeDocument/2006/relationships/hyperlink" Target="https://images-na.ssl-images-amazon.com/images/I/51DaREWGV9L._AC_US600_.jpg" TargetMode="External"/><Relationship Id="rId153" Type="http://schemas.openxmlformats.org/officeDocument/2006/relationships/hyperlink" Target="https://www.amazon.com/dp/B0BR4ZYSRF?psc=1" TargetMode="External"/><Relationship Id="rId152" Type="http://schemas.openxmlformats.org/officeDocument/2006/relationships/hyperlink" Target="https://m.media-amazon.com/images/W/IMAGERENDERING_521856-T1/images/I/41VVyif1syL._AC_US600_.jpg" TargetMode="External"/><Relationship Id="rId151" Type="http://schemas.openxmlformats.org/officeDocument/2006/relationships/hyperlink" Target="https://www.amazon.com/dp/B081PGHZGR?psc=1" TargetMode="External"/><Relationship Id="rId150" Type="http://schemas.openxmlformats.org/officeDocument/2006/relationships/hyperlink" Target="https://images-na.ssl-images-amazon.com/images/I/41WjXoD4znL._AC_US600_.jpg" TargetMode="External"/><Relationship Id="rId15" Type="http://schemas.openxmlformats.org/officeDocument/2006/relationships/hyperlink" Target="https://www.amazon.com/dp/B0815KJCM1?psc=1" TargetMode="External"/><Relationship Id="rId149" Type="http://schemas.openxmlformats.org/officeDocument/2006/relationships/hyperlink" Target="https://www.amazon.com/dp/B0BD4BYR11?psc=1" TargetMode="External"/><Relationship Id="rId148" Type="http://schemas.openxmlformats.org/officeDocument/2006/relationships/hyperlink" Target="https://images-na.ssl-images-amazon.com/images/I/41Ie-5jgNBL._AC_US600_.jpg" TargetMode="External"/><Relationship Id="rId147" Type="http://schemas.openxmlformats.org/officeDocument/2006/relationships/hyperlink" Target="https://www.amazon.com/dp/B07GNSHPBQ?psc=1" TargetMode="External"/><Relationship Id="rId146" Type="http://schemas.openxmlformats.org/officeDocument/2006/relationships/hyperlink" Target="https://images-na.ssl-images-amazon.com/images/I/51DFrKWE3+L._AC_US600_.jpg" TargetMode="External"/><Relationship Id="rId145" Type="http://schemas.openxmlformats.org/officeDocument/2006/relationships/hyperlink" Target="https://www.amazon.com/dp/B0BG2MGDXN?psc=1" TargetMode="External"/><Relationship Id="rId144" Type="http://schemas.openxmlformats.org/officeDocument/2006/relationships/hyperlink" Target="https://images-na.ssl-images-amazon.com/images/I/41gnPXQ60DL._AC_US600_.jpg" TargetMode="External"/><Relationship Id="rId143" Type="http://schemas.openxmlformats.org/officeDocument/2006/relationships/hyperlink" Target="https://www.amazon.com/dp/B083TGW7DN?psc=1" TargetMode="External"/><Relationship Id="rId142" Type="http://schemas.openxmlformats.org/officeDocument/2006/relationships/hyperlink" Target="https://images-na.ssl-images-amazon.com/images/I/41EXcFBZ2uL._AC_US600_.jpg" TargetMode="External"/><Relationship Id="rId141" Type="http://schemas.openxmlformats.org/officeDocument/2006/relationships/hyperlink" Target="https://www.amazon.com/dp/B08PNHBCTL?psc=1" TargetMode="External"/><Relationship Id="rId140" Type="http://schemas.openxmlformats.org/officeDocument/2006/relationships/hyperlink" Target="https://images-na.ssl-images-amazon.com/images/I/41nnl0IYwmL._AC_US600_.jpg" TargetMode="External"/><Relationship Id="rId14" Type="http://schemas.openxmlformats.org/officeDocument/2006/relationships/hyperlink" Target="https://images-na.ssl-images-amazon.com/images/I/31VZzB+Y2+L._AC_US600_.jpg" TargetMode="External"/><Relationship Id="rId139" Type="http://schemas.openxmlformats.org/officeDocument/2006/relationships/hyperlink" Target="https://www.amazon.com/dp/B0BF4TCX6J?psc=1" TargetMode="External"/><Relationship Id="rId138" Type="http://schemas.openxmlformats.org/officeDocument/2006/relationships/hyperlink" Target="https://m.media-amazon.com/images/I/31nldc5I5qL._AC_US600_.jpg" TargetMode="External"/><Relationship Id="rId137" Type="http://schemas.openxmlformats.org/officeDocument/2006/relationships/hyperlink" Target="https://www.amazon.com/dp/B08NCHMH1L?psc=1" TargetMode="External"/><Relationship Id="rId136" Type="http://schemas.openxmlformats.org/officeDocument/2006/relationships/hyperlink" Target="https://images-na.ssl-images-amazon.com/images/I/51B7UIiB95L._AC_US600_.jpg" TargetMode="External"/><Relationship Id="rId135" Type="http://schemas.openxmlformats.org/officeDocument/2006/relationships/hyperlink" Target="https://www.amazon.com/dp/B01L7TOZJO?psc=1" TargetMode="External"/><Relationship Id="rId134" Type="http://schemas.openxmlformats.org/officeDocument/2006/relationships/hyperlink" Target="https://images-na.ssl-images-amazon.com/images/I/51e2Fp15xnL._AC_US600_.jpg" TargetMode="External"/><Relationship Id="rId133" Type="http://schemas.openxmlformats.org/officeDocument/2006/relationships/hyperlink" Target="https://www.amazon.com/dp/B07XF4HW8G?psc=1" TargetMode="External"/><Relationship Id="rId132" Type="http://schemas.openxmlformats.org/officeDocument/2006/relationships/hyperlink" Target="https://images-na.ssl-images-amazon.com/images/I/41xpc1obGyL._AC_US600_.jpg" TargetMode="External"/><Relationship Id="rId131" Type="http://schemas.openxmlformats.org/officeDocument/2006/relationships/hyperlink" Target="https://www.amazon.com/dp/B0B7C28KPT?psc=1" TargetMode="External"/><Relationship Id="rId130" Type="http://schemas.openxmlformats.org/officeDocument/2006/relationships/hyperlink" Target="https://images-na.ssl-images-amazon.com/images/I/416HZaiHMcL._AC_US600_.jpg" TargetMode="External"/><Relationship Id="rId13" Type="http://schemas.openxmlformats.org/officeDocument/2006/relationships/hyperlink" Target="https://www.amazon.com/dp/B096X9LGJ1?psc=1" TargetMode="External"/><Relationship Id="rId129" Type="http://schemas.openxmlformats.org/officeDocument/2006/relationships/hyperlink" Target="https://www.amazon.com/dp/B09BZVQNTC?psc=1" TargetMode="External"/><Relationship Id="rId128" Type="http://schemas.openxmlformats.org/officeDocument/2006/relationships/hyperlink" Target="https://images-na.ssl-images-amazon.com/images/I/41-nj5fRENL._AC_US600_.jpg" TargetMode="External"/><Relationship Id="rId127" Type="http://schemas.openxmlformats.org/officeDocument/2006/relationships/hyperlink" Target="https://www.amazon.com/dp/B0853CR7LG?psc=1" TargetMode="External"/><Relationship Id="rId126" Type="http://schemas.openxmlformats.org/officeDocument/2006/relationships/hyperlink" Target="https://images-na.ssl-images-amazon.com/images/I/41CU7z7y-ML._AC_US600_.jpg" TargetMode="External"/><Relationship Id="rId125" Type="http://schemas.openxmlformats.org/officeDocument/2006/relationships/hyperlink" Target="https://www.amazon.com/dp/B08N3F9PRJ?psc=1" TargetMode="External"/><Relationship Id="rId124" Type="http://schemas.openxmlformats.org/officeDocument/2006/relationships/hyperlink" Target="https://images-na.ssl-images-amazon.com/images/I/41ctRPisslL._AC_US600_.jpg" TargetMode="External"/><Relationship Id="rId123" Type="http://schemas.openxmlformats.org/officeDocument/2006/relationships/hyperlink" Target="https://www.amazon.com/dp/B08R6GZ2KP?psc=1" TargetMode="External"/><Relationship Id="rId122" Type="http://schemas.openxmlformats.org/officeDocument/2006/relationships/hyperlink" Target="https://images-na.ssl-images-amazon.com/images/I/51sGLLlmj8L._AC_US600_.jpg" TargetMode="External"/><Relationship Id="rId121" Type="http://schemas.openxmlformats.org/officeDocument/2006/relationships/hyperlink" Target="https://www.amazon.com/dp/B07LBZGD97?psc=1" TargetMode="External"/><Relationship Id="rId120" Type="http://schemas.openxmlformats.org/officeDocument/2006/relationships/hyperlink" Target="https://m.media-amazon.com/images/W/IMAGERENDERING_521856-T1/images/I/41Jkp816TuL._AC_US600_.jpg" TargetMode="External"/><Relationship Id="rId12" Type="http://schemas.openxmlformats.org/officeDocument/2006/relationships/hyperlink" Target="https://images-na.ssl-images-amazon.com/images/I/41WAoH5H6NL._AC_US600_.jpg" TargetMode="External"/><Relationship Id="rId119" Type="http://schemas.openxmlformats.org/officeDocument/2006/relationships/hyperlink" Target="https://www.amazon.com/dp/B07Z6RHKFV?psc=1" TargetMode="External"/><Relationship Id="rId118" Type="http://schemas.openxmlformats.org/officeDocument/2006/relationships/hyperlink" Target="https://m.media-amazon.com/images/W/IMAGERENDERING_521856-T2/images/I/414P2GL4cAL._AC_US600_.jpg" TargetMode="External"/><Relationship Id="rId117" Type="http://schemas.openxmlformats.org/officeDocument/2006/relationships/hyperlink" Target="https://www.amazon.com/dp/B08T9FBB68?psc=1" TargetMode="External"/><Relationship Id="rId116" Type="http://schemas.openxmlformats.org/officeDocument/2006/relationships/hyperlink" Target="https://images-na.ssl-images-amazon.com/images/I/41jZv9IQKtL._AC_US600_.jpg" TargetMode="External"/><Relationship Id="rId115" Type="http://schemas.openxmlformats.org/officeDocument/2006/relationships/hyperlink" Target="https://www.amazon.com/dp/B08X24LS5V?psc=1" TargetMode="External"/><Relationship Id="rId114" Type="http://schemas.openxmlformats.org/officeDocument/2006/relationships/hyperlink" Target="https://images-na.ssl-images-amazon.com/images/I/5135qxoHciL._AC_US600_.jpg" TargetMode="External"/><Relationship Id="rId113" Type="http://schemas.openxmlformats.org/officeDocument/2006/relationships/hyperlink" Target="https://www.amazon.com/dp/B09YS1RQ8J?psc=1" TargetMode="External"/><Relationship Id="rId112" Type="http://schemas.openxmlformats.org/officeDocument/2006/relationships/hyperlink" Target="https://images-na.ssl-images-amazon.com/images/I/41x1QmekmBL._AC_US600_.jpg" TargetMode="External"/><Relationship Id="rId111" Type="http://schemas.openxmlformats.org/officeDocument/2006/relationships/hyperlink" Target="https://www.amazon.com/dp/B0BBFTPTKH?psc=1" TargetMode="External"/><Relationship Id="rId110" Type="http://schemas.openxmlformats.org/officeDocument/2006/relationships/hyperlink" Target="https://images-na.ssl-images-amazon.com/images/I/41i41ZJLGcL._AC_US600_.jpg" TargetMode="External"/><Relationship Id="rId11" Type="http://schemas.openxmlformats.org/officeDocument/2006/relationships/hyperlink" Target="https://www.amazon.com/dp/B08R6KMBQT?psc=1" TargetMode="External"/><Relationship Id="rId109" Type="http://schemas.openxmlformats.org/officeDocument/2006/relationships/hyperlink" Target="https://www.amazon.com/dp/B087T8LKNC?psc=1" TargetMode="External"/><Relationship Id="rId108" Type="http://schemas.openxmlformats.org/officeDocument/2006/relationships/hyperlink" Target="https://images-na.ssl-images-amazon.com/images/I/41+QhGCYlnL._AC_US600_.jpg" TargetMode="External"/><Relationship Id="rId107" Type="http://schemas.openxmlformats.org/officeDocument/2006/relationships/hyperlink" Target="https://www.amazon.com/dp/B07X1VXQMS?psc=1" TargetMode="External"/><Relationship Id="rId106" Type="http://schemas.openxmlformats.org/officeDocument/2006/relationships/hyperlink" Target="https://m.media-amazon.com/images/I/31FWlEg5fqL._AC_US600_.jpg" TargetMode="External"/><Relationship Id="rId105" Type="http://schemas.openxmlformats.org/officeDocument/2006/relationships/hyperlink" Target="https://www.amazon.com/dp/B075BDY5WR?psc=1" TargetMode="External"/><Relationship Id="rId104" Type="http://schemas.openxmlformats.org/officeDocument/2006/relationships/hyperlink" Target="https://images-na.ssl-images-amazon.com/images/I/51qTgjsG+jL._AC_US600_.jpg" TargetMode="External"/><Relationship Id="rId103" Type="http://schemas.openxmlformats.org/officeDocument/2006/relationships/hyperlink" Target="https://www.amazon.com/dp/B0BGBMW9G5?psc=1" TargetMode="External"/><Relationship Id="rId102" Type="http://schemas.openxmlformats.org/officeDocument/2006/relationships/hyperlink" Target="https://images-na.ssl-images-amazon.com/images/I/51chJ-m0ftL._AC_US600_.jpg" TargetMode="External"/><Relationship Id="rId101" Type="http://schemas.openxmlformats.org/officeDocument/2006/relationships/hyperlink" Target="https://www.amazon.com/dp/B07VM9SDMH?psc=1" TargetMode="External"/><Relationship Id="rId100" Type="http://schemas.openxmlformats.org/officeDocument/2006/relationships/hyperlink" Target="https://images-na.ssl-images-amazon.com/images/I/319fwckxydL._AC_US600_.jpg" TargetMode="External"/><Relationship Id="rId10" Type="http://schemas.openxmlformats.org/officeDocument/2006/relationships/hyperlink" Target="https://images-na.ssl-images-amazon.com/images/I/41sxpx4irVL._AC_US600_.jpg" TargetMode="External"/><Relationship Id="rId1" Type="http://schemas.openxmlformats.org/officeDocument/2006/relationships/hyperlink" Target="https://www.amazon.com/dp/B07FDJMC9Q?psc=1" TargetMode="External"/></Relationships>
</file>

<file path=xl/worksheets/_rels/sheet7.xml.rels><?xml version="1.0" encoding="UTF-8" standalone="yes"?>
<Relationships xmlns="http://schemas.openxmlformats.org/package/2006/relationships"><Relationship Id="rId9" Type="http://schemas.openxmlformats.org/officeDocument/2006/relationships/pivotTable" Target="../pivotTables/pivotTable8.xml"/><Relationship Id="rId8" Type="http://schemas.openxmlformats.org/officeDocument/2006/relationships/pivotTable" Target="../pivotTables/pivotTable7.xml"/><Relationship Id="rId7" Type="http://schemas.openxmlformats.org/officeDocument/2006/relationships/pivotTable" Target="../pivotTables/pivotTable6.xml"/><Relationship Id="rId6" Type="http://schemas.openxmlformats.org/officeDocument/2006/relationships/pivotTable" Target="../pivotTables/pivotTable5.xml"/><Relationship Id="rId5" Type="http://schemas.openxmlformats.org/officeDocument/2006/relationships/pivotTable" Target="../pivotTables/pivotTable4.xml"/><Relationship Id="rId44" Type="http://schemas.openxmlformats.org/officeDocument/2006/relationships/hyperlink" Target="https://crownful.com/" TargetMode="External"/><Relationship Id="rId43" Type="http://schemas.openxmlformats.org/officeDocument/2006/relationships/hyperlink" Target="https://www.fabuletta.com/" TargetMode="External"/><Relationship Id="rId42" Type="http://schemas.openxmlformats.org/officeDocument/2006/relationships/hyperlink" Target="https://shopelitegourmet.com/" TargetMode="External"/><Relationship Id="rId41" Type="http://schemas.openxmlformats.org/officeDocument/2006/relationships/hyperlink" Target="https://www.gowiseproducts.com/" TargetMode="External"/><Relationship Id="rId40" Type="http://schemas.openxmlformats.org/officeDocument/2006/relationships/hyperlink" Target="https://ultrean.com/" TargetMode="External"/><Relationship Id="rId4" Type="http://schemas.openxmlformats.org/officeDocument/2006/relationships/pivotTable" Target="../pivotTables/pivotTable3.xml"/><Relationship Id="rId39" Type="http://schemas.openxmlformats.org/officeDocument/2006/relationships/hyperlink" Target="https://www.nuwavenow.com/home" TargetMode="External"/><Relationship Id="rId38" Type="http://schemas.openxmlformats.org/officeDocument/2006/relationships/hyperlink" Target="https://bydash.com/" TargetMode="External"/><Relationship Id="rId37" Type="http://schemas.openxmlformats.org/officeDocument/2006/relationships/hyperlink" Target="https://www.gourmia.com/" TargetMode="External"/><Relationship Id="rId36" Type="http://schemas.openxmlformats.org/officeDocument/2006/relationships/hyperlink" Target="https://chefman.com/" TargetMode="External"/><Relationship Id="rId35" Type="http://schemas.openxmlformats.org/officeDocument/2006/relationships/hyperlink" Target="https://www.ninjakitchen.com/" TargetMode="External"/><Relationship Id="rId34" Type="http://schemas.openxmlformats.org/officeDocument/2006/relationships/hyperlink" Target="https://cosori.com/" TargetMode="External"/><Relationship Id="rId33" Type="http://schemas.openxmlformats.org/officeDocument/2006/relationships/hyperlink" Target="https://www.instanthome.com/" TargetMode="External"/><Relationship Id="rId32" Type="http://schemas.openxmlformats.org/officeDocument/2006/relationships/vmlDrawing" Target="../drawings/vmlDrawing2.vml"/><Relationship Id="rId31" Type="http://schemas.openxmlformats.org/officeDocument/2006/relationships/drawing" Target="../drawings/drawing3.xml"/><Relationship Id="rId30" Type="http://schemas.openxmlformats.org/officeDocument/2006/relationships/pivotTable" Target="../pivotTables/pivotTable29.xml"/><Relationship Id="rId3" Type="http://schemas.openxmlformats.org/officeDocument/2006/relationships/pivotTable" Target="../pivotTables/pivotTable2.xml"/><Relationship Id="rId29" Type="http://schemas.openxmlformats.org/officeDocument/2006/relationships/pivotTable" Target="../pivotTables/pivotTable28.xml"/><Relationship Id="rId28" Type="http://schemas.openxmlformats.org/officeDocument/2006/relationships/pivotTable" Target="../pivotTables/pivotTable27.xml"/><Relationship Id="rId27" Type="http://schemas.openxmlformats.org/officeDocument/2006/relationships/pivotTable" Target="../pivotTables/pivotTable26.xml"/><Relationship Id="rId26" Type="http://schemas.openxmlformats.org/officeDocument/2006/relationships/pivotTable" Target="../pivotTables/pivotTable25.xml"/><Relationship Id="rId25" Type="http://schemas.openxmlformats.org/officeDocument/2006/relationships/pivotTable" Target="../pivotTables/pivotTable24.xml"/><Relationship Id="rId24" Type="http://schemas.openxmlformats.org/officeDocument/2006/relationships/pivotTable" Target="../pivotTables/pivotTable23.xml"/><Relationship Id="rId23" Type="http://schemas.openxmlformats.org/officeDocument/2006/relationships/pivotTable" Target="../pivotTables/pivotTable22.xml"/><Relationship Id="rId22" Type="http://schemas.openxmlformats.org/officeDocument/2006/relationships/pivotTable" Target="../pivotTables/pivotTable21.xml"/><Relationship Id="rId21" Type="http://schemas.openxmlformats.org/officeDocument/2006/relationships/pivotTable" Target="../pivotTables/pivotTable20.xml"/><Relationship Id="rId20" Type="http://schemas.openxmlformats.org/officeDocument/2006/relationships/pivotTable" Target="../pivotTables/pivotTable19.xml"/><Relationship Id="rId2" Type="http://schemas.openxmlformats.org/officeDocument/2006/relationships/pivotTable" Target="../pivotTables/pivotTable1.xml"/><Relationship Id="rId19" Type="http://schemas.openxmlformats.org/officeDocument/2006/relationships/pivotTable" Target="../pivotTables/pivotTable18.xml"/><Relationship Id="rId18" Type="http://schemas.openxmlformats.org/officeDocument/2006/relationships/pivotTable" Target="../pivotTables/pivotTable17.xml"/><Relationship Id="rId17" Type="http://schemas.openxmlformats.org/officeDocument/2006/relationships/pivotTable" Target="../pivotTables/pivotTable16.xml"/><Relationship Id="rId16" Type="http://schemas.openxmlformats.org/officeDocument/2006/relationships/pivotTable" Target="../pivotTables/pivotTable15.xml"/><Relationship Id="rId15" Type="http://schemas.openxmlformats.org/officeDocument/2006/relationships/pivotTable" Target="../pivotTables/pivotTable14.xml"/><Relationship Id="rId14" Type="http://schemas.openxmlformats.org/officeDocument/2006/relationships/pivotTable" Target="../pivotTables/pivotTable13.xml"/><Relationship Id="rId13" Type="http://schemas.openxmlformats.org/officeDocument/2006/relationships/pivotTable" Target="../pivotTables/pivotTable12.xml"/><Relationship Id="rId12" Type="http://schemas.openxmlformats.org/officeDocument/2006/relationships/pivotTable" Target="../pivotTables/pivotTable11.xml"/><Relationship Id="rId11" Type="http://schemas.openxmlformats.org/officeDocument/2006/relationships/pivotTable" Target="../pivotTables/pivotTable10.xml"/><Relationship Id="rId10" Type="http://schemas.openxmlformats.org/officeDocument/2006/relationships/pivotTable" Target="../pivotTables/pivotTable9.x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99" Type="http://schemas.openxmlformats.org/officeDocument/2006/relationships/hyperlink" Target="https://m.media-amazon.com/images/I/41sIpqlC1LL._AC_US600_.jpg" TargetMode="External"/><Relationship Id="rId98" Type="http://schemas.openxmlformats.org/officeDocument/2006/relationships/hyperlink" Target="https://www.amazon.com/dp/B09HMW5DHV?psc=1" TargetMode="External"/><Relationship Id="rId97" Type="http://schemas.openxmlformats.org/officeDocument/2006/relationships/hyperlink" Target="https://m.media-amazon.com/images/I/41JrksesF2L._AC_US600_.jpg" TargetMode="External"/><Relationship Id="rId96" Type="http://schemas.openxmlformats.org/officeDocument/2006/relationships/hyperlink" Target="https://www.amazon.com/dp/B08MBL1QNK?psc=1" TargetMode="External"/><Relationship Id="rId95" Type="http://schemas.openxmlformats.org/officeDocument/2006/relationships/hyperlink" Target="https://m.media-amazon.com/images/I/41RAj8pFNcL._AC_US600_.jpg" TargetMode="External"/><Relationship Id="rId94" Type="http://schemas.openxmlformats.org/officeDocument/2006/relationships/hyperlink" Target="https://www.amazon.com/dp/B09ZVQ4SBP?psc=1" TargetMode="External"/><Relationship Id="rId93" Type="http://schemas.openxmlformats.org/officeDocument/2006/relationships/hyperlink" Target="https://m.media-amazon.com/images/I/51cn9FEQESL._AC_US600_.jpg" TargetMode="External"/><Relationship Id="rId92" Type="http://schemas.openxmlformats.org/officeDocument/2006/relationships/hyperlink" Target="https://www.amazon.com/dp/B07RT8LLSP?psc=1" TargetMode="External"/><Relationship Id="rId91" Type="http://schemas.openxmlformats.org/officeDocument/2006/relationships/hyperlink" Target="https://images-na.ssl-images-amazon.com/images/I/41AyG8olNeL._AC_US600_.jpg" TargetMode="External"/><Relationship Id="rId90" Type="http://schemas.openxmlformats.org/officeDocument/2006/relationships/hyperlink" Target="https://www.amazon.com/dp/B09QPRJGN7?psc=1" TargetMode="External"/><Relationship Id="rId9" Type="http://schemas.openxmlformats.org/officeDocument/2006/relationships/hyperlink" Target="https://images-na.ssl-images-amazon.com/images/I/31M94eDASbL._AC_US600_.jpg" TargetMode="External"/><Relationship Id="rId89" Type="http://schemas.openxmlformats.org/officeDocument/2006/relationships/hyperlink" Target="https://images-na.ssl-images-amazon.com/images/I/511SAOH4lRL._AC_US600_.jpg" TargetMode="External"/><Relationship Id="rId88" Type="http://schemas.openxmlformats.org/officeDocument/2006/relationships/hyperlink" Target="https://www.amazon.com/dp/B009L1VUA8?psc=1" TargetMode="External"/><Relationship Id="rId87" Type="http://schemas.openxmlformats.org/officeDocument/2006/relationships/hyperlink" Target="https://images-na.ssl-images-amazon.com/images/I/41agIDvSpZL._AC_US600_.jpg" TargetMode="External"/><Relationship Id="rId86" Type="http://schemas.openxmlformats.org/officeDocument/2006/relationships/hyperlink" Target="https://www.amazon.com/dp/B0BJ71YSX5?psc=1" TargetMode="External"/><Relationship Id="rId85" Type="http://schemas.openxmlformats.org/officeDocument/2006/relationships/hyperlink" Target="https://images-na.ssl-images-amazon.com/images/I/41KoJzKK3OL._AC_US600_.jpg" TargetMode="External"/><Relationship Id="rId84" Type="http://schemas.openxmlformats.org/officeDocument/2006/relationships/hyperlink" Target="https://www.amazon.com/dp/B095KWNXGN?psc=1" TargetMode="External"/><Relationship Id="rId83" Type="http://schemas.openxmlformats.org/officeDocument/2006/relationships/hyperlink" Target="https://m.media-amazon.com/images/I/41jUk8eGkeL._AC_US600_.jpg" TargetMode="External"/><Relationship Id="rId82" Type="http://schemas.openxmlformats.org/officeDocument/2006/relationships/hyperlink" Target="https://www.amazon.com/dp/B01B846UZ0?psc=1" TargetMode="External"/><Relationship Id="rId81" Type="http://schemas.openxmlformats.org/officeDocument/2006/relationships/hyperlink" Target="https://images-na.ssl-images-amazon.com/images/I/412XWxi+edL._AC_US600_.jpg" TargetMode="External"/><Relationship Id="rId80" Type="http://schemas.openxmlformats.org/officeDocument/2006/relationships/hyperlink" Target="https://www.amazon.com/dp/B0987M1RSX?psc=1" TargetMode="External"/><Relationship Id="rId8" Type="http://schemas.openxmlformats.org/officeDocument/2006/relationships/hyperlink" Target="https://www.amazon.com/dp/B0083VCY16?psc=1" TargetMode="External"/><Relationship Id="rId79" Type="http://schemas.openxmlformats.org/officeDocument/2006/relationships/hyperlink" Target="https://m.media-amazon.com/images/I/31zo+bdZqtL._AC_US600_.jpg" TargetMode="External"/><Relationship Id="rId78" Type="http://schemas.openxmlformats.org/officeDocument/2006/relationships/hyperlink" Target="https://www.amazon.com/dp/B0BLGJ7N49?psc=1" TargetMode="External"/><Relationship Id="rId77" Type="http://schemas.openxmlformats.org/officeDocument/2006/relationships/hyperlink" Target="https://m.media-amazon.com/images/I/41gwkxg4GIL._AC_US600_.jpg" TargetMode="External"/><Relationship Id="rId76" Type="http://schemas.openxmlformats.org/officeDocument/2006/relationships/hyperlink" Target="https://www.amazon.com/dp/B09G8JFDP9?psc=1" TargetMode="External"/><Relationship Id="rId75" Type="http://schemas.openxmlformats.org/officeDocument/2006/relationships/hyperlink" Target="https://images-na.ssl-images-amazon.com/images/I/41SgOx0anmL._AC_US600_.jpg" TargetMode="External"/><Relationship Id="rId74" Type="http://schemas.openxmlformats.org/officeDocument/2006/relationships/hyperlink" Target="https://www.amazon.com/dp/B08FVDX8N8?psc=1" TargetMode="External"/><Relationship Id="rId73" Type="http://schemas.openxmlformats.org/officeDocument/2006/relationships/hyperlink" Target="https://images-na.ssl-images-amazon.com/images/I/41u4AEUcFvL._AC_US600_.jpg" TargetMode="External"/><Relationship Id="rId72" Type="http://schemas.openxmlformats.org/officeDocument/2006/relationships/hyperlink" Target="https://www.amazon.com/dp/B08RC642SF?psc=1" TargetMode="External"/><Relationship Id="rId71" Type="http://schemas.openxmlformats.org/officeDocument/2006/relationships/hyperlink" Target="https://images-na.ssl-images-amazon.com/images/I/41xJ4U4MAzL._AC_US600_.jpg" TargetMode="External"/><Relationship Id="rId70" Type="http://schemas.openxmlformats.org/officeDocument/2006/relationships/hyperlink" Target="https://www.amazon.com/dp/B088C4QJF9?psc=1" TargetMode="External"/><Relationship Id="rId7" Type="http://schemas.openxmlformats.org/officeDocument/2006/relationships/hyperlink" Target="https://images-na.ssl-images-amazon.com/images/I/41WjBCxGEiL._AC_US600_.jpg" TargetMode="External"/><Relationship Id="rId69" Type="http://schemas.openxmlformats.org/officeDocument/2006/relationships/hyperlink" Target="https://m.media-amazon.com/images/I/41QurPB1CeL._AC_US600_.jpg" TargetMode="External"/><Relationship Id="rId68" Type="http://schemas.openxmlformats.org/officeDocument/2006/relationships/hyperlink" Target="https://www.amazon.com/dp/B095PD3K7K?psc=1" TargetMode="External"/><Relationship Id="rId67" Type="http://schemas.openxmlformats.org/officeDocument/2006/relationships/hyperlink" Target="https://m.media-amazon.com/images/I/41Y9gaa4VML._AC_US600_.jpg" TargetMode="External"/><Relationship Id="rId66" Type="http://schemas.openxmlformats.org/officeDocument/2006/relationships/hyperlink" Target="https://www.amazon.com/dp/B0147ERKTS?psc=1" TargetMode="External"/><Relationship Id="rId65" Type="http://schemas.openxmlformats.org/officeDocument/2006/relationships/hyperlink" Target="https://images-na.ssl-images-amazon.com/images/I/41JkjpmAezL._AC_US600_.jpg" TargetMode="External"/><Relationship Id="rId64" Type="http://schemas.openxmlformats.org/officeDocument/2006/relationships/hyperlink" Target="https://www.amazon.com/dp/B09MF3J8FS?psc=1" TargetMode="External"/><Relationship Id="rId63" Type="http://schemas.openxmlformats.org/officeDocument/2006/relationships/hyperlink" Target="https://m.media-amazon.com/images/I/41V+eLE3LVL._AC_US600_.jpg" TargetMode="External"/><Relationship Id="rId62" Type="http://schemas.openxmlformats.org/officeDocument/2006/relationships/hyperlink" Target="https://www.amazon.com/dp/B07SW6SLKB?psc=1" TargetMode="External"/><Relationship Id="rId61" Type="http://schemas.openxmlformats.org/officeDocument/2006/relationships/hyperlink" Target="https://images-na.ssl-images-amazon.com/images/I/41yXpW8LruL._AC_US600_.jpg" TargetMode="External"/><Relationship Id="rId60" Type="http://schemas.openxmlformats.org/officeDocument/2006/relationships/hyperlink" Target="https://www.amazon.com/dp/B08P9GQ68Y?psc=1" TargetMode="External"/><Relationship Id="rId6" Type="http://schemas.openxmlformats.org/officeDocument/2006/relationships/hyperlink" Target="https://www.amazon.com/dp/B0964CN2XN?psc=1" TargetMode="External"/><Relationship Id="rId59" Type="http://schemas.openxmlformats.org/officeDocument/2006/relationships/hyperlink" Target="https://images-na.ssl-images-amazon.com/images/I/41CG6D6HY2L._AC_US600_.jpg" TargetMode="External"/><Relationship Id="rId58" Type="http://schemas.openxmlformats.org/officeDocument/2006/relationships/hyperlink" Target="https://www.amazon.com/dp/B0B71HVGLF?psc=1" TargetMode="External"/><Relationship Id="rId57" Type="http://schemas.openxmlformats.org/officeDocument/2006/relationships/hyperlink" Target="https://images-na.ssl-images-amazon.com/images/I/41Ml8W-lTGL._AC_US600_.jpg" TargetMode="External"/><Relationship Id="rId56" Type="http://schemas.openxmlformats.org/officeDocument/2006/relationships/hyperlink" Target="https://www.amazon.com/dp/B07Q6P68X6?psc=1" TargetMode="External"/><Relationship Id="rId55" Type="http://schemas.openxmlformats.org/officeDocument/2006/relationships/hyperlink" Target="https://m.media-amazon.com/images/I/411BmHzH5EL._AC_US600_.jpg" TargetMode="External"/><Relationship Id="rId54" Type="http://schemas.openxmlformats.org/officeDocument/2006/relationships/hyperlink" Target="https://www.amazon.com/dp/B011SJYTI0?psc=1" TargetMode="External"/><Relationship Id="rId53" Type="http://schemas.openxmlformats.org/officeDocument/2006/relationships/hyperlink" Target="https://images-na.ssl-images-amazon.com/images/I/41FoH5vBCOL._AC_US600_.jpg" TargetMode="External"/><Relationship Id="rId52" Type="http://schemas.openxmlformats.org/officeDocument/2006/relationships/hyperlink" Target="https://www.amazon.com/dp/B008JC8QKM?psc=1" TargetMode="External"/><Relationship Id="rId51" Type="http://schemas.openxmlformats.org/officeDocument/2006/relationships/hyperlink" Target="https://images-na.ssl-images-amazon.com/images/I/51gilacc4kL._AC_US600_.jpg" TargetMode="External"/><Relationship Id="rId50" Type="http://schemas.openxmlformats.org/officeDocument/2006/relationships/hyperlink" Target="https://www.amazon.com/dp/B0BSF3MW2N?psc=1" TargetMode="External"/><Relationship Id="rId5" Type="http://schemas.openxmlformats.org/officeDocument/2006/relationships/hyperlink" Target="https://m.media-amazon.com/images/I/41UBU7UON+L._AC_US600_.jpg" TargetMode="External"/><Relationship Id="rId49" Type="http://schemas.openxmlformats.org/officeDocument/2006/relationships/hyperlink" Target="https://images-na.ssl-images-amazon.com/images/I/412tLrBcGwL._AC_US600_.jpg" TargetMode="External"/><Relationship Id="rId48" Type="http://schemas.openxmlformats.org/officeDocument/2006/relationships/hyperlink" Target="https://www.amazon.com/dp/B07X5YMJ3L?psc=1" TargetMode="External"/><Relationship Id="rId47" Type="http://schemas.openxmlformats.org/officeDocument/2006/relationships/hyperlink" Target="https://images-na.ssl-images-amazon.com/images/I/51tVPJMmT1L._AC_US600_.jpg" TargetMode="External"/><Relationship Id="rId46" Type="http://schemas.openxmlformats.org/officeDocument/2006/relationships/hyperlink" Target="https://www.amazon.com/dp/B09GJN5Y6D?psc=1" TargetMode="External"/><Relationship Id="rId45" Type="http://schemas.openxmlformats.org/officeDocument/2006/relationships/hyperlink" Target="https://m.media-amazon.com/images/I/41IjQGFXr-L._AC_US600_.jpg" TargetMode="External"/><Relationship Id="rId44" Type="http://schemas.openxmlformats.org/officeDocument/2006/relationships/hyperlink" Target="https://www.amazon.com/dp/B00CHJDJJQ?psc=1" TargetMode="External"/><Relationship Id="rId43" Type="http://schemas.openxmlformats.org/officeDocument/2006/relationships/hyperlink" Target="https://images-na.ssl-images-amazon.com/images/I/41rbk5VOMnL._AC_US600_.jpg" TargetMode="External"/><Relationship Id="rId42" Type="http://schemas.openxmlformats.org/officeDocument/2006/relationships/hyperlink" Target="https://www.amazon.com/dp/B005Q8X6IO?psc=1" TargetMode="External"/><Relationship Id="rId41" Type="http://schemas.openxmlformats.org/officeDocument/2006/relationships/hyperlink" Target="https://images-na.ssl-images-amazon.com/images/I/41SWD5k1Y-L._AC_US600_.jpg" TargetMode="External"/><Relationship Id="rId40" Type="http://schemas.openxmlformats.org/officeDocument/2006/relationships/hyperlink" Target="https://www.amazon.com/dp/B00NZIQLMU?psc=1" TargetMode="External"/><Relationship Id="rId4" Type="http://schemas.openxmlformats.org/officeDocument/2006/relationships/hyperlink" Target="https://www.amazon.com/dp/B09298DT37?psc=1" TargetMode="External"/><Relationship Id="rId39" Type="http://schemas.openxmlformats.org/officeDocument/2006/relationships/hyperlink" Target="https://images-na.ssl-images-amazon.com/images/I/41pDv5qfRnL._AC_US600_.jpg" TargetMode="External"/><Relationship Id="rId38" Type="http://schemas.openxmlformats.org/officeDocument/2006/relationships/hyperlink" Target="https://www.amazon.com/dp/B0B136TCBC?psc=1" TargetMode="External"/><Relationship Id="rId37" Type="http://schemas.openxmlformats.org/officeDocument/2006/relationships/hyperlink" Target="https://m.media-amazon.com/images/I/41NR0-peAmL._AC_US600_.jpg" TargetMode="External"/><Relationship Id="rId36" Type="http://schemas.openxmlformats.org/officeDocument/2006/relationships/hyperlink" Target="https://www.amazon.com/dp/B089TYDR5H?psc=1" TargetMode="External"/><Relationship Id="rId35" Type="http://schemas.openxmlformats.org/officeDocument/2006/relationships/hyperlink" Target="https://images-na.ssl-images-amazon.com/images/I/41w5VFSI4nL._AC_US600_.jpg" TargetMode="External"/><Relationship Id="rId34" Type="http://schemas.openxmlformats.org/officeDocument/2006/relationships/hyperlink" Target="https://www.amazon.com/dp/B01MQK2DA6?psc=1" TargetMode="External"/><Relationship Id="rId33" Type="http://schemas.openxmlformats.org/officeDocument/2006/relationships/hyperlink" Target="https://images-na.ssl-images-amazon.com/images/I/41N9FPsKdJL._AC_US600_.jpg" TargetMode="External"/><Relationship Id="rId32" Type="http://schemas.openxmlformats.org/officeDocument/2006/relationships/hyperlink" Target="https://www.amazon.com/dp/B08ZH2S854?psc=1" TargetMode="External"/><Relationship Id="rId31" Type="http://schemas.openxmlformats.org/officeDocument/2006/relationships/hyperlink" Target="https://images-na.ssl-images-amazon.com/images/I/31HJLnazaAL._AC_US600_.jpg" TargetMode="External"/><Relationship Id="rId30" Type="http://schemas.openxmlformats.org/officeDocument/2006/relationships/hyperlink" Target="https://www.amazon.com/dp/B0B17QWY2Z?psc=1" TargetMode="External"/><Relationship Id="rId3" Type="http://schemas.openxmlformats.org/officeDocument/2006/relationships/hyperlink" Target="https://images-na.ssl-images-amazon.com/images/I/41t57YssGAL._AC_US600_.jpg" TargetMode="External"/><Relationship Id="rId29" Type="http://schemas.openxmlformats.org/officeDocument/2006/relationships/hyperlink" Target="https://images-na.ssl-images-amazon.com/images/I/41-z7En1hoL._AC_US600_.jpg" TargetMode="External"/><Relationship Id="rId28" Type="http://schemas.openxmlformats.org/officeDocument/2006/relationships/hyperlink" Target="https://www.amazon.com/dp/B0867ZZ9JM?psc=1" TargetMode="External"/><Relationship Id="rId27" Type="http://schemas.openxmlformats.org/officeDocument/2006/relationships/hyperlink" Target="https://images-na.ssl-images-amazon.com/images/I/41IMPI5RI4L._AC_US600_.jpg" TargetMode="External"/><Relationship Id="rId26" Type="http://schemas.openxmlformats.org/officeDocument/2006/relationships/hyperlink" Target="https://www.amazon.com/dp/B0BBM6P11W?psc=1" TargetMode="External"/><Relationship Id="rId25" Type="http://schemas.openxmlformats.org/officeDocument/2006/relationships/hyperlink" Target="https://m.media-amazon.com/images/I/31638Y9DYdL._AC_US600_.jpg" TargetMode="External"/><Relationship Id="rId24" Type="http://schemas.openxmlformats.org/officeDocument/2006/relationships/hyperlink" Target="https://www.amazon.com/dp/B07MKPZDLL?psc=1" TargetMode="External"/><Relationship Id="rId23" Type="http://schemas.openxmlformats.org/officeDocument/2006/relationships/hyperlink" Target="https://m.media-amazon.com/images/I/41PCsRnvAkL._AC_US600_.jpg" TargetMode="External"/><Relationship Id="rId22" Type="http://schemas.openxmlformats.org/officeDocument/2006/relationships/hyperlink" Target="https://www.amazon.com/dp/B00LU2HVAO?psc=1" TargetMode="External"/><Relationship Id="rId21" Type="http://schemas.openxmlformats.org/officeDocument/2006/relationships/hyperlink" Target="https://images-na.ssl-images-amazon.com/images/I/51qUQ-jOkqL._AC_US600_.jpg" TargetMode="External"/><Relationship Id="rId201" Type="http://schemas.openxmlformats.org/officeDocument/2006/relationships/hyperlink" Target="https://images-na.ssl-images-amazon.com/images/I/41k1tziGoAS._AC_US600_.jpg" TargetMode="External"/><Relationship Id="rId200" Type="http://schemas.openxmlformats.org/officeDocument/2006/relationships/hyperlink" Target="https://www.amazon.com/dp/B08JHZPB5S?psc=1" TargetMode="External"/><Relationship Id="rId20" Type="http://schemas.openxmlformats.org/officeDocument/2006/relationships/hyperlink" Target="https://www.amazon.com/dp/B0876235F1?psc=1" TargetMode="External"/><Relationship Id="rId2" Type="http://schemas.openxmlformats.org/officeDocument/2006/relationships/hyperlink" Target="https://www.amazon.com/dp/B08PQ693HQ?psc=1" TargetMode="External"/><Relationship Id="rId199" Type="http://schemas.openxmlformats.org/officeDocument/2006/relationships/hyperlink" Target="https://m.media-amazon.com/images/I/41miFuP8rIL._AC_US600_.jpg" TargetMode="External"/><Relationship Id="rId198" Type="http://schemas.openxmlformats.org/officeDocument/2006/relationships/hyperlink" Target="https://www.amazon.com/dp/B0BF3X44WR?psc=1" TargetMode="External"/><Relationship Id="rId197" Type="http://schemas.openxmlformats.org/officeDocument/2006/relationships/hyperlink" Target="https://images-na.ssl-images-amazon.com/images/I/41TIZyF69yL._AC_US600_.jpg" TargetMode="External"/><Relationship Id="rId196" Type="http://schemas.openxmlformats.org/officeDocument/2006/relationships/hyperlink" Target="https://www.amazon.com/dp/B08NCG29SH?psc=1" TargetMode="External"/><Relationship Id="rId195" Type="http://schemas.openxmlformats.org/officeDocument/2006/relationships/hyperlink" Target="https://images-na.ssl-images-amazon.com/images/I/51CSYZOz7gL._AC_US600_.jpg" TargetMode="External"/><Relationship Id="rId194" Type="http://schemas.openxmlformats.org/officeDocument/2006/relationships/hyperlink" Target="https://www.amazon.com/dp/B0BJKVK3F8?psc=1" TargetMode="External"/><Relationship Id="rId193" Type="http://schemas.openxmlformats.org/officeDocument/2006/relationships/hyperlink" Target="https://images-na.ssl-images-amazon.com/images/I/31cNU6IsXzL._AC_US600_.jpg" TargetMode="External"/><Relationship Id="rId192" Type="http://schemas.openxmlformats.org/officeDocument/2006/relationships/hyperlink" Target="https://www.amazon.com/dp/B00140SC64?psc=1" TargetMode="External"/><Relationship Id="rId191" Type="http://schemas.openxmlformats.org/officeDocument/2006/relationships/hyperlink" Target="https://images-na.ssl-images-amazon.com/images/I/41UVr9ilUVL._AC_US600_.jpg" TargetMode="External"/><Relationship Id="rId190" Type="http://schemas.openxmlformats.org/officeDocument/2006/relationships/hyperlink" Target="https://www.amazon.com/dp/B07D38Q9N7?psc=1" TargetMode="External"/><Relationship Id="rId19" Type="http://schemas.openxmlformats.org/officeDocument/2006/relationships/hyperlink" Target="https://m.media-amazon.com/images/I/41y-KW18W1L._AC_US600_.jpg" TargetMode="External"/><Relationship Id="rId189" Type="http://schemas.openxmlformats.org/officeDocument/2006/relationships/hyperlink" Target="https://images-na.ssl-images-amazon.com/images/I/51fjvS1mjCL._AC_US600_.jpg" TargetMode="External"/><Relationship Id="rId188" Type="http://schemas.openxmlformats.org/officeDocument/2006/relationships/hyperlink" Target="https://www.amazon.com/dp/B09L3HGZLS?psc=1" TargetMode="External"/><Relationship Id="rId187" Type="http://schemas.openxmlformats.org/officeDocument/2006/relationships/hyperlink" Target="https://images-na.ssl-images-amazon.com/images/I/41CTIOPuXeL._AC_US600_.jpg" TargetMode="External"/><Relationship Id="rId186" Type="http://schemas.openxmlformats.org/officeDocument/2006/relationships/hyperlink" Target="https://www.amazon.com/dp/B0B8CCG5KF?psc=1" TargetMode="External"/><Relationship Id="rId185" Type="http://schemas.openxmlformats.org/officeDocument/2006/relationships/hyperlink" Target="https://images-na.ssl-images-amazon.com/images/I/41FWowc-2aL._AC_US600_.jpg" TargetMode="External"/><Relationship Id="rId184" Type="http://schemas.openxmlformats.org/officeDocument/2006/relationships/hyperlink" Target="https://www.amazon.com/dp/B08RMT399S?psc=1" TargetMode="External"/><Relationship Id="rId183" Type="http://schemas.openxmlformats.org/officeDocument/2006/relationships/hyperlink" Target="https://images-na.ssl-images-amazon.com/images/I/41jg9pofJhL._AC_US600_.jpg" TargetMode="External"/><Relationship Id="rId182" Type="http://schemas.openxmlformats.org/officeDocument/2006/relationships/hyperlink" Target="https://www.amazon.com/dp/B009GQ034C?psc=1" TargetMode="External"/><Relationship Id="rId181" Type="http://schemas.openxmlformats.org/officeDocument/2006/relationships/hyperlink" Target="https://images-na.ssl-images-amazon.com/images/I/314lREl4xhL._AC_US600_.jpg" TargetMode="External"/><Relationship Id="rId180" Type="http://schemas.openxmlformats.org/officeDocument/2006/relationships/hyperlink" Target="https://www.amazon.com/dp/B01KZ729F6?psc=1" TargetMode="External"/><Relationship Id="rId18" Type="http://schemas.openxmlformats.org/officeDocument/2006/relationships/hyperlink" Target="https://www.amazon.com/dp/B08QYVWZ2G?psc=1" TargetMode="External"/><Relationship Id="rId179" Type="http://schemas.openxmlformats.org/officeDocument/2006/relationships/hyperlink" Target="https://images-na.ssl-images-amazon.com/images/I/41OhWCFOswL._AC_US600_.jpg" TargetMode="External"/><Relationship Id="rId178" Type="http://schemas.openxmlformats.org/officeDocument/2006/relationships/hyperlink" Target="https://www.amazon.com/dp/B002CVTT4S?psc=1" TargetMode="External"/><Relationship Id="rId177" Type="http://schemas.openxmlformats.org/officeDocument/2006/relationships/hyperlink" Target="https://images-na.ssl-images-amazon.com/images/I/41lRfRszd+L._AC_US600_.jpg" TargetMode="External"/><Relationship Id="rId176" Type="http://schemas.openxmlformats.org/officeDocument/2006/relationships/hyperlink" Target="https://www.amazon.com/dp/B07HYW76FK?psc=1" TargetMode="External"/><Relationship Id="rId175" Type="http://schemas.openxmlformats.org/officeDocument/2006/relationships/hyperlink" Target="https://images-na.ssl-images-amazon.com/images/I/51xA5VopoTL._AC_US600_.jpg" TargetMode="External"/><Relationship Id="rId174" Type="http://schemas.openxmlformats.org/officeDocument/2006/relationships/hyperlink" Target="https://www.amazon.com/dp/B0BFG48CHY?psc=1" TargetMode="External"/><Relationship Id="rId173" Type="http://schemas.openxmlformats.org/officeDocument/2006/relationships/hyperlink" Target="https://m.media-amazon.com/images/I/51kc-16ephL._AC_US600_.jpg" TargetMode="External"/><Relationship Id="rId172" Type="http://schemas.openxmlformats.org/officeDocument/2006/relationships/hyperlink" Target="https://www.amazon.com/dp/B0000A1ZN1?psc=1" TargetMode="External"/><Relationship Id="rId171" Type="http://schemas.openxmlformats.org/officeDocument/2006/relationships/hyperlink" Target="https://images-na.ssl-images-amazon.com/images/I/41KYn3ISrjL._AC_US600_.jpg" TargetMode="External"/><Relationship Id="rId170" Type="http://schemas.openxmlformats.org/officeDocument/2006/relationships/hyperlink" Target="https://www.amazon.com/dp/B072P11H8L?psc=1" TargetMode="External"/><Relationship Id="rId17" Type="http://schemas.openxmlformats.org/officeDocument/2006/relationships/hyperlink" Target="https://images-na.ssl-images-amazon.com/images/I/41KyHhLTobL._AC_US600_.jpg" TargetMode="External"/><Relationship Id="rId169" Type="http://schemas.openxmlformats.org/officeDocument/2006/relationships/hyperlink" Target="https://images-na.ssl-images-amazon.com/images/I/51ggMDXxx5L._AC_US600_.jpg" TargetMode="External"/><Relationship Id="rId168" Type="http://schemas.openxmlformats.org/officeDocument/2006/relationships/hyperlink" Target="https://www.amazon.com/dp/B07B4Z7N9H?psc=1" TargetMode="External"/><Relationship Id="rId167" Type="http://schemas.openxmlformats.org/officeDocument/2006/relationships/hyperlink" Target="https://images-na.ssl-images-amazon.com/images/I/41nKg2uirVL._AC_US600_.jpg" TargetMode="External"/><Relationship Id="rId166" Type="http://schemas.openxmlformats.org/officeDocument/2006/relationships/hyperlink" Target="https://www.amazon.com/dp/B00N8XFFDI?psc=1" TargetMode="External"/><Relationship Id="rId165" Type="http://schemas.openxmlformats.org/officeDocument/2006/relationships/hyperlink" Target="https://images-na.ssl-images-amazon.com/images/I/31pTDtIU7iL._AC_US600_.jpg" TargetMode="External"/><Relationship Id="rId164" Type="http://schemas.openxmlformats.org/officeDocument/2006/relationships/hyperlink" Target="https://www.amazon.com/dp/B07WZT4HB1?psc=1" TargetMode="External"/><Relationship Id="rId163" Type="http://schemas.openxmlformats.org/officeDocument/2006/relationships/hyperlink" Target="https://images-na.ssl-images-amazon.com/images/I/41Q4I7O0fIL._AC_US600_.jpg" TargetMode="External"/><Relationship Id="rId162" Type="http://schemas.openxmlformats.org/officeDocument/2006/relationships/hyperlink" Target="https://www.amazon.com/dp/B08NWGNQPS?psc=1" TargetMode="External"/><Relationship Id="rId161" Type="http://schemas.openxmlformats.org/officeDocument/2006/relationships/hyperlink" Target="https://images-na.ssl-images-amazon.com/images/I/41tEuXDwjJS._AC_US600_.jpg" TargetMode="External"/><Relationship Id="rId160" Type="http://schemas.openxmlformats.org/officeDocument/2006/relationships/hyperlink" Target="https://www.amazon.com/dp/B09HMK8K4Q?psc=1" TargetMode="External"/><Relationship Id="rId16" Type="http://schemas.openxmlformats.org/officeDocument/2006/relationships/hyperlink" Target="https://www.amazon.com/dp/B09JBTCDPS?psc=1" TargetMode="External"/><Relationship Id="rId159" Type="http://schemas.openxmlformats.org/officeDocument/2006/relationships/hyperlink" Target="https://images-na.ssl-images-amazon.com/images/I/41P0kGAUyhL._AC_US600_.jpg" TargetMode="External"/><Relationship Id="rId158" Type="http://schemas.openxmlformats.org/officeDocument/2006/relationships/hyperlink" Target="https://www.amazon.com/dp/B08CKBDQJJ?psc=1" TargetMode="External"/><Relationship Id="rId157" Type="http://schemas.openxmlformats.org/officeDocument/2006/relationships/hyperlink" Target="https://images-na.ssl-images-amazon.com/images/I/41nb9dc1wcL._AC_US600_.jpg" TargetMode="External"/><Relationship Id="rId156" Type="http://schemas.openxmlformats.org/officeDocument/2006/relationships/hyperlink" Target="https://www.amazon.com/dp/B08FBLRGNS?psc=1" TargetMode="External"/><Relationship Id="rId155" Type="http://schemas.openxmlformats.org/officeDocument/2006/relationships/hyperlink" Target="https://images-na.ssl-images-amazon.com/images/I/41jFQwLud+L._AC_US600_.jpg" TargetMode="External"/><Relationship Id="rId154" Type="http://schemas.openxmlformats.org/officeDocument/2006/relationships/hyperlink" Target="https://www.amazon.com/dp/B0B194RTV2?psc=1" TargetMode="External"/><Relationship Id="rId153" Type="http://schemas.openxmlformats.org/officeDocument/2006/relationships/hyperlink" Target="https://images-na.ssl-images-amazon.com/images/I/21fcj-tX47L._AC_US600_.jpg" TargetMode="External"/><Relationship Id="rId152" Type="http://schemas.openxmlformats.org/officeDocument/2006/relationships/hyperlink" Target="https://www.amazon.com/dp/B0B135NQQZ?psc=1" TargetMode="External"/><Relationship Id="rId151" Type="http://schemas.openxmlformats.org/officeDocument/2006/relationships/hyperlink" Target="https://m.media-amazon.com/images/I/31raOLNwuXL._AC_US600_.jpg" TargetMode="External"/><Relationship Id="rId150" Type="http://schemas.openxmlformats.org/officeDocument/2006/relationships/hyperlink" Target="https://www.amazon.com/dp/B002GHBSCO?psc=1" TargetMode="External"/><Relationship Id="rId15" Type="http://schemas.openxmlformats.org/officeDocument/2006/relationships/hyperlink" Target="https://m.media-amazon.com/images/I/41Vd8RJiaZL._AC_US600_.jpg" TargetMode="External"/><Relationship Id="rId149" Type="http://schemas.openxmlformats.org/officeDocument/2006/relationships/hyperlink" Target="https://images-na.ssl-images-amazon.com/images/I/415Nsr+uxEL._AC_US600_.jpg" TargetMode="External"/><Relationship Id="rId148" Type="http://schemas.openxmlformats.org/officeDocument/2006/relationships/hyperlink" Target="https://www.amazon.com/dp/B00NMWRK2E?psc=1" TargetMode="External"/><Relationship Id="rId147" Type="http://schemas.openxmlformats.org/officeDocument/2006/relationships/hyperlink" Target="https://images-na.ssl-images-amazon.com/images/I/41ZJxciLQ+L._AC_US600_.jpg" TargetMode="External"/><Relationship Id="rId146" Type="http://schemas.openxmlformats.org/officeDocument/2006/relationships/hyperlink" Target="https://www.amazon.com/dp/B07D7R61JH?psc=1" TargetMode="External"/><Relationship Id="rId145" Type="http://schemas.openxmlformats.org/officeDocument/2006/relationships/hyperlink" Target="https://images-na.ssl-images-amazon.com/images/I/31GP+5VqgqL._AC_US600_.jpg" TargetMode="External"/><Relationship Id="rId144" Type="http://schemas.openxmlformats.org/officeDocument/2006/relationships/hyperlink" Target="https://www.amazon.com/dp/B092VSV6XY?psc=1" TargetMode="External"/><Relationship Id="rId143" Type="http://schemas.openxmlformats.org/officeDocument/2006/relationships/hyperlink" Target="https://images-na.ssl-images-amazon.com/images/I/41t+hjWbevL._AC_US600_.jpg" TargetMode="External"/><Relationship Id="rId142" Type="http://schemas.openxmlformats.org/officeDocument/2006/relationships/hyperlink" Target="https://www.amazon.com/dp/B09X1XTZHQ?psc=1" TargetMode="External"/><Relationship Id="rId141" Type="http://schemas.openxmlformats.org/officeDocument/2006/relationships/hyperlink" Target="https://images-na.ssl-images-amazon.com/images/I/311Pt2KCf6L._AC_US600_.jpg" TargetMode="External"/><Relationship Id="rId140" Type="http://schemas.openxmlformats.org/officeDocument/2006/relationships/hyperlink" Target="https://www.amazon.com/dp/B09KBQPRNZ?psc=1" TargetMode="External"/><Relationship Id="rId14" Type="http://schemas.openxmlformats.org/officeDocument/2006/relationships/hyperlink" Target="https://www.amazon.com/dp/B07G4SMDMD?psc=1" TargetMode="External"/><Relationship Id="rId139" Type="http://schemas.openxmlformats.org/officeDocument/2006/relationships/hyperlink" Target="https://images-na.ssl-images-amazon.com/images/I/41JV20XZHRL._AC_US600_.jpg" TargetMode="External"/><Relationship Id="rId138" Type="http://schemas.openxmlformats.org/officeDocument/2006/relationships/hyperlink" Target="https://www.amazon.com/dp/B07Y1GZ38K?psc=1" TargetMode="External"/><Relationship Id="rId137" Type="http://schemas.openxmlformats.org/officeDocument/2006/relationships/hyperlink" Target="https://images-na.ssl-images-amazon.com/images/I/41+LnwdCj5L._AC_US600_.jpg" TargetMode="External"/><Relationship Id="rId136" Type="http://schemas.openxmlformats.org/officeDocument/2006/relationships/hyperlink" Target="https://www.amazon.com/dp/B0B48B7PN5?psc=1" TargetMode="External"/><Relationship Id="rId135" Type="http://schemas.openxmlformats.org/officeDocument/2006/relationships/hyperlink" Target="https://images-na.ssl-images-amazon.com/images/I/41yAn1ncNnL._AC_US600_.jpg" TargetMode="External"/><Relationship Id="rId134" Type="http://schemas.openxmlformats.org/officeDocument/2006/relationships/hyperlink" Target="https://www.amazon.com/dp/B007P204UM?psc=1" TargetMode="External"/><Relationship Id="rId133" Type="http://schemas.openxmlformats.org/officeDocument/2006/relationships/hyperlink" Target="https://m.media-amazon.com/images/I/41al6p5fMrL._AC_US600_.jpg" TargetMode="External"/><Relationship Id="rId132" Type="http://schemas.openxmlformats.org/officeDocument/2006/relationships/hyperlink" Target="https://www.amazon.com/dp/B07KPP932D?psc=1" TargetMode="External"/><Relationship Id="rId131" Type="http://schemas.openxmlformats.org/officeDocument/2006/relationships/hyperlink" Target="https://images-na.ssl-images-amazon.com/images/I/415TX8+SyES._AC_US600_.jpg" TargetMode="External"/><Relationship Id="rId130" Type="http://schemas.openxmlformats.org/officeDocument/2006/relationships/hyperlink" Target="https://www.amazon.com/dp/B00COMHBT0?psc=1" TargetMode="External"/><Relationship Id="rId13" Type="http://schemas.openxmlformats.org/officeDocument/2006/relationships/hyperlink" Target="https://images-na.ssl-images-amazon.com/images/I/41qDdqQ3qvL._AC_US600_.jpg" TargetMode="External"/><Relationship Id="rId129" Type="http://schemas.openxmlformats.org/officeDocument/2006/relationships/hyperlink" Target="https://images-na.ssl-images-amazon.com/images/I/31WZFas133L._AC_US600_.jpg" TargetMode="External"/><Relationship Id="rId128" Type="http://schemas.openxmlformats.org/officeDocument/2006/relationships/hyperlink" Target="https://www.amazon.com/dp/B07S2VVHLF?psc=1" TargetMode="External"/><Relationship Id="rId127" Type="http://schemas.openxmlformats.org/officeDocument/2006/relationships/hyperlink" Target="https://images-na.ssl-images-amazon.com/images/I/412gMdDA0YL._AC_US600_.jpg" TargetMode="External"/><Relationship Id="rId126" Type="http://schemas.openxmlformats.org/officeDocument/2006/relationships/hyperlink" Target="https://www.amazon.com/dp/B07QS9NM28?psc=1" TargetMode="External"/><Relationship Id="rId125" Type="http://schemas.openxmlformats.org/officeDocument/2006/relationships/hyperlink" Target="https://images-na.ssl-images-amazon.com/images/I/41AVxlbG47L._AC_US600_.jpg" TargetMode="External"/><Relationship Id="rId124" Type="http://schemas.openxmlformats.org/officeDocument/2006/relationships/hyperlink" Target="https://www.amazon.com/dp/B0B218XGDV?psc=1" TargetMode="External"/><Relationship Id="rId123" Type="http://schemas.openxmlformats.org/officeDocument/2006/relationships/hyperlink" Target="https://images-na.ssl-images-amazon.com/images/I/41cUhmlrHuL._AC_US600_.jpg" TargetMode="External"/><Relationship Id="rId122" Type="http://schemas.openxmlformats.org/officeDocument/2006/relationships/hyperlink" Target="https://www.amazon.com/dp/B09V7SZK2X?psc=1" TargetMode="External"/><Relationship Id="rId121" Type="http://schemas.openxmlformats.org/officeDocument/2006/relationships/hyperlink" Target="https://images-na.ssl-images-amazon.com/images/I/413JL-C9COL._AC_US600_.jpg" TargetMode="External"/><Relationship Id="rId120" Type="http://schemas.openxmlformats.org/officeDocument/2006/relationships/hyperlink" Target="https://www.amazon.com/dp/B08PK2J94Y?psc=1" TargetMode="External"/><Relationship Id="rId12" Type="http://schemas.openxmlformats.org/officeDocument/2006/relationships/hyperlink" Target="https://www.amazon.com/dp/B00PQZVKGW?psc=1" TargetMode="External"/><Relationship Id="rId119" Type="http://schemas.openxmlformats.org/officeDocument/2006/relationships/hyperlink" Target="https://m.media-amazon.com/images/I/41ChqSj1ITL._AC_US600_.jpg" TargetMode="External"/><Relationship Id="rId118" Type="http://schemas.openxmlformats.org/officeDocument/2006/relationships/hyperlink" Target="https://www.amazon.com/dp/B08ZDGNLW8?psc=1" TargetMode="External"/><Relationship Id="rId117" Type="http://schemas.openxmlformats.org/officeDocument/2006/relationships/hyperlink" Target="https://m.media-amazon.com/images/I/41o0drpzDPL._AC_US600_.jpg" TargetMode="External"/><Relationship Id="rId116" Type="http://schemas.openxmlformats.org/officeDocument/2006/relationships/hyperlink" Target="https://www.amazon.com/dp/B09ZKPM7XV?psc=1" TargetMode="External"/><Relationship Id="rId115" Type="http://schemas.openxmlformats.org/officeDocument/2006/relationships/hyperlink" Target="https://images-na.ssl-images-amazon.com/images/I/41MToYfpoAL._AC_US600_.jpg" TargetMode="External"/><Relationship Id="rId114" Type="http://schemas.openxmlformats.org/officeDocument/2006/relationships/hyperlink" Target="https://www.amazon.com/dp/B09W2G36RF?psc=1" TargetMode="External"/><Relationship Id="rId113" Type="http://schemas.openxmlformats.org/officeDocument/2006/relationships/hyperlink" Target="https://images-na.ssl-images-amazon.com/images/I/51Un55CSMhL._AC_US600_.jpg" TargetMode="External"/><Relationship Id="rId112" Type="http://schemas.openxmlformats.org/officeDocument/2006/relationships/hyperlink" Target="https://www.amazon.com/dp/B00ZGCKXUO?psc=1" TargetMode="External"/><Relationship Id="rId111" Type="http://schemas.openxmlformats.org/officeDocument/2006/relationships/hyperlink" Target="https://m.media-amazon.com/images/I/31SujMPHC7L._AC_US600_.jpg" TargetMode="External"/><Relationship Id="rId110" Type="http://schemas.openxmlformats.org/officeDocument/2006/relationships/hyperlink" Target="https://www.amazon.com/dp/B088Z25SK6?psc=1" TargetMode="External"/><Relationship Id="rId11" Type="http://schemas.openxmlformats.org/officeDocument/2006/relationships/hyperlink" Target="https://images-na.ssl-images-amazon.com/images/I/518y+C6UAdL._AC_US600_.jpg" TargetMode="External"/><Relationship Id="rId109" Type="http://schemas.openxmlformats.org/officeDocument/2006/relationships/hyperlink" Target="https://images-na.ssl-images-amazon.com/images/I/413GF2DGAqL._AC_US600_.jpg" TargetMode="External"/><Relationship Id="rId108" Type="http://schemas.openxmlformats.org/officeDocument/2006/relationships/hyperlink" Target="https://www.amazon.com/dp/B0BFJYZC55?psc=1" TargetMode="External"/><Relationship Id="rId107" Type="http://schemas.openxmlformats.org/officeDocument/2006/relationships/hyperlink" Target="https://m.media-amazon.com/images/I/41x84iPcyDL._AC_US600_.jpg" TargetMode="External"/><Relationship Id="rId106" Type="http://schemas.openxmlformats.org/officeDocument/2006/relationships/hyperlink" Target="https://www.amazon.com/dp/B08QZYYR27?psc=1" TargetMode="External"/><Relationship Id="rId105" Type="http://schemas.openxmlformats.org/officeDocument/2006/relationships/hyperlink" Target="https://images-na.ssl-images-amazon.com/images/I/31DVFkbON7L._AC_US600_.jpg" TargetMode="External"/><Relationship Id="rId104" Type="http://schemas.openxmlformats.org/officeDocument/2006/relationships/hyperlink" Target="https://www.amazon.com/dp/B0007Y17WO?psc=1" TargetMode="External"/><Relationship Id="rId103" Type="http://schemas.openxmlformats.org/officeDocument/2006/relationships/hyperlink" Target="https://images-na.ssl-images-amazon.com/images/I/41OX9FgpENL._AC_US600_.jpg" TargetMode="External"/><Relationship Id="rId102" Type="http://schemas.openxmlformats.org/officeDocument/2006/relationships/hyperlink" Target="https://www.amazon.com/dp/B0B7JBX9YH?psc=1" TargetMode="External"/><Relationship Id="rId101" Type="http://schemas.openxmlformats.org/officeDocument/2006/relationships/hyperlink" Target="https://images-na.ssl-images-amazon.com/images/I/41miFuP8rIL._AC_US600_.jpg" TargetMode="External"/><Relationship Id="rId100" Type="http://schemas.openxmlformats.org/officeDocument/2006/relationships/hyperlink" Target="https://www.amazon.com/dp/B09XM6JFBD?psc=1" TargetMode="External"/><Relationship Id="rId10" Type="http://schemas.openxmlformats.org/officeDocument/2006/relationships/hyperlink" Target="https://www.amazon.com/dp/B0763ZK56Q?psc=1" TargetMode="Externa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9" Type="http://schemas.openxmlformats.org/officeDocument/2006/relationships/hyperlink" Target="https://www.amazon.com/COSORI-Airfryer-Dishwasher-Safe-freidora-Exclusive/dp/B0936FGLQS/ref=zg_bs_17659096011_sccl_3/131-7353464-5516810?th=1" TargetMode="External"/><Relationship Id="rId8" Type="http://schemas.openxmlformats.org/officeDocument/2006/relationships/hyperlink" Target="https://www.fabuletta.com/" TargetMode="External"/><Relationship Id="rId7" Type="http://schemas.openxmlformats.org/officeDocument/2006/relationships/hyperlink" Target="https://www.youtube.com/watch?v=LXKAn5fCUq4" TargetMode="External"/><Relationship Id="rId6" Type="http://schemas.openxmlformats.org/officeDocument/2006/relationships/hyperlink" Target="https://www.amazon.com/Fabuletta-Customizable-Programs-Reminder-Dishwasher-Safe/dp/B0B6ZXKNJN" TargetMode="External"/><Relationship Id="rId5" Type="http://schemas.openxmlformats.org/officeDocument/2006/relationships/hyperlink" Target="https://www.ninjakitchen.com/" TargetMode="External"/><Relationship Id="rId4" Type="http://schemas.openxmlformats.org/officeDocument/2006/relationships/hyperlink" Target="https://www.amazon.com/Ninja-AF101-Fryer-Black-gray/dp/B07FDJMC9Q" TargetMode="External"/><Relationship Id="rId36" Type="http://schemas.openxmlformats.org/officeDocument/2006/relationships/hyperlink" Target="https://www.amazon.com/Ninja-DZ401-Independent-Dehydrate-Family-Sized/dp/B096X9LGJ1/ref=zg_bs_17659096011_sccl_8/131-7353464-5516810?th=1" TargetMode="External"/><Relationship Id="rId35" Type="http://schemas.openxmlformats.org/officeDocument/2006/relationships/hyperlink" Target="https://www.youtube.com/watch?v=JUNm20BVccs" TargetMode="External"/><Relationship Id="rId34" Type="http://schemas.openxmlformats.org/officeDocument/2006/relationships/hyperlink" Target="https://www.youtube.com/watch?v=55aI5rq8CAo" TargetMode="External"/><Relationship Id="rId33" Type="http://schemas.openxmlformats.org/officeDocument/2006/relationships/hyperlink" Target="https://www.amazon.com/Ninja-DZ201-2-Basket-Technology-Stainless/dp/B089TQWJKK/ref=zg_bs_17659096011_sccl_4/131-7353464-5516810?th=1" TargetMode="External"/><Relationship Id="rId32" Type="http://schemas.openxmlformats.org/officeDocument/2006/relationships/hyperlink" Target="https://chefman.com/" TargetMode="External"/><Relationship Id="rId31" Type="http://schemas.openxmlformats.org/officeDocument/2006/relationships/hyperlink" Target="https://www.youtube.com/watch?v=FcroWxTuudI" TargetMode="External"/><Relationship Id="rId30" Type="http://schemas.openxmlformats.org/officeDocument/2006/relationships/hyperlink" Target="https://www.amazon.com/Chefman-TurboFry-Air-Fryer-Dishwasher/dp/B08DKYBTPH" TargetMode="External"/><Relationship Id="rId3" Type="http://schemas.openxmlformats.org/officeDocument/2006/relationships/hyperlink" Target="https://crownful.com/" TargetMode="External"/><Relationship Id="rId29" Type="http://schemas.openxmlformats.org/officeDocument/2006/relationships/hyperlink" Target="https://www.youtube.com/watch?v=HsGVXujTkDg" TargetMode="External"/><Relationship Id="rId28" Type="http://schemas.openxmlformats.org/officeDocument/2006/relationships/hyperlink" Target="https://www.nuwavekitchen.com/" TargetMode="External"/><Relationship Id="rId27" Type="http://schemas.openxmlformats.org/officeDocument/2006/relationships/hyperlink" Target="https://www.amazon.com/7-25-Qt-One-Touch-Controls-Temperature-Increments/dp/B075X3287P" TargetMode="External"/><Relationship Id="rId26" Type="http://schemas.openxmlformats.org/officeDocument/2006/relationships/hyperlink" Target="https://www.youtube.com/watch?v=Qg2EN4S3uq0" TargetMode="External"/><Relationship Id="rId25" Type="http://schemas.openxmlformats.org/officeDocument/2006/relationships/hyperlink" Target="https://www.gourmia.com/" TargetMode="External"/><Relationship Id="rId24" Type="http://schemas.openxmlformats.org/officeDocument/2006/relationships/hyperlink" Target="https://www.youtube.com/watch?v=EDm8ghfXhvM" TargetMode="External"/><Relationship Id="rId23" Type="http://schemas.openxmlformats.org/officeDocument/2006/relationships/hyperlink" Target="https://www.amazon.com/Gourmia-GAF686-Digital-Guided-Cooking/dp/B09MR49K1D/ref=zg_bs_17659096011_sccl_20/131-7353464-5516810?th=1" TargetMode="External"/><Relationship Id="rId22" Type="http://schemas.openxmlformats.org/officeDocument/2006/relationships/hyperlink" Target="https://www.amazon.com/CROWNFUL-Electric-Functions-Temperature-Listed-White/dp/B092PY8F5J/" TargetMode="External"/><Relationship Id="rId21" Type="http://schemas.openxmlformats.org/officeDocument/2006/relationships/hyperlink" Target="https://www.youtube.com/watch?v=f4DTH3737ps" TargetMode="External"/><Relationship Id="rId20" Type="http://schemas.openxmlformats.org/officeDocument/2006/relationships/hyperlink" Target="https://www.amazon.com/Instant-Vortex-ClearCook-Reheat-Dehydrate/dp/B096N3FTZP" TargetMode="External"/><Relationship Id="rId2" Type="http://schemas.openxmlformats.org/officeDocument/2006/relationships/vmlDrawing" Target="../drawings/vmlDrawing3.vml"/><Relationship Id="rId19" Type="http://schemas.openxmlformats.org/officeDocument/2006/relationships/hyperlink" Target="https://www.instanthome.com/" TargetMode="External"/><Relationship Id="rId18" Type="http://schemas.openxmlformats.org/officeDocument/2006/relationships/hyperlink" Target="https://www.youtube.com/watch?v=hOcD0RLLljY&amp;t=2s" TargetMode="External"/><Relationship Id="rId17" Type="http://schemas.openxmlformats.org/officeDocument/2006/relationships/hyperlink" Target="https://www.amazon.com/Instant-Vortex-Plus-Air-Fryer/dp/B07VHFMZHJ" TargetMode="External"/><Relationship Id="rId16" Type="http://schemas.openxmlformats.org/officeDocument/2006/relationships/hyperlink" Target="https://www.gowiseproducts.com/" TargetMode="External"/><Relationship Id="rId15" Type="http://schemas.openxmlformats.org/officeDocument/2006/relationships/hyperlink" Target="https://www.youtube.com/watch?v=N410IdpsYDc" TargetMode="External"/><Relationship Id="rId14" Type="http://schemas.openxmlformats.org/officeDocument/2006/relationships/hyperlink" Target="https://www.amazon.com/GoWISE-USA-5-8-Quarts-Electric-Recipes/dp/B0777RJG6D/ref=zg_bs_17659096011_sccl_12/131-7353464-5516810?psc=1" TargetMode="External"/><Relationship Id="rId13" Type="http://schemas.openxmlformats.org/officeDocument/2006/relationships/hyperlink" Target="https://www.youtube.com/watch?v=fnJhFfbQzGM" TargetMode="External"/><Relationship Id="rId12" Type="http://schemas.openxmlformats.org/officeDocument/2006/relationships/hyperlink" Target="https://www.amazon.com/COSORI-1700-Watt-Cookbook-One-Touchscreen-Customizable/dp/B085W3GN5J" TargetMode="External"/><Relationship Id="rId11" Type="http://schemas.openxmlformats.org/officeDocument/2006/relationships/hyperlink" Target="https://cosori.com/" TargetMode="External"/><Relationship Id="rId10" Type="http://schemas.openxmlformats.org/officeDocument/2006/relationships/hyperlink" Target="https://www.youtube.com/watch?v=-PEYya_hSnQ" TargetMode="Externa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4" Type="http://schemas.openxmlformats.org/officeDocument/2006/relationships/hyperlink" Target="https://hengling.1688.com/page/offerlist_141115206.htm?spm=0.0.wp_pc_common_topnav_category_38229151.0" TargetMode="External"/><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99" Type="http://schemas.openxmlformats.org/officeDocument/2006/relationships/hyperlink" Target="https://www.amazon.com/dp/B07P66567C?psc=1" TargetMode="External"/><Relationship Id="rId98" Type="http://schemas.openxmlformats.org/officeDocument/2006/relationships/hyperlink" Target="https://images-na.ssl-images-amazon.com/images/I/41k31Oq2r9L._AC_US600_.jpg" TargetMode="External"/><Relationship Id="rId97" Type="http://schemas.openxmlformats.org/officeDocument/2006/relationships/hyperlink" Target="https://www.amazon.com/dp/B0BGKGV1NF?psc=1" TargetMode="External"/><Relationship Id="rId96" Type="http://schemas.openxmlformats.org/officeDocument/2006/relationships/hyperlink" Target="https://m.media-amazon.com/images/I/31HLPsI7ThL._AC_US600_.jpg" TargetMode="External"/><Relationship Id="rId95" Type="http://schemas.openxmlformats.org/officeDocument/2006/relationships/hyperlink" Target="https://www.amazon.com/dp/B07Y8VCFMR?psc=1" TargetMode="External"/><Relationship Id="rId94" Type="http://schemas.openxmlformats.org/officeDocument/2006/relationships/hyperlink" Target="https://images-na.ssl-images-amazon.com/images/I/31fnpyJnhcL._AC_US600_.jpg" TargetMode="External"/><Relationship Id="rId93" Type="http://schemas.openxmlformats.org/officeDocument/2006/relationships/hyperlink" Target="https://www.amazon.com/dp/B09MF5CFFD?psc=1" TargetMode="External"/><Relationship Id="rId92" Type="http://schemas.openxmlformats.org/officeDocument/2006/relationships/hyperlink" Target="https://images-na.ssl-images-amazon.com/images/I/31D1tYQslbL._AC_US600_.jpg" TargetMode="External"/><Relationship Id="rId91" Type="http://schemas.openxmlformats.org/officeDocument/2006/relationships/hyperlink" Target="https://www.amazon.com/dp/B00MWXSFM8?psc=1" TargetMode="External"/><Relationship Id="rId90" Type="http://schemas.openxmlformats.org/officeDocument/2006/relationships/hyperlink" Target="https://images-na.ssl-images-amazon.com/images/I/31yzIfGFp3L._AC_US600_.jpg" TargetMode="External"/><Relationship Id="rId9" Type="http://schemas.openxmlformats.org/officeDocument/2006/relationships/hyperlink" Target="https://www.amazon.com/dp/B07S2RBCT5?psc=1" TargetMode="External"/><Relationship Id="rId89" Type="http://schemas.openxmlformats.org/officeDocument/2006/relationships/hyperlink" Target="https://www.amazon.com/dp/B09LYVDN7Y?psc=1" TargetMode="External"/><Relationship Id="rId88" Type="http://schemas.openxmlformats.org/officeDocument/2006/relationships/hyperlink" Target="https://images-na.ssl-images-amazon.com/images/I/31w+Xx7fZHL._AC_US600_.jpg" TargetMode="External"/><Relationship Id="rId87" Type="http://schemas.openxmlformats.org/officeDocument/2006/relationships/hyperlink" Target="https://www.amazon.com/dp/B0BFH9KX59?psc=1" TargetMode="External"/><Relationship Id="rId86" Type="http://schemas.openxmlformats.org/officeDocument/2006/relationships/hyperlink" Target="https://m.media-amazon.com/images/I/3146ZDQgFxL._AC_SR600,600_.jpg" TargetMode="External"/><Relationship Id="rId85" Type="http://schemas.openxmlformats.org/officeDocument/2006/relationships/hyperlink" Target="https://www.amazon.com/dp/B0B51Q8CY1?psc=1" TargetMode="External"/><Relationship Id="rId84" Type="http://schemas.openxmlformats.org/officeDocument/2006/relationships/hyperlink" Target="https://m.media-amazon.com/images/I/41QNXHPtXgL._AC_SR600,600_.jpg" TargetMode="External"/><Relationship Id="rId83" Type="http://schemas.openxmlformats.org/officeDocument/2006/relationships/hyperlink" Target="https://www.amazon.com/dp/B0832WZ8K8?psc=1" TargetMode="External"/><Relationship Id="rId82" Type="http://schemas.openxmlformats.org/officeDocument/2006/relationships/hyperlink" Target="https://images-na.ssl-images-amazon.com/images/I/31idqqAQJCL._AC_US600_.jpg" TargetMode="External"/><Relationship Id="rId81" Type="http://schemas.openxmlformats.org/officeDocument/2006/relationships/hyperlink" Target="https://www.amazon.com/dp/B091FYKBP5?psc=1" TargetMode="External"/><Relationship Id="rId80" Type="http://schemas.openxmlformats.org/officeDocument/2006/relationships/hyperlink" Target="https://images-na.ssl-images-amazon.com/images/I/31PNhs+t3HL._AC_US600_.jpg" TargetMode="External"/><Relationship Id="rId8" Type="http://schemas.openxmlformats.org/officeDocument/2006/relationships/hyperlink" Target="https://images-na.ssl-images-amazon.com/images/I/31zvudif4zL._AC_US600_.jpg" TargetMode="External"/><Relationship Id="rId79" Type="http://schemas.openxmlformats.org/officeDocument/2006/relationships/hyperlink" Target="https://www.amazon.com/dp/B07Y8TT7N5?psc=1" TargetMode="External"/><Relationship Id="rId78" Type="http://schemas.openxmlformats.org/officeDocument/2006/relationships/hyperlink" Target="https://images-na.ssl-images-amazon.com/images/I/31wtjtUOH5L._AC_US600_.jpg" TargetMode="External"/><Relationship Id="rId77" Type="http://schemas.openxmlformats.org/officeDocument/2006/relationships/hyperlink" Target="https://www.amazon.com/dp/B07DQSWT42?psc=1" TargetMode="External"/><Relationship Id="rId76" Type="http://schemas.openxmlformats.org/officeDocument/2006/relationships/hyperlink" Target="https://images-na.ssl-images-amazon.com/images/I/21qojl5cDfL._AC_US600_.jpg" TargetMode="External"/><Relationship Id="rId75" Type="http://schemas.openxmlformats.org/officeDocument/2006/relationships/hyperlink" Target="https://www.amazon.com/dp/B00IR8H55A?psc=1" TargetMode="External"/><Relationship Id="rId74" Type="http://schemas.openxmlformats.org/officeDocument/2006/relationships/hyperlink" Target="https://images-na.ssl-images-amazon.com/images/I/31nmE6OEZ4L._AC_US600_.jpg" TargetMode="External"/><Relationship Id="rId73" Type="http://schemas.openxmlformats.org/officeDocument/2006/relationships/hyperlink" Target="https://www.amazon.com/dp/B01DZQI70K?psc=1" TargetMode="External"/><Relationship Id="rId72" Type="http://schemas.openxmlformats.org/officeDocument/2006/relationships/hyperlink" Target="https://m.media-amazon.com/images/I/41Vzf6e8V5L._AC_SR600,600_.jpg" TargetMode="External"/><Relationship Id="rId71" Type="http://schemas.openxmlformats.org/officeDocument/2006/relationships/hyperlink" Target="https://www.amazon.com/dp/B08GS23VJV?psc=1" TargetMode="External"/><Relationship Id="rId70" Type="http://schemas.openxmlformats.org/officeDocument/2006/relationships/hyperlink" Target="https://m.media-amazon.com/images/I/41lMNyXxDYL._AC_SR600,600_.jpg" TargetMode="External"/><Relationship Id="rId7" Type="http://schemas.openxmlformats.org/officeDocument/2006/relationships/hyperlink" Target="https://www.amazon.com/dp/B076X7HF7F?psc=1" TargetMode="External"/><Relationship Id="rId69" Type="http://schemas.openxmlformats.org/officeDocument/2006/relationships/hyperlink" Target="https://www.amazon.com/dp/B07VGP5787?psc=1" TargetMode="External"/><Relationship Id="rId68" Type="http://schemas.openxmlformats.org/officeDocument/2006/relationships/hyperlink" Target="https://m.media-amazon.com/images/W/WEBP_402378-T2/images/I/314WdtoHNvL._AC_SR600,600_.jpg" TargetMode="External"/><Relationship Id="rId67" Type="http://schemas.openxmlformats.org/officeDocument/2006/relationships/hyperlink" Target="https://www.amazon.com/dp/B0934YSY7C?psc=1" TargetMode="External"/><Relationship Id="rId66" Type="http://schemas.openxmlformats.org/officeDocument/2006/relationships/hyperlink" Target="https://images-na.ssl-images-amazon.com/images/I/31ruuRp2JhL._AC_US600_.jpg" TargetMode="External"/><Relationship Id="rId65" Type="http://schemas.openxmlformats.org/officeDocument/2006/relationships/hyperlink" Target="https://www.amazon.com/dp/B01DZQI6YW?psc=1" TargetMode="External"/><Relationship Id="rId64" Type="http://schemas.openxmlformats.org/officeDocument/2006/relationships/hyperlink" Target="https://images-na.ssl-images-amazon.com/images/I/31+T9l0EHXS._AC_US600_.jpg" TargetMode="External"/><Relationship Id="rId63" Type="http://schemas.openxmlformats.org/officeDocument/2006/relationships/hyperlink" Target="https://www.amazon.com/dp/B00Q477Z5Q?psc=1" TargetMode="External"/><Relationship Id="rId62" Type="http://schemas.openxmlformats.org/officeDocument/2006/relationships/hyperlink" Target="https://images-na.ssl-images-amazon.com/images/I/41ubFfpzPHL._AC_US600_.jpg" TargetMode="External"/><Relationship Id="rId61" Type="http://schemas.openxmlformats.org/officeDocument/2006/relationships/hyperlink" Target="https://www.amazon.com/dp/B08G5575X6?psc=1" TargetMode="External"/><Relationship Id="rId60" Type="http://schemas.openxmlformats.org/officeDocument/2006/relationships/hyperlink" Target="https://images-na.ssl-images-amazon.com/images/I/41QMc8k3i9S._AC_US600_.jpg" TargetMode="External"/><Relationship Id="rId6" Type="http://schemas.openxmlformats.org/officeDocument/2006/relationships/hyperlink" Target="https://images-na.ssl-images-amazon.com/images/I/41tMsAM-k9L._AC_US600_.jpg" TargetMode="External"/><Relationship Id="rId59" Type="http://schemas.openxmlformats.org/officeDocument/2006/relationships/hyperlink" Target="https://www.amazon.com/dp/B08QDSL3Z8?psc=1" TargetMode="External"/><Relationship Id="rId58" Type="http://schemas.openxmlformats.org/officeDocument/2006/relationships/hyperlink" Target="https://images-na.ssl-images-amazon.com/images/I/31hndm3ucxL._AC_US600_.jpg" TargetMode="External"/><Relationship Id="rId57" Type="http://schemas.openxmlformats.org/officeDocument/2006/relationships/hyperlink" Target="https://www.amazon.com/dp/B0B9Y4NK4Y?psc=1" TargetMode="External"/><Relationship Id="rId56" Type="http://schemas.openxmlformats.org/officeDocument/2006/relationships/hyperlink" Target="https://images-na.ssl-images-amazon.com/images/I/31YqdW5BqJL._AC_US600_.jpg" TargetMode="External"/><Relationship Id="rId55" Type="http://schemas.openxmlformats.org/officeDocument/2006/relationships/hyperlink" Target="https://www.amazon.com/dp/B07JCBG524?psc=1" TargetMode="External"/><Relationship Id="rId54" Type="http://schemas.openxmlformats.org/officeDocument/2006/relationships/hyperlink" Target="https://images-na.ssl-images-amazon.com/images/I/21aU0HdbrhL._AC_US600_.jpg" TargetMode="External"/><Relationship Id="rId53" Type="http://schemas.openxmlformats.org/officeDocument/2006/relationships/hyperlink" Target="https://www.amazon.com/dp/B08RJKSGSH?psc=1" TargetMode="External"/><Relationship Id="rId52" Type="http://schemas.openxmlformats.org/officeDocument/2006/relationships/hyperlink" Target="https://images-na.ssl-images-amazon.com/images/I/41BHj72fx2L._AC_US600_.jpg" TargetMode="External"/><Relationship Id="rId51" Type="http://schemas.openxmlformats.org/officeDocument/2006/relationships/hyperlink" Target="https://www.amazon.com/dp/B07T1MKP41?psc=1" TargetMode="External"/><Relationship Id="rId50" Type="http://schemas.openxmlformats.org/officeDocument/2006/relationships/hyperlink" Target="https://images-na.ssl-images-amazon.com/images/I/310LydzyT1L._AC_US600_.jpg" TargetMode="External"/><Relationship Id="rId5" Type="http://schemas.openxmlformats.org/officeDocument/2006/relationships/hyperlink" Target="https://www.amazon.com/dp/B07KZLJ7PB?psc=1" TargetMode="External"/><Relationship Id="rId49" Type="http://schemas.openxmlformats.org/officeDocument/2006/relationships/hyperlink" Target="https://www.amazon.com/dp/B09TW9SZLP?psc=1" TargetMode="External"/><Relationship Id="rId48" Type="http://schemas.openxmlformats.org/officeDocument/2006/relationships/hyperlink" Target="https://images-na.ssl-images-amazon.com/images/I/31NenFpJSyL._AC_US600_.jpg" TargetMode="External"/><Relationship Id="rId47" Type="http://schemas.openxmlformats.org/officeDocument/2006/relationships/hyperlink" Target="https://www.amazon.com/dp/B09Y9FZP4Z?psc=1" TargetMode="External"/><Relationship Id="rId46" Type="http://schemas.openxmlformats.org/officeDocument/2006/relationships/hyperlink" Target="https://m.media-amazon.com/images/I/51nEc5AoIzL._AC_SR600,600_.jpg" TargetMode="External"/><Relationship Id="rId45" Type="http://schemas.openxmlformats.org/officeDocument/2006/relationships/hyperlink" Target="https://www.amazon.com/dp/B07K6YVF49?psc=1" TargetMode="External"/><Relationship Id="rId44" Type="http://schemas.openxmlformats.org/officeDocument/2006/relationships/hyperlink" Target="https://images-na.ssl-images-amazon.com/images/I/31oXIvJ3InL._AC_US600_.jpg" TargetMode="External"/><Relationship Id="rId43" Type="http://schemas.openxmlformats.org/officeDocument/2006/relationships/hyperlink" Target="https://www.amazon.com/dp/B08146P11G?psc=1" TargetMode="External"/><Relationship Id="rId42" Type="http://schemas.openxmlformats.org/officeDocument/2006/relationships/hyperlink" Target="https://images-na.ssl-images-amazon.com/images/I/41zt-9aNaHL._AC_US600_.jpg" TargetMode="External"/><Relationship Id="rId41" Type="http://schemas.openxmlformats.org/officeDocument/2006/relationships/hyperlink" Target="https://www.amazon.com/dp/B09N9LD7ZN?psc=1" TargetMode="External"/><Relationship Id="rId40" Type="http://schemas.openxmlformats.org/officeDocument/2006/relationships/hyperlink" Target="https://images-na.ssl-images-amazon.com/images/I/31m1rcaMLZL._AC_US600_.jpg" TargetMode="External"/><Relationship Id="rId4" Type="http://schemas.openxmlformats.org/officeDocument/2006/relationships/hyperlink" Target="https://images-na.ssl-images-amazon.com/images/I/31wYF43uHtL._AC_US600_.jpg" TargetMode="External"/><Relationship Id="rId39" Type="http://schemas.openxmlformats.org/officeDocument/2006/relationships/hyperlink" Target="https://www.amazon.com/dp/B07LDVXK4Q?psc=1" TargetMode="External"/><Relationship Id="rId38" Type="http://schemas.openxmlformats.org/officeDocument/2006/relationships/hyperlink" Target="https://images-na.ssl-images-amazon.com/images/I/41-16oK8eiL._AC_US600_.jpg" TargetMode="External"/><Relationship Id="rId37" Type="http://schemas.openxmlformats.org/officeDocument/2006/relationships/hyperlink" Target="https://www.amazon.com/dp/B07SW7F6D3?psc=1" TargetMode="External"/><Relationship Id="rId36" Type="http://schemas.openxmlformats.org/officeDocument/2006/relationships/hyperlink" Target="https://images-na.ssl-images-amazon.com/images/I/418L-SzzbNL._AC_US600_.jpg" TargetMode="External"/><Relationship Id="rId35" Type="http://schemas.openxmlformats.org/officeDocument/2006/relationships/hyperlink" Target="https://www.amazon.com/dp/B0083H1INK?psc=1" TargetMode="External"/><Relationship Id="rId34" Type="http://schemas.openxmlformats.org/officeDocument/2006/relationships/hyperlink" Target="https://images-na.ssl-images-amazon.com/images/I/41XxivVYOuL._AC_US600_.jpg" TargetMode="External"/><Relationship Id="rId33" Type="http://schemas.openxmlformats.org/officeDocument/2006/relationships/hyperlink" Target="https://www.amazon.com/dp/B089PYWXSC?psc=1" TargetMode="External"/><Relationship Id="rId32" Type="http://schemas.openxmlformats.org/officeDocument/2006/relationships/hyperlink" Target="https://images-na.ssl-images-amazon.com/images/I/41Mbkz41tsL._AC_US600_.jpg" TargetMode="External"/><Relationship Id="rId31" Type="http://schemas.openxmlformats.org/officeDocument/2006/relationships/hyperlink" Target="https://www.amazon.com/dp/B08X6SLGXK?psc=1" TargetMode="External"/><Relationship Id="rId30" Type="http://schemas.openxmlformats.org/officeDocument/2006/relationships/hyperlink" Target="https://images-na.ssl-images-amazon.com/images/I/31rUnR+wYyL._AC_US600_.jpg" TargetMode="External"/><Relationship Id="rId3" Type="http://schemas.openxmlformats.org/officeDocument/2006/relationships/hyperlink" Target="https://www.amazon.com/dp/B08NQ5CPPG?psc=1" TargetMode="External"/><Relationship Id="rId29" Type="http://schemas.openxmlformats.org/officeDocument/2006/relationships/hyperlink" Target="https://www.amazon.com/dp/B0B2KYL4MB?psc=1" TargetMode="External"/><Relationship Id="rId28" Type="http://schemas.openxmlformats.org/officeDocument/2006/relationships/hyperlink" Target="https://images-na.ssl-images-amazon.com/images/I/31r6T79Gn5L._AC_US600_.jpg" TargetMode="External"/><Relationship Id="rId27" Type="http://schemas.openxmlformats.org/officeDocument/2006/relationships/hyperlink" Target="https://www.amazon.com/dp/B08F2X9FBQ?psc=1" TargetMode="External"/><Relationship Id="rId26" Type="http://schemas.openxmlformats.org/officeDocument/2006/relationships/hyperlink" Target="https://images-na.ssl-images-amazon.com/images/I/21xyPR63J1L._AC_US600_.jpg" TargetMode="External"/><Relationship Id="rId25" Type="http://schemas.openxmlformats.org/officeDocument/2006/relationships/hyperlink" Target="https://www.amazon.com/dp/B00MVVI1FC?psc=1" TargetMode="External"/><Relationship Id="rId24" Type="http://schemas.openxmlformats.org/officeDocument/2006/relationships/hyperlink" Target="https://m.media-amazon.com/images/I/31anMONExKS._AC_SR600,600_.jpg" TargetMode="External"/><Relationship Id="rId23" Type="http://schemas.openxmlformats.org/officeDocument/2006/relationships/hyperlink" Target="https://www.amazon.com/dp/B08BFKSVRG?psc=1" TargetMode="External"/><Relationship Id="rId22" Type="http://schemas.openxmlformats.org/officeDocument/2006/relationships/hyperlink" Target="https://m.media-amazon.com/images/I/411-G+Av1-L._AC_SR600,600_.jpg" TargetMode="External"/><Relationship Id="rId21" Type="http://schemas.openxmlformats.org/officeDocument/2006/relationships/hyperlink" Target="https://www.amazon.com/dp/B01MRUXFJT?psc=1" TargetMode="External"/><Relationship Id="rId200" Type="http://schemas.openxmlformats.org/officeDocument/2006/relationships/hyperlink" Target="https://m.media-amazon.com/images/I/410qJE9mn8L._AC_SR600,600_.jpg" TargetMode="External"/><Relationship Id="rId20" Type="http://schemas.openxmlformats.org/officeDocument/2006/relationships/hyperlink" Target="https://m.media-amazon.com/images/I/31PEAf-CcSL._AC_SR600,600_.jpg" TargetMode="External"/><Relationship Id="rId2" Type="http://schemas.openxmlformats.org/officeDocument/2006/relationships/hyperlink" Target="https://m.media-amazon.com/images/I/31vl3dU0i5L._AC_US600_.jpg" TargetMode="External"/><Relationship Id="rId199" Type="http://schemas.openxmlformats.org/officeDocument/2006/relationships/hyperlink" Target="https://www.amazon.com/dp/B0BFHCBNKR?psc=1" TargetMode="External"/><Relationship Id="rId198" Type="http://schemas.openxmlformats.org/officeDocument/2006/relationships/hyperlink" Target="https://images-na.ssl-images-amazon.com/images/I/31aKjh3sbBL._AC_US600_.jpg" TargetMode="External"/><Relationship Id="rId197" Type="http://schemas.openxmlformats.org/officeDocument/2006/relationships/hyperlink" Target="https://www.amazon.com/dp/B0BLTM88R6?psc=1" TargetMode="External"/><Relationship Id="rId196" Type="http://schemas.openxmlformats.org/officeDocument/2006/relationships/hyperlink" Target="https://m.media-amazon.com/images/I/31vOlTkdGgL._AC_SR600,600_.jpg" TargetMode="External"/><Relationship Id="rId195" Type="http://schemas.openxmlformats.org/officeDocument/2006/relationships/hyperlink" Target="https://www.amazon.com/dp/B07WP2S5XL?psc=1" TargetMode="External"/><Relationship Id="rId194" Type="http://schemas.openxmlformats.org/officeDocument/2006/relationships/hyperlink" Target="https://m.media-amazon.com/images/I/21r9BGy-TdL._AC_US600_.jpg" TargetMode="External"/><Relationship Id="rId193" Type="http://schemas.openxmlformats.org/officeDocument/2006/relationships/hyperlink" Target="https://www.amazon.com/dp/B084GSNPH1?psc=1" TargetMode="External"/><Relationship Id="rId192" Type="http://schemas.openxmlformats.org/officeDocument/2006/relationships/hyperlink" Target="https://m.media-amazon.com/images/I/41JsADUfBqL._AC_SR600,600_.jpg" TargetMode="External"/><Relationship Id="rId191" Type="http://schemas.openxmlformats.org/officeDocument/2006/relationships/hyperlink" Target="https://www.amazon.com/dp/B075R1LH8D?psc=1" TargetMode="External"/><Relationship Id="rId190" Type="http://schemas.openxmlformats.org/officeDocument/2006/relationships/hyperlink" Target="https://m.media-amazon.com/images/I/51IP1YTgioL._AC_SR600,600_.jpg" TargetMode="External"/><Relationship Id="rId19" Type="http://schemas.openxmlformats.org/officeDocument/2006/relationships/hyperlink" Target="https://www.amazon.com/dp/B07LDWLNVF?psc=1" TargetMode="External"/><Relationship Id="rId189" Type="http://schemas.openxmlformats.org/officeDocument/2006/relationships/hyperlink" Target="https://www.amazon.com/dp/B0B716SJ1G?psc=1" TargetMode="External"/><Relationship Id="rId188" Type="http://schemas.openxmlformats.org/officeDocument/2006/relationships/hyperlink" Target="https://m.media-amazon.com/images/I/41ngeRHXxlL._AC_SR600,600_.jpg" TargetMode="External"/><Relationship Id="rId187" Type="http://schemas.openxmlformats.org/officeDocument/2006/relationships/hyperlink" Target="https://www.amazon.com/dp/B01MDR6YQA?psc=1" TargetMode="External"/><Relationship Id="rId186" Type="http://schemas.openxmlformats.org/officeDocument/2006/relationships/hyperlink" Target="https://m.media-amazon.com/images/I/31Y-zYQl5tL._AC_SR600,600_.jpg" TargetMode="External"/><Relationship Id="rId185" Type="http://schemas.openxmlformats.org/officeDocument/2006/relationships/hyperlink" Target="https://www.amazon.com/dp/B07PSW4XVW?psc=1" TargetMode="External"/><Relationship Id="rId184" Type="http://schemas.openxmlformats.org/officeDocument/2006/relationships/hyperlink" Target="https://m.media-amazon.com/images/I/315FSBqr4pL._AC_SR600,600_.jpg" TargetMode="External"/><Relationship Id="rId183" Type="http://schemas.openxmlformats.org/officeDocument/2006/relationships/hyperlink" Target="https://www.amazon.com/dp/B08P65PQ8V?psc=1" TargetMode="External"/><Relationship Id="rId182" Type="http://schemas.openxmlformats.org/officeDocument/2006/relationships/hyperlink" Target="https://m.media-amazon.com/images/I/31iSqMUCtYL._AC_US600_.jpg" TargetMode="External"/><Relationship Id="rId181" Type="http://schemas.openxmlformats.org/officeDocument/2006/relationships/hyperlink" Target="https://www.amazon.com/dp/B07TXG7G1Y?psc=1" TargetMode="External"/><Relationship Id="rId180" Type="http://schemas.openxmlformats.org/officeDocument/2006/relationships/hyperlink" Target="https://m.media-amazon.com/images/I/218jaFNjVQL._AC_SR600,600_.jpg" TargetMode="External"/><Relationship Id="rId18" Type="http://schemas.openxmlformats.org/officeDocument/2006/relationships/hyperlink" Target="https://images-na.ssl-images-amazon.com/images/I/41uP68XaHdL._AC_US600_.jpg" TargetMode="External"/><Relationship Id="rId179" Type="http://schemas.openxmlformats.org/officeDocument/2006/relationships/hyperlink" Target="https://www.amazon.com/dp/B0BP7PMFYJ?psc=1" TargetMode="External"/><Relationship Id="rId178" Type="http://schemas.openxmlformats.org/officeDocument/2006/relationships/hyperlink" Target="https://m.media-amazon.com/images/I/41w+nyWbjjL._AC_US600_.jpg" TargetMode="External"/><Relationship Id="rId177" Type="http://schemas.openxmlformats.org/officeDocument/2006/relationships/hyperlink" Target="https://www.amazon.com/dp/B0B4MWT8V8?psc=1" TargetMode="External"/><Relationship Id="rId176" Type="http://schemas.openxmlformats.org/officeDocument/2006/relationships/hyperlink" Target="https://m.media-amazon.com/images/I/315U0pn-DDL._AC_SR600,600_.jpg" TargetMode="External"/><Relationship Id="rId175" Type="http://schemas.openxmlformats.org/officeDocument/2006/relationships/hyperlink" Target="https://www.amazon.com/dp/B09W9JHN41?psc=1" TargetMode="External"/><Relationship Id="rId174" Type="http://schemas.openxmlformats.org/officeDocument/2006/relationships/hyperlink" Target="https://m.media-amazon.com/images/W/WEBP_402378-T2/images/I/41PuIrFBsAL._AC_SR600,600_.jpg" TargetMode="External"/><Relationship Id="rId173" Type="http://schemas.openxmlformats.org/officeDocument/2006/relationships/hyperlink" Target="https://www.amazon.com/dp/B09W2J5JKP?psc=1" TargetMode="External"/><Relationship Id="rId172" Type="http://schemas.openxmlformats.org/officeDocument/2006/relationships/hyperlink" Target="https://m.media-amazon.com/images/I/31pe6o04StL._AC_SR600,600_.jpg" TargetMode="External"/><Relationship Id="rId171" Type="http://schemas.openxmlformats.org/officeDocument/2006/relationships/hyperlink" Target="https://www.amazon.com/dp/B07PPKBQ24?psc=1" TargetMode="External"/><Relationship Id="rId170" Type="http://schemas.openxmlformats.org/officeDocument/2006/relationships/hyperlink" Target="https://m.media-amazon.com/images/I/31VvSJ-MWSL._AC_SR600,600_.jpg" TargetMode="External"/><Relationship Id="rId17" Type="http://schemas.openxmlformats.org/officeDocument/2006/relationships/hyperlink" Target="https://www.amazon.com/dp/B0BBZFPQRL?psc=1" TargetMode="External"/><Relationship Id="rId169" Type="http://schemas.openxmlformats.org/officeDocument/2006/relationships/hyperlink" Target="https://www.amazon.com/dp/B078XTF1QR?psc=1" TargetMode="External"/><Relationship Id="rId168" Type="http://schemas.openxmlformats.org/officeDocument/2006/relationships/hyperlink" Target="https://images-na.ssl-images-amazon.com/images/I/41iLX2yDzuL._AC_US600_.jpg" TargetMode="External"/><Relationship Id="rId167" Type="http://schemas.openxmlformats.org/officeDocument/2006/relationships/hyperlink" Target="https://www.amazon.com/dp/B09WR328NY?psc=1" TargetMode="External"/><Relationship Id="rId166" Type="http://schemas.openxmlformats.org/officeDocument/2006/relationships/hyperlink" Target="https://m.media-amazon.com/images/I/31jsRfJwXHL._AC_SR600,600_.jpg" TargetMode="External"/><Relationship Id="rId165" Type="http://schemas.openxmlformats.org/officeDocument/2006/relationships/hyperlink" Target="https://www.amazon.com/dp/B07YT1RLZC?psc=1" TargetMode="External"/><Relationship Id="rId164" Type="http://schemas.openxmlformats.org/officeDocument/2006/relationships/hyperlink" Target="https://images-na.ssl-images-amazon.com/images/I/41X-dfWhKBL._AC_US600_.jpg" TargetMode="External"/><Relationship Id="rId163" Type="http://schemas.openxmlformats.org/officeDocument/2006/relationships/hyperlink" Target="https://www.amazon.com/dp/B0BNXBMWY4?psc=1" TargetMode="External"/><Relationship Id="rId162" Type="http://schemas.openxmlformats.org/officeDocument/2006/relationships/hyperlink" Target="https://images-na.ssl-images-amazon.com/images/I/219yANULAuL._AC_US600_.jpg" TargetMode="External"/><Relationship Id="rId161" Type="http://schemas.openxmlformats.org/officeDocument/2006/relationships/hyperlink" Target="https://www.amazon.com/dp/B08M5LCZDZ?psc=1" TargetMode="External"/><Relationship Id="rId160" Type="http://schemas.openxmlformats.org/officeDocument/2006/relationships/hyperlink" Target="https://images-na.ssl-images-amazon.com/images/I/41xL9EsE7HL._AC_US600_.jpg" TargetMode="External"/><Relationship Id="rId16" Type="http://schemas.openxmlformats.org/officeDocument/2006/relationships/hyperlink" Target="https://images-na.ssl-images-amazon.com/images/I/41cQkNo5a+L._AC_US600_.jpg" TargetMode="External"/><Relationship Id="rId159" Type="http://schemas.openxmlformats.org/officeDocument/2006/relationships/hyperlink" Target="https://www.amazon.com/dp/B087LZFGWS?psc=1" TargetMode="External"/><Relationship Id="rId158" Type="http://schemas.openxmlformats.org/officeDocument/2006/relationships/hyperlink" Target="https://images-na.ssl-images-amazon.com/images/I/517Z3ZHBW-L._AC_US600_.jpg" TargetMode="External"/><Relationship Id="rId157" Type="http://schemas.openxmlformats.org/officeDocument/2006/relationships/hyperlink" Target="https://www.amazon.com/dp/B09B797WC8?psc=1" TargetMode="External"/><Relationship Id="rId156" Type="http://schemas.openxmlformats.org/officeDocument/2006/relationships/hyperlink" Target="https://images-na.ssl-images-amazon.com/images/I/31yUTbDIbcL._AC_US600_.jpg" TargetMode="External"/><Relationship Id="rId155" Type="http://schemas.openxmlformats.org/officeDocument/2006/relationships/hyperlink" Target="https://www.amazon.com/dp/B096RQ24HJ?psc=1" TargetMode="External"/><Relationship Id="rId154" Type="http://schemas.openxmlformats.org/officeDocument/2006/relationships/hyperlink" Target="https://images-na.ssl-images-amazon.com/images/I/41LHWpnhSbL._AC_US600_.jpg" TargetMode="External"/><Relationship Id="rId153" Type="http://schemas.openxmlformats.org/officeDocument/2006/relationships/hyperlink" Target="https://www.amazon.com/dp/B09WVM6R78?psc=1" TargetMode="External"/><Relationship Id="rId152" Type="http://schemas.openxmlformats.org/officeDocument/2006/relationships/hyperlink" Target="https://images-na.ssl-images-amazon.com/images/I/41MS+pr7Y4L._AC_US600_.jpg" TargetMode="External"/><Relationship Id="rId151" Type="http://schemas.openxmlformats.org/officeDocument/2006/relationships/hyperlink" Target="https://www.amazon.com/dp/B09LQHH4RS?psc=1" TargetMode="External"/><Relationship Id="rId150" Type="http://schemas.openxmlformats.org/officeDocument/2006/relationships/hyperlink" Target="https://images-na.ssl-images-amazon.com/images/I/41OVnIVPUGL._AC_US600_.jpg" TargetMode="External"/><Relationship Id="rId15" Type="http://schemas.openxmlformats.org/officeDocument/2006/relationships/hyperlink" Target="https://www.amazon.com/dp/B0B4CJD575?psc=1" TargetMode="External"/><Relationship Id="rId149" Type="http://schemas.openxmlformats.org/officeDocument/2006/relationships/hyperlink" Target="https://www.amazon.com/dp/B009CNNHDI?psc=1" TargetMode="External"/><Relationship Id="rId148" Type="http://schemas.openxmlformats.org/officeDocument/2006/relationships/hyperlink" Target="https://m.media-amazon.com/images/I/4109SHmZnCL._AC_SR600,600_.jpg" TargetMode="External"/><Relationship Id="rId147" Type="http://schemas.openxmlformats.org/officeDocument/2006/relationships/hyperlink" Target="https://www.amazon.com/dp/B08P4VCNKB?psc=1" TargetMode="External"/><Relationship Id="rId146" Type="http://schemas.openxmlformats.org/officeDocument/2006/relationships/hyperlink" Target="https://m.media-amazon.com/images/I/21lahy5lEnL._AC_SR600,600_.jpg" TargetMode="External"/><Relationship Id="rId145" Type="http://schemas.openxmlformats.org/officeDocument/2006/relationships/hyperlink" Target="https://www.amazon.com/dp/B07TFKPT39?psc=1" TargetMode="External"/><Relationship Id="rId144" Type="http://schemas.openxmlformats.org/officeDocument/2006/relationships/hyperlink" Target="https://images-na.ssl-images-amazon.com/images/I/316qylcSyRL._AC_US600_.jpg" TargetMode="External"/><Relationship Id="rId143" Type="http://schemas.openxmlformats.org/officeDocument/2006/relationships/hyperlink" Target="https://www.amazon.com/dp/B09TW8VPMJ?psc=1" TargetMode="External"/><Relationship Id="rId142" Type="http://schemas.openxmlformats.org/officeDocument/2006/relationships/hyperlink" Target="https://images-na.ssl-images-amazon.com/images/I/31VpXnmBskL._AC_US600_.jpg" TargetMode="External"/><Relationship Id="rId141" Type="http://schemas.openxmlformats.org/officeDocument/2006/relationships/hyperlink" Target="https://www.amazon.com/dp/B08G4RK3N9?psc=1" TargetMode="External"/><Relationship Id="rId140" Type="http://schemas.openxmlformats.org/officeDocument/2006/relationships/hyperlink" Target="https://images-na.ssl-images-amazon.com/images/I/41wg6x9WEPS._AC_US600_.jpg" TargetMode="External"/><Relationship Id="rId14" Type="http://schemas.openxmlformats.org/officeDocument/2006/relationships/hyperlink" Target="https://images-na.ssl-images-amazon.com/images/I/31GxgiNY49S._AC_US600_.jpg" TargetMode="External"/><Relationship Id="rId139" Type="http://schemas.openxmlformats.org/officeDocument/2006/relationships/hyperlink" Target="https://www.amazon.com/dp/B08SWRSM1D?psc=1" TargetMode="External"/><Relationship Id="rId138" Type="http://schemas.openxmlformats.org/officeDocument/2006/relationships/hyperlink" Target="https://images-na.ssl-images-amazon.com/images/I/31NaBJ-xncL._AC_US600_.jpg" TargetMode="External"/><Relationship Id="rId137" Type="http://schemas.openxmlformats.org/officeDocument/2006/relationships/hyperlink" Target="https://www.amazon.com/dp/B07XJRZR8P?psc=1" TargetMode="External"/><Relationship Id="rId136" Type="http://schemas.openxmlformats.org/officeDocument/2006/relationships/hyperlink" Target="https://images-na.ssl-images-amazon.com/images/I/3141MgQC5bL._AC_US600_.jpg" TargetMode="External"/><Relationship Id="rId135" Type="http://schemas.openxmlformats.org/officeDocument/2006/relationships/hyperlink" Target="https://www.amazon.com/dp/B09842Y7PM?psc=1" TargetMode="External"/><Relationship Id="rId134" Type="http://schemas.openxmlformats.org/officeDocument/2006/relationships/hyperlink" Target="https://images-na.ssl-images-amazon.com/images/I/41vVumf7k2L._AC_US600_.jpg" TargetMode="External"/><Relationship Id="rId133" Type="http://schemas.openxmlformats.org/officeDocument/2006/relationships/hyperlink" Target="https://www.amazon.com/dp/B07NJ8SM6D?psc=1" TargetMode="External"/><Relationship Id="rId132" Type="http://schemas.openxmlformats.org/officeDocument/2006/relationships/hyperlink" Target="https://m.media-amazon.com/images/I/41Xq0GlmnnS._AC_SR600,600_.jpg" TargetMode="External"/><Relationship Id="rId131" Type="http://schemas.openxmlformats.org/officeDocument/2006/relationships/hyperlink" Target="https://www.amazon.com/dp/B08R8SHHQ4?psc=1" TargetMode="External"/><Relationship Id="rId130" Type="http://schemas.openxmlformats.org/officeDocument/2006/relationships/hyperlink" Target="https://m.media-amazon.com/images/I/31LK3rhNArL._AC_SR600,600_.jpg" TargetMode="External"/><Relationship Id="rId13" Type="http://schemas.openxmlformats.org/officeDocument/2006/relationships/hyperlink" Target="https://www.amazon.com/dp/B087Z2MLN2?psc=1" TargetMode="External"/><Relationship Id="rId129" Type="http://schemas.openxmlformats.org/officeDocument/2006/relationships/hyperlink" Target="https://www.amazon.com/dp/B07THDQXF8?psc=1" TargetMode="External"/><Relationship Id="rId128" Type="http://schemas.openxmlformats.org/officeDocument/2006/relationships/hyperlink" Target="https://images-na.ssl-images-amazon.com/images/I/41hZ3-HRzeL._AC_US600_.jpg" TargetMode="External"/><Relationship Id="rId127" Type="http://schemas.openxmlformats.org/officeDocument/2006/relationships/hyperlink" Target="https://www.amazon.com/dp/B08P4TC5XV?psc=1" TargetMode="External"/><Relationship Id="rId126" Type="http://schemas.openxmlformats.org/officeDocument/2006/relationships/hyperlink" Target="https://images-na.ssl-images-amazon.com/images/I/31o1oVFNohL._AC_US600_.jpg" TargetMode="External"/><Relationship Id="rId125" Type="http://schemas.openxmlformats.org/officeDocument/2006/relationships/hyperlink" Target="https://www.amazon.com/dp/B0BPTPCY6Q?psc=1" TargetMode="External"/><Relationship Id="rId124" Type="http://schemas.openxmlformats.org/officeDocument/2006/relationships/hyperlink" Target="https://images-na.ssl-images-amazon.com/images/I/41eAhRtzl3L._AC_US600_.jpg" TargetMode="External"/><Relationship Id="rId123" Type="http://schemas.openxmlformats.org/officeDocument/2006/relationships/hyperlink" Target="https://www.amazon.com/dp/B09W9JMS6D?psc=1" TargetMode="External"/><Relationship Id="rId122" Type="http://schemas.openxmlformats.org/officeDocument/2006/relationships/hyperlink" Target="https://images-na.ssl-images-amazon.com/images/I/210cZoEkfxS._AC_US600_.jpg" TargetMode="External"/><Relationship Id="rId121" Type="http://schemas.openxmlformats.org/officeDocument/2006/relationships/hyperlink" Target="https://www.amazon.com/dp/B08WZH3TS8?psc=1" TargetMode="External"/><Relationship Id="rId120" Type="http://schemas.openxmlformats.org/officeDocument/2006/relationships/hyperlink" Target="https://images-na.ssl-images-amazon.com/images/I/314jzi0ez8L._AC_US600_.jpg" TargetMode="External"/><Relationship Id="rId12" Type="http://schemas.openxmlformats.org/officeDocument/2006/relationships/hyperlink" Target="https://images-na.ssl-images-amazon.com/images/I/31DVc5msIiL._AC_US600_.jpg" TargetMode="External"/><Relationship Id="rId119" Type="http://schemas.openxmlformats.org/officeDocument/2006/relationships/hyperlink" Target="https://www.amazon.com/dp/B09YMCGFRJ?psc=1" TargetMode="External"/><Relationship Id="rId118" Type="http://schemas.openxmlformats.org/officeDocument/2006/relationships/hyperlink" Target="https://m.media-amazon.com/images/W/WEBP_402378-T1/images/I/41cO+k5QzFL._AC_SR600,600_.jpg" TargetMode="External"/><Relationship Id="rId117" Type="http://schemas.openxmlformats.org/officeDocument/2006/relationships/hyperlink" Target="https://www.amazon.com/dp/B09HX1X2BN?psc=1" TargetMode="External"/><Relationship Id="rId116" Type="http://schemas.openxmlformats.org/officeDocument/2006/relationships/hyperlink" Target="https://images-na.ssl-images-amazon.com/images/I/41+NQ6YFaWL._AC_US600_.jpg" TargetMode="External"/><Relationship Id="rId115" Type="http://schemas.openxmlformats.org/officeDocument/2006/relationships/hyperlink" Target="https://www.amazon.com/dp/B0BMQ33V2J?psc=1" TargetMode="External"/><Relationship Id="rId114" Type="http://schemas.openxmlformats.org/officeDocument/2006/relationships/hyperlink" Target="https://images-na.ssl-images-amazon.com/images/I/21Mq+NFTTbL._AC_US600_.jpg" TargetMode="External"/><Relationship Id="rId113" Type="http://schemas.openxmlformats.org/officeDocument/2006/relationships/hyperlink" Target="https://www.amazon.com/dp/B08T8ZL97X?psc=1" TargetMode="External"/><Relationship Id="rId112" Type="http://schemas.openxmlformats.org/officeDocument/2006/relationships/hyperlink" Target="https://images-na.ssl-images-amazon.com/images/I/31ANZYGoBAL._AC_US600_.jpg" TargetMode="External"/><Relationship Id="rId111" Type="http://schemas.openxmlformats.org/officeDocument/2006/relationships/hyperlink" Target="https://www.amazon.com/dp/B07TM75HF3?psc=1" TargetMode="External"/><Relationship Id="rId110" Type="http://schemas.openxmlformats.org/officeDocument/2006/relationships/hyperlink" Target="https://images-na.ssl-images-amazon.com/images/I/21gKEloeTzL._AC_US600_.jpg" TargetMode="External"/><Relationship Id="rId11" Type="http://schemas.openxmlformats.org/officeDocument/2006/relationships/hyperlink" Target="https://www.amazon.com/dp/B07Y8TM6SW?psc=1" TargetMode="External"/><Relationship Id="rId109" Type="http://schemas.openxmlformats.org/officeDocument/2006/relationships/hyperlink" Target="https://www.amazon.com/dp/B0983ZB3JF?psc=1" TargetMode="External"/><Relationship Id="rId108" Type="http://schemas.openxmlformats.org/officeDocument/2006/relationships/hyperlink" Target="https://m.media-amazon.com/images/I/31giNA064NL._AC_SR600,600_.jpg" TargetMode="External"/><Relationship Id="rId107" Type="http://schemas.openxmlformats.org/officeDocument/2006/relationships/hyperlink" Target="https://www.amazon.com/dp/B09HTWGHYG?psc=1" TargetMode="External"/><Relationship Id="rId106" Type="http://schemas.openxmlformats.org/officeDocument/2006/relationships/hyperlink" Target="https://m.media-amazon.com/images/I/31eJy1+sCRL._AC_SR600,600_.jpg" TargetMode="External"/><Relationship Id="rId105" Type="http://schemas.openxmlformats.org/officeDocument/2006/relationships/hyperlink" Target="https://www.amazon.com/dp/B09XVGTVH1?psc=1" TargetMode="External"/><Relationship Id="rId104" Type="http://schemas.openxmlformats.org/officeDocument/2006/relationships/hyperlink" Target="https://images-na.ssl-images-amazon.com/images/I/41xkfAcNUdL._AC_US600_.jpg" TargetMode="External"/><Relationship Id="rId103" Type="http://schemas.openxmlformats.org/officeDocument/2006/relationships/hyperlink" Target="https://www.amazon.com/dp/B09W9M5RCQ?psc=1" TargetMode="External"/><Relationship Id="rId102" Type="http://schemas.openxmlformats.org/officeDocument/2006/relationships/hyperlink" Target="https://images-na.ssl-images-amazon.com/images/I/311ar7NHxlL._AC_US600_.jpg" TargetMode="External"/><Relationship Id="rId101" Type="http://schemas.openxmlformats.org/officeDocument/2006/relationships/hyperlink" Target="https://www.amazon.com/dp/B01DZQI9TE?psc=1" TargetMode="External"/><Relationship Id="rId100" Type="http://schemas.openxmlformats.org/officeDocument/2006/relationships/hyperlink" Target="https://m.media-amazon.com/images/I/31i-20pW5FL._AC_SR600,600_.jpg" TargetMode="External"/><Relationship Id="rId10" Type="http://schemas.openxmlformats.org/officeDocument/2006/relationships/hyperlink" Target="https://images-na.ssl-images-amazon.com/images/I/31X8FFcg9aL._AC_US600_.jpg" TargetMode="External"/><Relationship Id="rId1" Type="http://schemas.openxmlformats.org/officeDocument/2006/relationships/hyperlink" Target="https://www.amazon.com/dp/B01G7IL3BS?psc=1" TargetMode="External"/></Relationships>
</file>

<file path=xl/worksheets/_rels/sheet22.xml.rels><?xml version="1.0" encoding="UTF-8" standalone="yes"?>
<Relationships xmlns="http://schemas.openxmlformats.org/package/2006/relationships"><Relationship Id="rId99" Type="http://schemas.openxmlformats.org/officeDocument/2006/relationships/hyperlink" Target="https://www.amazon.com/dp/B07P66567C?psc=1" TargetMode="External"/><Relationship Id="rId98" Type="http://schemas.openxmlformats.org/officeDocument/2006/relationships/hyperlink" Target="https://images-na.ssl-images-amazon.com/images/I/41k31Oq2r9L._AC_US600_.jpg" TargetMode="External"/><Relationship Id="rId97" Type="http://schemas.openxmlformats.org/officeDocument/2006/relationships/hyperlink" Target="https://www.amazon.com/dp/B0BGKGV1NF?psc=1" TargetMode="External"/><Relationship Id="rId96" Type="http://schemas.openxmlformats.org/officeDocument/2006/relationships/hyperlink" Target="https://m.media-amazon.com/images/I/31HLPsI7ThL._AC_US600_.jpg" TargetMode="External"/><Relationship Id="rId95" Type="http://schemas.openxmlformats.org/officeDocument/2006/relationships/hyperlink" Target="https://www.amazon.com/dp/B07Y8VCFMR?psc=1" TargetMode="External"/><Relationship Id="rId94" Type="http://schemas.openxmlformats.org/officeDocument/2006/relationships/hyperlink" Target="https://images-na.ssl-images-amazon.com/images/I/31fnpyJnhcL._AC_US600_.jpg" TargetMode="External"/><Relationship Id="rId93" Type="http://schemas.openxmlformats.org/officeDocument/2006/relationships/hyperlink" Target="https://www.amazon.com/dp/B09MF5CFFD?psc=1" TargetMode="External"/><Relationship Id="rId92" Type="http://schemas.openxmlformats.org/officeDocument/2006/relationships/hyperlink" Target="https://images-na.ssl-images-amazon.com/images/I/31D1tYQslbL._AC_US600_.jpg" TargetMode="External"/><Relationship Id="rId91" Type="http://schemas.openxmlformats.org/officeDocument/2006/relationships/hyperlink" Target="https://www.amazon.com/dp/B00MWXSFM8?psc=1" TargetMode="External"/><Relationship Id="rId90" Type="http://schemas.openxmlformats.org/officeDocument/2006/relationships/hyperlink" Target="https://images-na.ssl-images-amazon.com/images/I/31yzIfGFp3L._AC_US600_.jpg" TargetMode="External"/><Relationship Id="rId9" Type="http://schemas.openxmlformats.org/officeDocument/2006/relationships/hyperlink" Target="https://www.amazon.com/dp/B07S2RBCT5?psc=1" TargetMode="External"/><Relationship Id="rId89" Type="http://schemas.openxmlformats.org/officeDocument/2006/relationships/hyperlink" Target="https://www.amazon.com/dp/B09LYVDN7Y?psc=1" TargetMode="External"/><Relationship Id="rId88" Type="http://schemas.openxmlformats.org/officeDocument/2006/relationships/hyperlink" Target="https://images-na.ssl-images-amazon.com/images/I/31w+Xx7fZHL._AC_US600_.jpg" TargetMode="External"/><Relationship Id="rId87" Type="http://schemas.openxmlformats.org/officeDocument/2006/relationships/hyperlink" Target="https://www.amazon.com/dp/B0BFH9KX59?psc=1" TargetMode="External"/><Relationship Id="rId86" Type="http://schemas.openxmlformats.org/officeDocument/2006/relationships/hyperlink" Target="https://m.media-amazon.com/images/I/3146ZDQgFxL._AC_SR600,600_.jpg" TargetMode="External"/><Relationship Id="rId85" Type="http://schemas.openxmlformats.org/officeDocument/2006/relationships/hyperlink" Target="https://www.amazon.com/dp/B0B51Q8CY1?psc=1" TargetMode="External"/><Relationship Id="rId84" Type="http://schemas.openxmlformats.org/officeDocument/2006/relationships/hyperlink" Target="https://m.media-amazon.com/images/I/41QNXHPtXgL._AC_SR600,600_.jpg" TargetMode="External"/><Relationship Id="rId83" Type="http://schemas.openxmlformats.org/officeDocument/2006/relationships/hyperlink" Target="https://www.amazon.com/dp/B0832WZ8K8?psc=1" TargetMode="External"/><Relationship Id="rId82" Type="http://schemas.openxmlformats.org/officeDocument/2006/relationships/hyperlink" Target="https://images-na.ssl-images-amazon.com/images/I/31idqqAQJCL._AC_US600_.jpg" TargetMode="External"/><Relationship Id="rId81" Type="http://schemas.openxmlformats.org/officeDocument/2006/relationships/hyperlink" Target="https://www.amazon.com/dp/B091FYKBP5?psc=1" TargetMode="External"/><Relationship Id="rId80" Type="http://schemas.openxmlformats.org/officeDocument/2006/relationships/hyperlink" Target="https://images-na.ssl-images-amazon.com/images/I/31PNhs+t3HL._AC_US600_.jpg" TargetMode="External"/><Relationship Id="rId8" Type="http://schemas.openxmlformats.org/officeDocument/2006/relationships/hyperlink" Target="https://images-na.ssl-images-amazon.com/images/I/31zvudif4zL._AC_US600_.jpg" TargetMode="External"/><Relationship Id="rId79" Type="http://schemas.openxmlformats.org/officeDocument/2006/relationships/hyperlink" Target="https://www.amazon.com/dp/B07Y8TT7N5?psc=1" TargetMode="External"/><Relationship Id="rId78" Type="http://schemas.openxmlformats.org/officeDocument/2006/relationships/hyperlink" Target="https://images-na.ssl-images-amazon.com/images/I/31wtjtUOH5L._AC_US600_.jpg" TargetMode="External"/><Relationship Id="rId77" Type="http://schemas.openxmlformats.org/officeDocument/2006/relationships/hyperlink" Target="https://www.amazon.com/dp/B07DQSWT42?psc=1" TargetMode="External"/><Relationship Id="rId76" Type="http://schemas.openxmlformats.org/officeDocument/2006/relationships/hyperlink" Target="https://images-na.ssl-images-amazon.com/images/I/21qojl5cDfL._AC_US600_.jpg" TargetMode="External"/><Relationship Id="rId75" Type="http://schemas.openxmlformats.org/officeDocument/2006/relationships/hyperlink" Target="https://www.amazon.com/dp/B00IR8H55A?psc=1" TargetMode="External"/><Relationship Id="rId74" Type="http://schemas.openxmlformats.org/officeDocument/2006/relationships/hyperlink" Target="https://images-na.ssl-images-amazon.com/images/I/31nmE6OEZ4L._AC_US600_.jpg" TargetMode="External"/><Relationship Id="rId73" Type="http://schemas.openxmlformats.org/officeDocument/2006/relationships/hyperlink" Target="https://www.amazon.com/dp/B01DZQI70K?psc=1" TargetMode="External"/><Relationship Id="rId72" Type="http://schemas.openxmlformats.org/officeDocument/2006/relationships/hyperlink" Target="https://m.media-amazon.com/images/I/41Vzf6e8V5L._AC_SR600,600_.jpg" TargetMode="External"/><Relationship Id="rId71" Type="http://schemas.openxmlformats.org/officeDocument/2006/relationships/hyperlink" Target="https://www.amazon.com/dp/B08GS23VJV?psc=1" TargetMode="External"/><Relationship Id="rId70" Type="http://schemas.openxmlformats.org/officeDocument/2006/relationships/hyperlink" Target="https://m.media-amazon.com/images/I/41lMNyXxDYL._AC_SR600,600_.jpg" TargetMode="External"/><Relationship Id="rId7" Type="http://schemas.openxmlformats.org/officeDocument/2006/relationships/hyperlink" Target="https://www.amazon.com/dp/B076X7HF7F?psc=1" TargetMode="External"/><Relationship Id="rId69" Type="http://schemas.openxmlformats.org/officeDocument/2006/relationships/hyperlink" Target="https://www.amazon.com/dp/B07VGP5787?psc=1" TargetMode="External"/><Relationship Id="rId68" Type="http://schemas.openxmlformats.org/officeDocument/2006/relationships/hyperlink" Target="https://m.media-amazon.com/images/W/WEBP_402378-T2/images/I/314WdtoHNvL._AC_SR600,600_.jpg" TargetMode="External"/><Relationship Id="rId67" Type="http://schemas.openxmlformats.org/officeDocument/2006/relationships/hyperlink" Target="https://www.amazon.com/dp/B0934YSY7C?psc=1" TargetMode="External"/><Relationship Id="rId66" Type="http://schemas.openxmlformats.org/officeDocument/2006/relationships/hyperlink" Target="https://images-na.ssl-images-amazon.com/images/I/31ruuRp2JhL._AC_US600_.jpg" TargetMode="External"/><Relationship Id="rId65" Type="http://schemas.openxmlformats.org/officeDocument/2006/relationships/hyperlink" Target="https://www.amazon.com/dp/B01DZQI6YW?psc=1" TargetMode="External"/><Relationship Id="rId64" Type="http://schemas.openxmlformats.org/officeDocument/2006/relationships/hyperlink" Target="https://images-na.ssl-images-amazon.com/images/I/31+T9l0EHXS._AC_US600_.jpg" TargetMode="External"/><Relationship Id="rId63" Type="http://schemas.openxmlformats.org/officeDocument/2006/relationships/hyperlink" Target="https://www.amazon.com/dp/B00Q477Z5Q?psc=1" TargetMode="External"/><Relationship Id="rId62" Type="http://schemas.openxmlformats.org/officeDocument/2006/relationships/hyperlink" Target="https://images-na.ssl-images-amazon.com/images/I/41ubFfpzPHL._AC_US600_.jpg" TargetMode="External"/><Relationship Id="rId61" Type="http://schemas.openxmlformats.org/officeDocument/2006/relationships/hyperlink" Target="https://www.amazon.com/dp/B08G5575X6?psc=1" TargetMode="External"/><Relationship Id="rId60" Type="http://schemas.openxmlformats.org/officeDocument/2006/relationships/hyperlink" Target="https://images-na.ssl-images-amazon.com/images/I/41QMc8k3i9S._AC_US600_.jpg" TargetMode="External"/><Relationship Id="rId6" Type="http://schemas.openxmlformats.org/officeDocument/2006/relationships/hyperlink" Target="https://images-na.ssl-images-amazon.com/images/I/41tMsAM-k9L._AC_US600_.jpg" TargetMode="External"/><Relationship Id="rId59" Type="http://schemas.openxmlformats.org/officeDocument/2006/relationships/hyperlink" Target="https://www.amazon.com/dp/B08QDSL3Z8?psc=1" TargetMode="External"/><Relationship Id="rId58" Type="http://schemas.openxmlformats.org/officeDocument/2006/relationships/hyperlink" Target="https://images-na.ssl-images-amazon.com/images/I/31hndm3ucxL._AC_US600_.jpg" TargetMode="External"/><Relationship Id="rId57" Type="http://schemas.openxmlformats.org/officeDocument/2006/relationships/hyperlink" Target="https://www.amazon.com/dp/B0B9Y4NK4Y?psc=1" TargetMode="External"/><Relationship Id="rId56" Type="http://schemas.openxmlformats.org/officeDocument/2006/relationships/hyperlink" Target="https://images-na.ssl-images-amazon.com/images/I/31YqdW5BqJL._AC_US600_.jpg" TargetMode="External"/><Relationship Id="rId55" Type="http://schemas.openxmlformats.org/officeDocument/2006/relationships/hyperlink" Target="https://www.amazon.com/dp/B07JCBG524?psc=1" TargetMode="External"/><Relationship Id="rId54" Type="http://schemas.openxmlformats.org/officeDocument/2006/relationships/hyperlink" Target="https://images-na.ssl-images-amazon.com/images/I/21aU0HdbrhL._AC_US600_.jpg" TargetMode="External"/><Relationship Id="rId53" Type="http://schemas.openxmlformats.org/officeDocument/2006/relationships/hyperlink" Target="https://www.amazon.com/dp/B08RJKSGSH?psc=1" TargetMode="External"/><Relationship Id="rId52" Type="http://schemas.openxmlformats.org/officeDocument/2006/relationships/hyperlink" Target="https://images-na.ssl-images-amazon.com/images/I/41BHj72fx2L._AC_US600_.jpg" TargetMode="External"/><Relationship Id="rId51" Type="http://schemas.openxmlformats.org/officeDocument/2006/relationships/hyperlink" Target="https://www.amazon.com/dp/B07T1MKP41?psc=1" TargetMode="External"/><Relationship Id="rId50" Type="http://schemas.openxmlformats.org/officeDocument/2006/relationships/hyperlink" Target="https://images-na.ssl-images-amazon.com/images/I/310LydzyT1L._AC_US600_.jpg" TargetMode="External"/><Relationship Id="rId5" Type="http://schemas.openxmlformats.org/officeDocument/2006/relationships/hyperlink" Target="https://www.amazon.com/dp/B07KZLJ7PB?psc=1" TargetMode="External"/><Relationship Id="rId49" Type="http://schemas.openxmlformats.org/officeDocument/2006/relationships/hyperlink" Target="https://www.amazon.com/dp/B09TW9SZLP?psc=1" TargetMode="External"/><Relationship Id="rId48" Type="http://schemas.openxmlformats.org/officeDocument/2006/relationships/hyperlink" Target="https://images-na.ssl-images-amazon.com/images/I/31NenFpJSyL._AC_US600_.jpg" TargetMode="External"/><Relationship Id="rId47" Type="http://schemas.openxmlformats.org/officeDocument/2006/relationships/hyperlink" Target="https://www.amazon.com/dp/B09Y9FZP4Z?psc=1" TargetMode="External"/><Relationship Id="rId46" Type="http://schemas.openxmlformats.org/officeDocument/2006/relationships/hyperlink" Target="https://m.media-amazon.com/images/I/51nEc5AoIzL._AC_SR600,600_.jpg" TargetMode="External"/><Relationship Id="rId45" Type="http://schemas.openxmlformats.org/officeDocument/2006/relationships/hyperlink" Target="https://www.amazon.com/dp/B07K6YVF49?psc=1" TargetMode="External"/><Relationship Id="rId44" Type="http://schemas.openxmlformats.org/officeDocument/2006/relationships/hyperlink" Target="https://images-na.ssl-images-amazon.com/images/I/31oXIvJ3InL._AC_US600_.jpg" TargetMode="External"/><Relationship Id="rId43" Type="http://schemas.openxmlformats.org/officeDocument/2006/relationships/hyperlink" Target="https://www.amazon.com/dp/B08146P11G?psc=1" TargetMode="External"/><Relationship Id="rId42" Type="http://schemas.openxmlformats.org/officeDocument/2006/relationships/hyperlink" Target="https://images-na.ssl-images-amazon.com/images/I/41zt-9aNaHL._AC_US600_.jpg" TargetMode="External"/><Relationship Id="rId41" Type="http://schemas.openxmlformats.org/officeDocument/2006/relationships/hyperlink" Target="https://www.amazon.com/dp/B09N9LD7ZN?psc=1" TargetMode="External"/><Relationship Id="rId40" Type="http://schemas.openxmlformats.org/officeDocument/2006/relationships/hyperlink" Target="https://images-na.ssl-images-amazon.com/images/I/31m1rcaMLZL._AC_US600_.jpg" TargetMode="External"/><Relationship Id="rId4" Type="http://schemas.openxmlformats.org/officeDocument/2006/relationships/hyperlink" Target="https://images-na.ssl-images-amazon.com/images/I/31wYF43uHtL._AC_US600_.jpg" TargetMode="External"/><Relationship Id="rId39" Type="http://schemas.openxmlformats.org/officeDocument/2006/relationships/hyperlink" Target="https://www.amazon.com/dp/B07LDVXK4Q?psc=1" TargetMode="External"/><Relationship Id="rId38" Type="http://schemas.openxmlformats.org/officeDocument/2006/relationships/hyperlink" Target="https://images-na.ssl-images-amazon.com/images/I/41-16oK8eiL._AC_US600_.jpg" TargetMode="External"/><Relationship Id="rId37" Type="http://schemas.openxmlformats.org/officeDocument/2006/relationships/hyperlink" Target="https://www.amazon.com/dp/B07SW7F6D3?psc=1" TargetMode="External"/><Relationship Id="rId36" Type="http://schemas.openxmlformats.org/officeDocument/2006/relationships/hyperlink" Target="https://images-na.ssl-images-amazon.com/images/I/418L-SzzbNL._AC_US600_.jpg" TargetMode="External"/><Relationship Id="rId35" Type="http://schemas.openxmlformats.org/officeDocument/2006/relationships/hyperlink" Target="https://www.amazon.com/dp/B0083H1INK?psc=1" TargetMode="External"/><Relationship Id="rId34" Type="http://schemas.openxmlformats.org/officeDocument/2006/relationships/hyperlink" Target="https://images-na.ssl-images-amazon.com/images/I/41XxivVYOuL._AC_US600_.jpg" TargetMode="External"/><Relationship Id="rId33" Type="http://schemas.openxmlformats.org/officeDocument/2006/relationships/hyperlink" Target="https://www.amazon.com/dp/B089PYWXSC?psc=1" TargetMode="External"/><Relationship Id="rId32" Type="http://schemas.openxmlformats.org/officeDocument/2006/relationships/hyperlink" Target="https://images-na.ssl-images-amazon.com/images/I/41Mbkz41tsL._AC_US600_.jpg" TargetMode="External"/><Relationship Id="rId31" Type="http://schemas.openxmlformats.org/officeDocument/2006/relationships/hyperlink" Target="https://www.amazon.com/dp/B08X6SLGXK?psc=1" TargetMode="External"/><Relationship Id="rId30" Type="http://schemas.openxmlformats.org/officeDocument/2006/relationships/hyperlink" Target="https://images-na.ssl-images-amazon.com/images/I/31rUnR+wYyL._AC_US600_.jpg" TargetMode="External"/><Relationship Id="rId3" Type="http://schemas.openxmlformats.org/officeDocument/2006/relationships/hyperlink" Target="https://www.amazon.com/dp/B08NQ5CPPG?psc=1" TargetMode="External"/><Relationship Id="rId29" Type="http://schemas.openxmlformats.org/officeDocument/2006/relationships/hyperlink" Target="https://www.amazon.com/dp/B0B2KYL4MB?psc=1" TargetMode="External"/><Relationship Id="rId28" Type="http://schemas.openxmlformats.org/officeDocument/2006/relationships/hyperlink" Target="https://images-na.ssl-images-amazon.com/images/I/31r6T79Gn5L._AC_US600_.jpg" TargetMode="External"/><Relationship Id="rId27" Type="http://schemas.openxmlformats.org/officeDocument/2006/relationships/hyperlink" Target="https://www.amazon.com/dp/B08F2X9FBQ?psc=1" TargetMode="External"/><Relationship Id="rId26" Type="http://schemas.openxmlformats.org/officeDocument/2006/relationships/hyperlink" Target="https://images-na.ssl-images-amazon.com/images/I/21xyPR63J1L._AC_US600_.jpg" TargetMode="External"/><Relationship Id="rId25" Type="http://schemas.openxmlformats.org/officeDocument/2006/relationships/hyperlink" Target="https://www.amazon.com/dp/B00MVVI1FC?psc=1" TargetMode="External"/><Relationship Id="rId24" Type="http://schemas.openxmlformats.org/officeDocument/2006/relationships/hyperlink" Target="https://m.media-amazon.com/images/I/31anMONExKS._AC_SR600,600_.jpg" TargetMode="External"/><Relationship Id="rId23" Type="http://schemas.openxmlformats.org/officeDocument/2006/relationships/hyperlink" Target="https://www.amazon.com/dp/B08BFKSVRG?psc=1" TargetMode="External"/><Relationship Id="rId22" Type="http://schemas.openxmlformats.org/officeDocument/2006/relationships/hyperlink" Target="https://m.media-amazon.com/images/I/411-G+Av1-L._AC_SR600,600_.jpg" TargetMode="External"/><Relationship Id="rId21" Type="http://schemas.openxmlformats.org/officeDocument/2006/relationships/hyperlink" Target="https://www.amazon.com/dp/B01MRUXFJT?psc=1" TargetMode="External"/><Relationship Id="rId200" Type="http://schemas.openxmlformats.org/officeDocument/2006/relationships/hyperlink" Target="https://m.media-amazon.com/images/I/410qJE9mn8L._AC_SR600,600_.jpg" TargetMode="External"/><Relationship Id="rId20" Type="http://schemas.openxmlformats.org/officeDocument/2006/relationships/hyperlink" Target="https://m.media-amazon.com/images/I/31PEAf-CcSL._AC_SR600,600_.jpg" TargetMode="External"/><Relationship Id="rId2" Type="http://schemas.openxmlformats.org/officeDocument/2006/relationships/hyperlink" Target="https://m.media-amazon.com/images/I/31vl3dU0i5L._AC_US600_.jpg" TargetMode="External"/><Relationship Id="rId199" Type="http://schemas.openxmlformats.org/officeDocument/2006/relationships/hyperlink" Target="https://www.amazon.com/dp/B0BFHCBNKR?psc=1" TargetMode="External"/><Relationship Id="rId198" Type="http://schemas.openxmlformats.org/officeDocument/2006/relationships/hyperlink" Target="https://images-na.ssl-images-amazon.com/images/I/31aKjh3sbBL._AC_US600_.jpg" TargetMode="External"/><Relationship Id="rId197" Type="http://schemas.openxmlformats.org/officeDocument/2006/relationships/hyperlink" Target="https://www.amazon.com/dp/B0BLTM88R6?psc=1" TargetMode="External"/><Relationship Id="rId196" Type="http://schemas.openxmlformats.org/officeDocument/2006/relationships/hyperlink" Target="https://m.media-amazon.com/images/I/31vOlTkdGgL._AC_SR600,600_.jpg" TargetMode="External"/><Relationship Id="rId195" Type="http://schemas.openxmlformats.org/officeDocument/2006/relationships/hyperlink" Target="https://www.amazon.com/dp/B07WP2S5XL?psc=1" TargetMode="External"/><Relationship Id="rId194" Type="http://schemas.openxmlformats.org/officeDocument/2006/relationships/hyperlink" Target="https://m.media-amazon.com/images/I/21r9BGy-TdL._AC_US600_.jpg" TargetMode="External"/><Relationship Id="rId193" Type="http://schemas.openxmlformats.org/officeDocument/2006/relationships/hyperlink" Target="https://www.amazon.com/dp/B084GSNPH1?psc=1" TargetMode="External"/><Relationship Id="rId192" Type="http://schemas.openxmlformats.org/officeDocument/2006/relationships/hyperlink" Target="https://m.media-amazon.com/images/I/41JsADUfBqL._AC_SR600,600_.jpg" TargetMode="External"/><Relationship Id="rId191" Type="http://schemas.openxmlformats.org/officeDocument/2006/relationships/hyperlink" Target="https://www.amazon.com/dp/B075R1LH8D?psc=1" TargetMode="External"/><Relationship Id="rId190" Type="http://schemas.openxmlformats.org/officeDocument/2006/relationships/hyperlink" Target="https://m.media-amazon.com/images/I/51IP1YTgioL._AC_SR600,600_.jpg" TargetMode="External"/><Relationship Id="rId19" Type="http://schemas.openxmlformats.org/officeDocument/2006/relationships/hyperlink" Target="https://www.amazon.com/dp/B07LDWLNVF?psc=1" TargetMode="External"/><Relationship Id="rId189" Type="http://schemas.openxmlformats.org/officeDocument/2006/relationships/hyperlink" Target="https://www.amazon.com/dp/B0B716SJ1G?psc=1" TargetMode="External"/><Relationship Id="rId188" Type="http://schemas.openxmlformats.org/officeDocument/2006/relationships/hyperlink" Target="https://m.media-amazon.com/images/I/41ngeRHXxlL._AC_SR600,600_.jpg" TargetMode="External"/><Relationship Id="rId187" Type="http://schemas.openxmlformats.org/officeDocument/2006/relationships/hyperlink" Target="https://www.amazon.com/dp/B01MDR6YQA?psc=1" TargetMode="External"/><Relationship Id="rId186" Type="http://schemas.openxmlformats.org/officeDocument/2006/relationships/hyperlink" Target="https://m.media-amazon.com/images/I/31Y-zYQl5tL._AC_SR600,600_.jpg" TargetMode="External"/><Relationship Id="rId185" Type="http://schemas.openxmlformats.org/officeDocument/2006/relationships/hyperlink" Target="https://www.amazon.com/dp/B07PSW4XVW?psc=1" TargetMode="External"/><Relationship Id="rId184" Type="http://schemas.openxmlformats.org/officeDocument/2006/relationships/hyperlink" Target="https://m.media-amazon.com/images/I/315FSBqr4pL._AC_SR600,600_.jpg" TargetMode="External"/><Relationship Id="rId183" Type="http://schemas.openxmlformats.org/officeDocument/2006/relationships/hyperlink" Target="https://www.amazon.com/dp/B08P65PQ8V?psc=1" TargetMode="External"/><Relationship Id="rId182" Type="http://schemas.openxmlformats.org/officeDocument/2006/relationships/hyperlink" Target="https://m.media-amazon.com/images/I/31iSqMUCtYL._AC_US600_.jpg" TargetMode="External"/><Relationship Id="rId181" Type="http://schemas.openxmlformats.org/officeDocument/2006/relationships/hyperlink" Target="https://www.amazon.com/dp/B07TXG7G1Y?psc=1" TargetMode="External"/><Relationship Id="rId180" Type="http://schemas.openxmlformats.org/officeDocument/2006/relationships/hyperlink" Target="https://m.media-amazon.com/images/I/218jaFNjVQL._AC_SR600,600_.jpg" TargetMode="External"/><Relationship Id="rId18" Type="http://schemas.openxmlformats.org/officeDocument/2006/relationships/hyperlink" Target="https://images-na.ssl-images-amazon.com/images/I/41uP68XaHdL._AC_US600_.jpg" TargetMode="External"/><Relationship Id="rId179" Type="http://schemas.openxmlformats.org/officeDocument/2006/relationships/hyperlink" Target="https://www.amazon.com/dp/B0BP7PMFYJ?psc=1" TargetMode="External"/><Relationship Id="rId178" Type="http://schemas.openxmlformats.org/officeDocument/2006/relationships/hyperlink" Target="https://m.media-amazon.com/images/I/41w+nyWbjjL._AC_US600_.jpg" TargetMode="External"/><Relationship Id="rId177" Type="http://schemas.openxmlformats.org/officeDocument/2006/relationships/hyperlink" Target="https://www.amazon.com/dp/B0B4MWT8V8?psc=1" TargetMode="External"/><Relationship Id="rId176" Type="http://schemas.openxmlformats.org/officeDocument/2006/relationships/hyperlink" Target="https://m.media-amazon.com/images/I/315U0pn-DDL._AC_SR600,600_.jpg" TargetMode="External"/><Relationship Id="rId175" Type="http://schemas.openxmlformats.org/officeDocument/2006/relationships/hyperlink" Target="https://www.amazon.com/dp/B09W9JHN41?psc=1" TargetMode="External"/><Relationship Id="rId174" Type="http://schemas.openxmlformats.org/officeDocument/2006/relationships/hyperlink" Target="https://m.media-amazon.com/images/W/WEBP_402378-T2/images/I/41PuIrFBsAL._AC_SR600,600_.jpg" TargetMode="External"/><Relationship Id="rId173" Type="http://schemas.openxmlformats.org/officeDocument/2006/relationships/hyperlink" Target="https://www.amazon.com/dp/B09W2J5JKP?psc=1" TargetMode="External"/><Relationship Id="rId172" Type="http://schemas.openxmlformats.org/officeDocument/2006/relationships/hyperlink" Target="https://m.media-amazon.com/images/I/31pe6o04StL._AC_SR600,600_.jpg" TargetMode="External"/><Relationship Id="rId171" Type="http://schemas.openxmlformats.org/officeDocument/2006/relationships/hyperlink" Target="https://www.amazon.com/dp/B07PPKBQ24?psc=1" TargetMode="External"/><Relationship Id="rId170" Type="http://schemas.openxmlformats.org/officeDocument/2006/relationships/hyperlink" Target="https://m.media-amazon.com/images/I/31VvSJ-MWSL._AC_SR600,600_.jpg" TargetMode="External"/><Relationship Id="rId17" Type="http://schemas.openxmlformats.org/officeDocument/2006/relationships/hyperlink" Target="https://www.amazon.com/dp/B0BBZFPQRL?psc=1" TargetMode="External"/><Relationship Id="rId169" Type="http://schemas.openxmlformats.org/officeDocument/2006/relationships/hyperlink" Target="https://www.amazon.com/dp/B078XTF1QR?psc=1" TargetMode="External"/><Relationship Id="rId168" Type="http://schemas.openxmlformats.org/officeDocument/2006/relationships/hyperlink" Target="https://images-na.ssl-images-amazon.com/images/I/41iLX2yDzuL._AC_US600_.jpg" TargetMode="External"/><Relationship Id="rId167" Type="http://schemas.openxmlformats.org/officeDocument/2006/relationships/hyperlink" Target="https://www.amazon.com/dp/B09WR328NY?psc=1" TargetMode="External"/><Relationship Id="rId166" Type="http://schemas.openxmlformats.org/officeDocument/2006/relationships/hyperlink" Target="https://m.media-amazon.com/images/I/31jsRfJwXHL._AC_SR600,600_.jpg" TargetMode="External"/><Relationship Id="rId165" Type="http://schemas.openxmlformats.org/officeDocument/2006/relationships/hyperlink" Target="https://www.amazon.com/dp/B07YT1RLZC?psc=1" TargetMode="External"/><Relationship Id="rId164" Type="http://schemas.openxmlformats.org/officeDocument/2006/relationships/hyperlink" Target="https://images-na.ssl-images-amazon.com/images/I/41X-dfWhKBL._AC_US600_.jpg" TargetMode="External"/><Relationship Id="rId163" Type="http://schemas.openxmlformats.org/officeDocument/2006/relationships/hyperlink" Target="https://www.amazon.com/dp/B0BNXBMWY4?psc=1" TargetMode="External"/><Relationship Id="rId162" Type="http://schemas.openxmlformats.org/officeDocument/2006/relationships/hyperlink" Target="https://images-na.ssl-images-amazon.com/images/I/219yANULAuL._AC_US600_.jpg" TargetMode="External"/><Relationship Id="rId161" Type="http://schemas.openxmlformats.org/officeDocument/2006/relationships/hyperlink" Target="https://www.amazon.com/dp/B08M5LCZDZ?psc=1" TargetMode="External"/><Relationship Id="rId160" Type="http://schemas.openxmlformats.org/officeDocument/2006/relationships/hyperlink" Target="https://images-na.ssl-images-amazon.com/images/I/41xL9EsE7HL._AC_US600_.jpg" TargetMode="External"/><Relationship Id="rId16" Type="http://schemas.openxmlformats.org/officeDocument/2006/relationships/hyperlink" Target="https://images-na.ssl-images-amazon.com/images/I/41cQkNo5a+L._AC_US600_.jpg" TargetMode="External"/><Relationship Id="rId159" Type="http://schemas.openxmlformats.org/officeDocument/2006/relationships/hyperlink" Target="https://www.amazon.com/dp/B087LZFGWS?psc=1" TargetMode="External"/><Relationship Id="rId158" Type="http://schemas.openxmlformats.org/officeDocument/2006/relationships/hyperlink" Target="https://images-na.ssl-images-amazon.com/images/I/517Z3ZHBW-L._AC_US600_.jpg" TargetMode="External"/><Relationship Id="rId157" Type="http://schemas.openxmlformats.org/officeDocument/2006/relationships/hyperlink" Target="https://www.amazon.com/dp/B09B797WC8?psc=1" TargetMode="External"/><Relationship Id="rId156" Type="http://schemas.openxmlformats.org/officeDocument/2006/relationships/hyperlink" Target="https://images-na.ssl-images-amazon.com/images/I/31yUTbDIbcL._AC_US600_.jpg" TargetMode="External"/><Relationship Id="rId155" Type="http://schemas.openxmlformats.org/officeDocument/2006/relationships/hyperlink" Target="https://www.amazon.com/dp/B096RQ24HJ?psc=1" TargetMode="External"/><Relationship Id="rId154" Type="http://schemas.openxmlformats.org/officeDocument/2006/relationships/hyperlink" Target="https://images-na.ssl-images-amazon.com/images/I/41LHWpnhSbL._AC_US600_.jpg" TargetMode="External"/><Relationship Id="rId153" Type="http://schemas.openxmlformats.org/officeDocument/2006/relationships/hyperlink" Target="https://www.amazon.com/dp/B09WVM6R78?psc=1" TargetMode="External"/><Relationship Id="rId152" Type="http://schemas.openxmlformats.org/officeDocument/2006/relationships/hyperlink" Target="https://images-na.ssl-images-amazon.com/images/I/41MS+pr7Y4L._AC_US600_.jpg" TargetMode="External"/><Relationship Id="rId151" Type="http://schemas.openxmlformats.org/officeDocument/2006/relationships/hyperlink" Target="https://www.amazon.com/dp/B09LQHH4RS?psc=1" TargetMode="External"/><Relationship Id="rId150" Type="http://schemas.openxmlformats.org/officeDocument/2006/relationships/hyperlink" Target="https://images-na.ssl-images-amazon.com/images/I/41OVnIVPUGL._AC_US600_.jpg" TargetMode="External"/><Relationship Id="rId15" Type="http://schemas.openxmlformats.org/officeDocument/2006/relationships/hyperlink" Target="https://www.amazon.com/dp/B0B4CJD575?psc=1" TargetMode="External"/><Relationship Id="rId149" Type="http://schemas.openxmlformats.org/officeDocument/2006/relationships/hyperlink" Target="https://www.amazon.com/dp/B009CNNHDI?psc=1" TargetMode="External"/><Relationship Id="rId148" Type="http://schemas.openxmlformats.org/officeDocument/2006/relationships/hyperlink" Target="https://m.media-amazon.com/images/I/4109SHmZnCL._AC_SR600,600_.jpg" TargetMode="External"/><Relationship Id="rId147" Type="http://schemas.openxmlformats.org/officeDocument/2006/relationships/hyperlink" Target="https://www.amazon.com/dp/B08P4VCNKB?psc=1" TargetMode="External"/><Relationship Id="rId146" Type="http://schemas.openxmlformats.org/officeDocument/2006/relationships/hyperlink" Target="https://m.media-amazon.com/images/I/21lahy5lEnL._AC_SR600,600_.jpg" TargetMode="External"/><Relationship Id="rId145" Type="http://schemas.openxmlformats.org/officeDocument/2006/relationships/hyperlink" Target="https://www.amazon.com/dp/B07TFKPT39?psc=1" TargetMode="External"/><Relationship Id="rId144" Type="http://schemas.openxmlformats.org/officeDocument/2006/relationships/hyperlink" Target="https://images-na.ssl-images-amazon.com/images/I/316qylcSyRL._AC_US600_.jpg" TargetMode="External"/><Relationship Id="rId143" Type="http://schemas.openxmlformats.org/officeDocument/2006/relationships/hyperlink" Target="https://www.amazon.com/dp/B09TW8VPMJ?psc=1" TargetMode="External"/><Relationship Id="rId142" Type="http://schemas.openxmlformats.org/officeDocument/2006/relationships/hyperlink" Target="https://images-na.ssl-images-amazon.com/images/I/31VpXnmBskL._AC_US600_.jpg" TargetMode="External"/><Relationship Id="rId141" Type="http://schemas.openxmlformats.org/officeDocument/2006/relationships/hyperlink" Target="https://www.amazon.com/dp/B08G4RK3N9?psc=1" TargetMode="External"/><Relationship Id="rId140" Type="http://schemas.openxmlformats.org/officeDocument/2006/relationships/hyperlink" Target="https://images-na.ssl-images-amazon.com/images/I/41wg6x9WEPS._AC_US600_.jpg" TargetMode="External"/><Relationship Id="rId14" Type="http://schemas.openxmlformats.org/officeDocument/2006/relationships/hyperlink" Target="https://images-na.ssl-images-amazon.com/images/I/31GxgiNY49S._AC_US600_.jpg" TargetMode="External"/><Relationship Id="rId139" Type="http://schemas.openxmlformats.org/officeDocument/2006/relationships/hyperlink" Target="https://www.amazon.com/dp/B08SWRSM1D?psc=1" TargetMode="External"/><Relationship Id="rId138" Type="http://schemas.openxmlformats.org/officeDocument/2006/relationships/hyperlink" Target="https://images-na.ssl-images-amazon.com/images/I/31NaBJ-xncL._AC_US600_.jpg" TargetMode="External"/><Relationship Id="rId137" Type="http://schemas.openxmlformats.org/officeDocument/2006/relationships/hyperlink" Target="https://www.amazon.com/dp/B07XJRZR8P?psc=1" TargetMode="External"/><Relationship Id="rId136" Type="http://schemas.openxmlformats.org/officeDocument/2006/relationships/hyperlink" Target="https://images-na.ssl-images-amazon.com/images/I/3141MgQC5bL._AC_US600_.jpg" TargetMode="External"/><Relationship Id="rId135" Type="http://schemas.openxmlformats.org/officeDocument/2006/relationships/hyperlink" Target="https://www.amazon.com/dp/B09842Y7PM?psc=1" TargetMode="External"/><Relationship Id="rId134" Type="http://schemas.openxmlformats.org/officeDocument/2006/relationships/hyperlink" Target="https://images-na.ssl-images-amazon.com/images/I/41vVumf7k2L._AC_US600_.jpg" TargetMode="External"/><Relationship Id="rId133" Type="http://schemas.openxmlformats.org/officeDocument/2006/relationships/hyperlink" Target="https://www.amazon.com/dp/B07NJ8SM6D?psc=1" TargetMode="External"/><Relationship Id="rId132" Type="http://schemas.openxmlformats.org/officeDocument/2006/relationships/hyperlink" Target="https://m.media-amazon.com/images/I/41Xq0GlmnnS._AC_SR600,600_.jpg" TargetMode="External"/><Relationship Id="rId131" Type="http://schemas.openxmlformats.org/officeDocument/2006/relationships/hyperlink" Target="https://www.amazon.com/dp/B08R8SHHQ4?psc=1" TargetMode="External"/><Relationship Id="rId130" Type="http://schemas.openxmlformats.org/officeDocument/2006/relationships/hyperlink" Target="https://m.media-amazon.com/images/I/31LK3rhNArL._AC_SR600,600_.jpg" TargetMode="External"/><Relationship Id="rId13" Type="http://schemas.openxmlformats.org/officeDocument/2006/relationships/hyperlink" Target="https://www.amazon.com/dp/B087Z2MLN2?psc=1" TargetMode="External"/><Relationship Id="rId129" Type="http://schemas.openxmlformats.org/officeDocument/2006/relationships/hyperlink" Target="https://www.amazon.com/dp/B07THDQXF8?psc=1" TargetMode="External"/><Relationship Id="rId128" Type="http://schemas.openxmlformats.org/officeDocument/2006/relationships/hyperlink" Target="https://images-na.ssl-images-amazon.com/images/I/41hZ3-HRzeL._AC_US600_.jpg" TargetMode="External"/><Relationship Id="rId127" Type="http://schemas.openxmlformats.org/officeDocument/2006/relationships/hyperlink" Target="https://www.amazon.com/dp/B08P4TC5XV?psc=1" TargetMode="External"/><Relationship Id="rId126" Type="http://schemas.openxmlformats.org/officeDocument/2006/relationships/hyperlink" Target="https://images-na.ssl-images-amazon.com/images/I/31o1oVFNohL._AC_US600_.jpg" TargetMode="External"/><Relationship Id="rId125" Type="http://schemas.openxmlformats.org/officeDocument/2006/relationships/hyperlink" Target="https://www.amazon.com/dp/B0BPTPCY6Q?psc=1" TargetMode="External"/><Relationship Id="rId124" Type="http://schemas.openxmlformats.org/officeDocument/2006/relationships/hyperlink" Target="https://images-na.ssl-images-amazon.com/images/I/41eAhRtzl3L._AC_US600_.jpg" TargetMode="External"/><Relationship Id="rId123" Type="http://schemas.openxmlformats.org/officeDocument/2006/relationships/hyperlink" Target="https://www.amazon.com/dp/B09W9JMS6D?psc=1" TargetMode="External"/><Relationship Id="rId122" Type="http://schemas.openxmlformats.org/officeDocument/2006/relationships/hyperlink" Target="https://images-na.ssl-images-amazon.com/images/I/210cZoEkfxS._AC_US600_.jpg" TargetMode="External"/><Relationship Id="rId121" Type="http://schemas.openxmlformats.org/officeDocument/2006/relationships/hyperlink" Target="https://www.amazon.com/dp/B08WZH3TS8?psc=1" TargetMode="External"/><Relationship Id="rId120" Type="http://schemas.openxmlformats.org/officeDocument/2006/relationships/hyperlink" Target="https://images-na.ssl-images-amazon.com/images/I/314jzi0ez8L._AC_US600_.jpg" TargetMode="External"/><Relationship Id="rId12" Type="http://schemas.openxmlformats.org/officeDocument/2006/relationships/hyperlink" Target="https://images-na.ssl-images-amazon.com/images/I/31DVc5msIiL._AC_US600_.jpg" TargetMode="External"/><Relationship Id="rId119" Type="http://schemas.openxmlformats.org/officeDocument/2006/relationships/hyperlink" Target="https://www.amazon.com/dp/B09YMCGFRJ?psc=1" TargetMode="External"/><Relationship Id="rId118" Type="http://schemas.openxmlformats.org/officeDocument/2006/relationships/hyperlink" Target="https://m.media-amazon.com/images/W/WEBP_402378-T1/images/I/41cO+k5QzFL._AC_SR600,600_.jpg" TargetMode="External"/><Relationship Id="rId117" Type="http://schemas.openxmlformats.org/officeDocument/2006/relationships/hyperlink" Target="https://www.amazon.com/dp/B09HX1X2BN?psc=1" TargetMode="External"/><Relationship Id="rId116" Type="http://schemas.openxmlformats.org/officeDocument/2006/relationships/hyperlink" Target="https://images-na.ssl-images-amazon.com/images/I/41+NQ6YFaWL._AC_US600_.jpg" TargetMode="External"/><Relationship Id="rId115" Type="http://schemas.openxmlformats.org/officeDocument/2006/relationships/hyperlink" Target="https://www.amazon.com/dp/B0BMQ33V2J?psc=1" TargetMode="External"/><Relationship Id="rId114" Type="http://schemas.openxmlformats.org/officeDocument/2006/relationships/hyperlink" Target="https://images-na.ssl-images-amazon.com/images/I/21Mq+NFTTbL._AC_US600_.jpg" TargetMode="External"/><Relationship Id="rId113" Type="http://schemas.openxmlformats.org/officeDocument/2006/relationships/hyperlink" Target="https://www.amazon.com/dp/B08T8ZL97X?psc=1" TargetMode="External"/><Relationship Id="rId112" Type="http://schemas.openxmlformats.org/officeDocument/2006/relationships/hyperlink" Target="https://images-na.ssl-images-amazon.com/images/I/31ANZYGoBAL._AC_US600_.jpg" TargetMode="External"/><Relationship Id="rId111" Type="http://schemas.openxmlformats.org/officeDocument/2006/relationships/hyperlink" Target="https://www.amazon.com/dp/B07TM75HF3?psc=1" TargetMode="External"/><Relationship Id="rId110" Type="http://schemas.openxmlformats.org/officeDocument/2006/relationships/hyperlink" Target="https://images-na.ssl-images-amazon.com/images/I/21gKEloeTzL._AC_US600_.jpg" TargetMode="External"/><Relationship Id="rId11" Type="http://schemas.openxmlformats.org/officeDocument/2006/relationships/hyperlink" Target="https://www.amazon.com/dp/B07Y8TM6SW?psc=1" TargetMode="External"/><Relationship Id="rId109" Type="http://schemas.openxmlformats.org/officeDocument/2006/relationships/hyperlink" Target="https://www.amazon.com/dp/B0983ZB3JF?psc=1" TargetMode="External"/><Relationship Id="rId108" Type="http://schemas.openxmlformats.org/officeDocument/2006/relationships/hyperlink" Target="https://m.media-amazon.com/images/I/31giNA064NL._AC_SR600,600_.jpg" TargetMode="External"/><Relationship Id="rId107" Type="http://schemas.openxmlformats.org/officeDocument/2006/relationships/hyperlink" Target="https://www.amazon.com/dp/B09HTWGHYG?psc=1" TargetMode="External"/><Relationship Id="rId106" Type="http://schemas.openxmlformats.org/officeDocument/2006/relationships/hyperlink" Target="https://m.media-amazon.com/images/I/31eJy1+sCRL._AC_SR600,600_.jpg" TargetMode="External"/><Relationship Id="rId105" Type="http://schemas.openxmlformats.org/officeDocument/2006/relationships/hyperlink" Target="https://www.amazon.com/dp/B09XVGTVH1?psc=1" TargetMode="External"/><Relationship Id="rId104" Type="http://schemas.openxmlformats.org/officeDocument/2006/relationships/hyperlink" Target="https://images-na.ssl-images-amazon.com/images/I/41xkfAcNUdL._AC_US600_.jpg" TargetMode="External"/><Relationship Id="rId103" Type="http://schemas.openxmlformats.org/officeDocument/2006/relationships/hyperlink" Target="https://www.amazon.com/dp/B09W9M5RCQ?psc=1" TargetMode="External"/><Relationship Id="rId102" Type="http://schemas.openxmlformats.org/officeDocument/2006/relationships/hyperlink" Target="https://images-na.ssl-images-amazon.com/images/I/311ar7NHxlL._AC_US600_.jpg" TargetMode="External"/><Relationship Id="rId101" Type="http://schemas.openxmlformats.org/officeDocument/2006/relationships/hyperlink" Target="https://www.amazon.com/dp/B01DZQI9TE?psc=1" TargetMode="External"/><Relationship Id="rId100" Type="http://schemas.openxmlformats.org/officeDocument/2006/relationships/hyperlink" Target="https://m.media-amazon.com/images/I/31i-20pW5FL._AC_SR600,600_.jpg" TargetMode="External"/><Relationship Id="rId10" Type="http://schemas.openxmlformats.org/officeDocument/2006/relationships/hyperlink" Target="https://images-na.ssl-images-amazon.com/images/I/31X8FFcg9aL._AC_US600_.jpg" TargetMode="External"/><Relationship Id="rId1" Type="http://schemas.openxmlformats.org/officeDocument/2006/relationships/hyperlink" Target="https://www.amazon.com/dp/B01G7IL3BS?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AC45"/>
  <sheetViews>
    <sheetView showGridLines="0" workbookViewId="0">
      <selection activeCell="AE28" sqref="AE28"/>
    </sheetView>
  </sheetViews>
  <sheetFormatPr defaultColWidth="9" defaultRowHeight="13.5"/>
  <cols>
    <col min="1" max="29" width="6.625" style="50" customWidth="1"/>
    <col min="30" max="16384" width="9" style="50"/>
  </cols>
  <sheetData>
    <row r="1" s="50" customFormat="1" spans="10:24">
      <c r="J1" s="1037" t="s">
        <v>0</v>
      </c>
      <c r="K1" s="1037"/>
      <c r="L1" s="1037"/>
      <c r="M1" s="1037"/>
      <c r="N1" s="1037"/>
      <c r="O1" s="1037"/>
      <c r="P1" s="1037"/>
      <c r="Q1" s="1037"/>
      <c r="R1" s="1037"/>
      <c r="S1" s="1037"/>
      <c r="T1" s="1037"/>
      <c r="U1" s="1037"/>
      <c r="V1" s="1037"/>
      <c r="W1" s="1037"/>
      <c r="X1" s="1037"/>
    </row>
    <row r="2" s="50" customFormat="1" spans="10:24">
      <c r="J2" s="1037"/>
      <c r="K2" s="1037"/>
      <c r="L2" s="1037"/>
      <c r="M2" s="1037"/>
      <c r="N2" s="1037"/>
      <c r="O2" s="1037"/>
      <c r="P2" s="1037"/>
      <c r="Q2" s="1037"/>
      <c r="R2" s="1037"/>
      <c r="S2" s="1037"/>
      <c r="T2" s="1037"/>
      <c r="U2" s="1037"/>
      <c r="V2" s="1037"/>
      <c r="W2" s="1037"/>
      <c r="X2" s="1037"/>
    </row>
    <row r="3" s="50" customFormat="1" spans="10:24">
      <c r="J3" s="1037"/>
      <c r="K3" s="1037"/>
      <c r="L3" s="1037"/>
      <c r="M3" s="1037"/>
      <c r="N3" s="1037"/>
      <c r="O3" s="1037"/>
      <c r="P3" s="1037"/>
      <c r="Q3" s="1037"/>
      <c r="R3" s="1037"/>
      <c r="S3" s="1037"/>
      <c r="T3" s="1037"/>
      <c r="U3" s="1037"/>
      <c r="V3" s="1037"/>
      <c r="W3" s="1037"/>
      <c r="X3" s="1037"/>
    </row>
    <row r="4" s="50" customFormat="1" spans="10:24">
      <c r="J4" s="1038" t="s">
        <v>1</v>
      </c>
      <c r="K4" s="1038"/>
      <c r="L4" s="1039" t="s">
        <v>2</v>
      </c>
      <c r="M4" s="1039"/>
      <c r="N4" s="1039"/>
      <c r="O4" s="1038" t="s">
        <v>3</v>
      </c>
      <c r="P4" s="1038"/>
      <c r="Q4" s="1040">
        <v>44394</v>
      </c>
      <c r="R4" s="1040"/>
      <c r="S4" s="1040"/>
      <c r="T4" s="1038" t="s">
        <v>4</v>
      </c>
      <c r="U4" s="1038"/>
      <c r="V4" s="1039" t="s">
        <v>5</v>
      </c>
      <c r="W4" s="1039"/>
      <c r="X4" s="1039"/>
    </row>
    <row r="5" s="50" customFormat="1" spans="10:24">
      <c r="J5" s="1038"/>
      <c r="K5" s="1038"/>
      <c r="L5" s="1039"/>
      <c r="M5" s="1039"/>
      <c r="N5" s="1039"/>
      <c r="O5" s="1038"/>
      <c r="P5" s="1038"/>
      <c r="Q5" s="1040"/>
      <c r="R5" s="1040"/>
      <c r="S5" s="1040"/>
      <c r="T5" s="1038"/>
      <c r="U5" s="1038"/>
      <c r="V5" s="1039"/>
      <c r="W5" s="1039"/>
      <c r="X5" s="1039"/>
    </row>
    <row r="6" s="50" customFormat="1" spans="10:24">
      <c r="J6" s="1038"/>
      <c r="K6" s="1038"/>
      <c r="L6" s="1039"/>
      <c r="M6" s="1039"/>
      <c r="N6" s="1039"/>
      <c r="O6" s="1038"/>
      <c r="P6" s="1038"/>
      <c r="Q6" s="1040"/>
      <c r="R6" s="1040"/>
      <c r="S6" s="1040"/>
      <c r="T6" s="1038"/>
      <c r="U6" s="1038"/>
      <c r="V6" s="1039"/>
      <c r="W6" s="1039"/>
      <c r="X6" s="1039"/>
    </row>
    <row r="7" s="50" customFormat="1" ht="15" spans="10:24">
      <c r="V7" s="1041"/>
      <c r="W7" s="1041"/>
      <c r="X7" s="1041"/>
    </row>
    <row r="9" s="50" customFormat="1" spans="10:24">
      <c r="J9" s="1042" t="s">
        <v>6</v>
      </c>
      <c r="K9" s="1043"/>
      <c r="L9" s="1043"/>
      <c r="M9" s="1043"/>
      <c r="N9" s="1043"/>
      <c r="O9" s="1043"/>
      <c r="P9" s="1043"/>
      <c r="Q9" s="1043"/>
      <c r="R9" s="1043"/>
      <c r="S9" s="1043"/>
      <c r="T9" s="1043"/>
      <c r="U9" s="1043"/>
      <c r="V9" s="1043"/>
      <c r="W9" s="1043"/>
      <c r="X9" s="1044"/>
    </row>
    <row r="10" s="50" customFormat="1" spans="10:24">
      <c r="J10" s="1045"/>
      <c r="K10" s="1046"/>
      <c r="L10" s="1046"/>
      <c r="M10" s="1046"/>
      <c r="N10" s="1046"/>
      <c r="O10" s="1046"/>
      <c r="P10" s="1046"/>
      <c r="Q10" s="1046"/>
      <c r="R10" s="1046"/>
      <c r="S10" s="1046"/>
      <c r="T10" s="1046"/>
      <c r="U10" s="1046"/>
      <c r="V10" s="1046"/>
      <c r="W10" s="1046"/>
      <c r="X10" s="1047"/>
    </row>
    <row r="11" s="50" customFormat="1" spans="10:24">
      <c r="J11" s="1045"/>
      <c r="K11" s="1046"/>
      <c r="L11" s="1046"/>
      <c r="M11" s="1046"/>
      <c r="N11" s="1046"/>
      <c r="O11" s="1046"/>
      <c r="P11" s="1046"/>
      <c r="Q11" s="1046"/>
      <c r="R11" s="1046"/>
      <c r="S11" s="1046"/>
      <c r="T11" s="1046"/>
      <c r="U11" s="1046"/>
      <c r="V11" s="1046"/>
      <c r="W11" s="1046"/>
      <c r="X11" s="1047"/>
    </row>
    <row r="12" s="50" customFormat="1" spans="10:24">
      <c r="J12" s="1048" t="s">
        <v>7</v>
      </c>
      <c r="K12" s="1049"/>
      <c r="L12" s="1049"/>
      <c r="M12" s="1049"/>
      <c r="N12" s="1049"/>
      <c r="O12" s="1049"/>
      <c r="P12" s="1049"/>
      <c r="Q12" s="1049"/>
      <c r="R12" s="1049"/>
      <c r="S12" s="1049"/>
      <c r="T12" s="1049"/>
      <c r="U12" s="1049"/>
      <c r="V12" s="1049"/>
      <c r="W12" s="1049"/>
      <c r="X12" s="1050"/>
    </row>
    <row r="13" s="50" customFormat="1" spans="10:24">
      <c r="J13" s="1051"/>
      <c r="K13" s="1052"/>
      <c r="L13" s="1052"/>
      <c r="M13" s="1052"/>
      <c r="N13" s="1052"/>
      <c r="O13" s="1052"/>
      <c r="P13" s="1052"/>
      <c r="Q13" s="1052"/>
      <c r="R13" s="1052"/>
      <c r="S13" s="1052"/>
      <c r="T13" s="1052"/>
      <c r="U13" s="1052"/>
      <c r="V13" s="1052"/>
      <c r="W13" s="1052"/>
      <c r="X13" s="1053"/>
    </row>
    <row r="14" s="50" customFormat="1" spans="10:24">
      <c r="J14" s="1051"/>
      <c r="K14" s="1052"/>
      <c r="L14" s="1052"/>
      <c r="M14" s="1052"/>
      <c r="N14" s="1052"/>
      <c r="O14" s="1052"/>
      <c r="P14" s="1052"/>
      <c r="Q14" s="1052"/>
      <c r="R14" s="1052"/>
      <c r="S14" s="1052"/>
      <c r="T14" s="1052"/>
      <c r="U14" s="1052"/>
      <c r="V14" s="1052"/>
      <c r="W14" s="1052"/>
      <c r="X14" s="1053"/>
    </row>
    <row r="15" s="50" customFormat="1" spans="10:24">
      <c r="J15" s="1051"/>
      <c r="K15" s="1052"/>
      <c r="L15" s="1052"/>
      <c r="M15" s="1052"/>
      <c r="N15" s="1052"/>
      <c r="O15" s="1052"/>
      <c r="P15" s="1052"/>
      <c r="Q15" s="1052"/>
      <c r="R15" s="1052"/>
      <c r="S15" s="1052"/>
      <c r="T15" s="1052"/>
      <c r="U15" s="1052"/>
      <c r="V15" s="1052"/>
      <c r="W15" s="1052"/>
      <c r="X15" s="1053"/>
    </row>
    <row r="16" s="50" customFormat="1" spans="10:24">
      <c r="J16" s="1051"/>
      <c r="K16" s="1052"/>
      <c r="L16" s="1052"/>
      <c r="M16" s="1052"/>
      <c r="N16" s="1052"/>
      <c r="O16" s="1052"/>
      <c r="P16" s="1052"/>
      <c r="Q16" s="1052"/>
      <c r="R16" s="1052"/>
      <c r="S16" s="1052"/>
      <c r="T16" s="1052"/>
      <c r="U16" s="1052"/>
      <c r="V16" s="1052"/>
      <c r="W16" s="1052"/>
      <c r="X16" s="1053"/>
    </row>
    <row r="17" s="50" customFormat="1" spans="10:29">
      <c r="J17" s="1051"/>
      <c r="K17" s="1052"/>
      <c r="L17" s="1052"/>
      <c r="M17" s="1052"/>
      <c r="N17" s="1052"/>
      <c r="O17" s="1052"/>
      <c r="P17" s="1052"/>
      <c r="Q17" s="1052"/>
      <c r="R17" s="1052"/>
      <c r="S17" s="1052"/>
      <c r="T17" s="1052"/>
      <c r="U17" s="1052"/>
      <c r="V17" s="1052"/>
      <c r="W17" s="1052"/>
      <c r="X17" s="1053"/>
    </row>
    <row r="18" s="50" customFormat="1" spans="10:29">
      <c r="J18" s="1051"/>
      <c r="K18" s="1052"/>
      <c r="L18" s="1052"/>
      <c r="M18" s="1052"/>
      <c r="N18" s="1052"/>
      <c r="O18" s="1052"/>
      <c r="P18" s="1052"/>
      <c r="Q18" s="1052"/>
      <c r="R18" s="1052"/>
      <c r="S18" s="1052"/>
      <c r="T18" s="1052"/>
      <c r="U18" s="1052"/>
      <c r="V18" s="1052"/>
      <c r="W18" s="1052"/>
      <c r="X18" s="1053"/>
    </row>
    <row r="19" s="50" customFormat="1" spans="10:29">
      <c r="J19" s="1051"/>
      <c r="K19" s="1052"/>
      <c r="L19" s="1052"/>
      <c r="M19" s="1052"/>
      <c r="N19" s="1052"/>
      <c r="O19" s="1052"/>
      <c r="P19" s="1052"/>
      <c r="Q19" s="1052"/>
      <c r="R19" s="1052"/>
      <c r="S19" s="1052"/>
      <c r="T19" s="1052"/>
      <c r="U19" s="1052"/>
      <c r="V19" s="1052"/>
      <c r="W19" s="1052"/>
      <c r="X19" s="1053"/>
    </row>
    <row r="20" s="50" customFormat="1" spans="10:29">
      <c r="J20" s="1051"/>
      <c r="K20" s="1052"/>
      <c r="L20" s="1052"/>
      <c r="M20" s="1052"/>
      <c r="N20" s="1052"/>
      <c r="O20" s="1052"/>
      <c r="P20" s="1052"/>
      <c r="Q20" s="1052"/>
      <c r="R20" s="1052"/>
      <c r="S20" s="1052"/>
      <c r="T20" s="1052"/>
      <c r="U20" s="1052"/>
      <c r="V20" s="1052"/>
      <c r="W20" s="1052"/>
      <c r="X20" s="1053"/>
    </row>
    <row r="21" s="50" customFormat="1" spans="10:29">
      <c r="J21" s="1051"/>
      <c r="K21" s="1052"/>
      <c r="L21" s="1052"/>
      <c r="M21" s="1052"/>
      <c r="N21" s="1052"/>
      <c r="O21" s="1052"/>
      <c r="P21" s="1052"/>
      <c r="Q21" s="1052"/>
      <c r="R21" s="1052"/>
      <c r="S21" s="1052"/>
      <c r="T21" s="1052"/>
      <c r="U21" s="1052"/>
      <c r="V21" s="1052"/>
      <c r="W21" s="1052"/>
      <c r="X21" s="1053"/>
    </row>
    <row r="22" s="50" customFormat="1" spans="10:29">
      <c r="J22" s="1051"/>
      <c r="K22" s="1052"/>
      <c r="L22" s="1052"/>
      <c r="M22" s="1052"/>
      <c r="N22" s="1052"/>
      <c r="O22" s="1052"/>
      <c r="P22" s="1052"/>
      <c r="Q22" s="1052"/>
      <c r="R22" s="1052"/>
      <c r="S22" s="1052"/>
      <c r="T22" s="1052"/>
      <c r="U22" s="1052"/>
      <c r="V22" s="1052"/>
      <c r="W22" s="1052"/>
      <c r="X22" s="1053"/>
    </row>
    <row r="23" s="50" customFormat="1" spans="10:29">
      <c r="J23" s="1051"/>
      <c r="K23" s="1052"/>
      <c r="L23" s="1052"/>
      <c r="M23" s="1052"/>
      <c r="N23" s="1052"/>
      <c r="O23" s="1052"/>
      <c r="P23" s="1052"/>
      <c r="Q23" s="1052"/>
      <c r="R23" s="1052"/>
      <c r="S23" s="1052"/>
      <c r="T23" s="1052"/>
      <c r="U23" s="1052"/>
      <c r="V23" s="1052"/>
      <c r="W23" s="1052"/>
      <c r="X23" s="1053"/>
      <c r="AC23" s="1054"/>
    </row>
    <row r="24" s="50" customFormat="1" spans="10:29">
      <c r="J24" s="1051"/>
      <c r="K24" s="1052"/>
      <c r="L24" s="1052"/>
      <c r="M24" s="1052"/>
      <c r="N24" s="1052"/>
      <c r="O24" s="1052"/>
      <c r="P24" s="1052"/>
      <c r="Q24" s="1052"/>
      <c r="R24" s="1052"/>
      <c r="S24" s="1052"/>
      <c r="T24" s="1052"/>
      <c r="U24" s="1052"/>
      <c r="V24" s="1052"/>
      <c r="W24" s="1052"/>
      <c r="X24" s="1053"/>
    </row>
    <row r="25" s="50" customFormat="1" spans="10:29">
      <c r="J25" s="1051"/>
      <c r="K25" s="1052"/>
      <c r="L25" s="1052"/>
      <c r="M25" s="1052"/>
      <c r="N25" s="1052"/>
      <c r="O25" s="1052"/>
      <c r="P25" s="1052"/>
      <c r="Q25" s="1052"/>
      <c r="R25" s="1052"/>
      <c r="S25" s="1052"/>
      <c r="T25" s="1052"/>
      <c r="U25" s="1052"/>
      <c r="V25" s="1052"/>
      <c r="W25" s="1052"/>
      <c r="X25" s="1053"/>
    </row>
    <row r="26" s="50" customFormat="1" spans="10:29">
      <c r="J26" s="1051"/>
      <c r="K26" s="1052"/>
      <c r="L26" s="1052"/>
      <c r="M26" s="1052"/>
      <c r="N26" s="1052"/>
      <c r="O26" s="1052"/>
      <c r="P26" s="1052"/>
      <c r="Q26" s="1052"/>
      <c r="R26" s="1052"/>
      <c r="S26" s="1052"/>
      <c r="T26" s="1052"/>
      <c r="U26" s="1052"/>
      <c r="V26" s="1052"/>
      <c r="W26" s="1052"/>
      <c r="X26" s="1053"/>
    </row>
    <row r="27" s="50" customFormat="1" spans="10:29">
      <c r="J27" s="1051"/>
      <c r="K27" s="1052"/>
      <c r="L27" s="1052"/>
      <c r="M27" s="1052"/>
      <c r="N27" s="1052"/>
      <c r="O27" s="1052"/>
      <c r="P27" s="1052"/>
      <c r="Q27" s="1052"/>
      <c r="R27" s="1052"/>
      <c r="S27" s="1052"/>
      <c r="T27" s="1052"/>
      <c r="U27" s="1052"/>
      <c r="V27" s="1052"/>
      <c r="W27" s="1052"/>
      <c r="X27" s="1053"/>
    </row>
    <row r="28" s="50" customFormat="1" spans="10:29">
      <c r="J28" s="1051"/>
      <c r="K28" s="1052"/>
      <c r="L28" s="1052"/>
      <c r="M28" s="1052"/>
      <c r="N28" s="1052"/>
      <c r="O28" s="1052"/>
      <c r="P28" s="1052"/>
      <c r="Q28" s="1052"/>
      <c r="R28" s="1052"/>
      <c r="S28" s="1052"/>
      <c r="T28" s="1052"/>
      <c r="U28" s="1052"/>
      <c r="V28" s="1052"/>
      <c r="W28" s="1052"/>
      <c r="X28" s="1053"/>
    </row>
    <row r="29" s="50" customFormat="1" spans="10:29">
      <c r="J29" s="1051"/>
      <c r="K29" s="1052"/>
      <c r="L29" s="1052"/>
      <c r="M29" s="1052"/>
      <c r="N29" s="1052"/>
      <c r="O29" s="1052"/>
      <c r="P29" s="1052"/>
      <c r="Q29" s="1052"/>
      <c r="R29" s="1052"/>
      <c r="S29" s="1052"/>
      <c r="T29" s="1052"/>
      <c r="U29" s="1052"/>
      <c r="V29" s="1052"/>
      <c r="W29" s="1052"/>
      <c r="X29" s="1053"/>
    </row>
    <row r="30" s="50" customFormat="1" spans="10:29">
      <c r="J30" s="1051"/>
      <c r="K30" s="1052"/>
      <c r="L30" s="1052"/>
      <c r="M30" s="1052"/>
      <c r="N30" s="1052"/>
      <c r="O30" s="1052"/>
      <c r="P30" s="1052"/>
      <c r="Q30" s="1052"/>
      <c r="R30" s="1052"/>
      <c r="S30" s="1052"/>
      <c r="T30" s="1052"/>
      <c r="U30" s="1052"/>
      <c r="V30" s="1052"/>
      <c r="W30" s="1052"/>
      <c r="X30" s="1053"/>
    </row>
    <row r="31" s="50" customFormat="1" spans="10:29">
      <c r="J31" s="1051"/>
      <c r="K31" s="1052"/>
      <c r="L31" s="1052"/>
      <c r="M31" s="1052"/>
      <c r="N31" s="1052"/>
      <c r="O31" s="1052"/>
      <c r="P31" s="1052"/>
      <c r="Q31" s="1052"/>
      <c r="R31" s="1052"/>
      <c r="S31" s="1052"/>
      <c r="T31" s="1052"/>
      <c r="U31" s="1052"/>
      <c r="V31" s="1052"/>
      <c r="W31" s="1052"/>
      <c r="X31" s="1053"/>
    </row>
    <row r="32" s="50" customFormat="1" spans="10:29">
      <c r="J32" s="1051"/>
      <c r="K32" s="1052"/>
      <c r="L32" s="1052"/>
      <c r="M32" s="1052"/>
      <c r="N32" s="1052"/>
      <c r="O32" s="1052"/>
      <c r="P32" s="1052"/>
      <c r="Q32" s="1052"/>
      <c r="R32" s="1052"/>
      <c r="S32" s="1052"/>
      <c r="T32" s="1052"/>
      <c r="U32" s="1052"/>
      <c r="V32" s="1052"/>
      <c r="W32" s="1052"/>
      <c r="X32" s="1053"/>
    </row>
    <row r="33" s="50" customFormat="1" spans="5:24">
      <c r="J33" s="1051"/>
      <c r="K33" s="1052"/>
      <c r="L33" s="1052"/>
      <c r="M33" s="1052"/>
      <c r="N33" s="1052"/>
      <c r="O33" s="1052"/>
      <c r="P33" s="1052"/>
      <c r="Q33" s="1052"/>
      <c r="R33" s="1052"/>
      <c r="S33" s="1052"/>
      <c r="T33" s="1052"/>
      <c r="U33" s="1052"/>
      <c r="V33" s="1052"/>
      <c r="W33" s="1052"/>
      <c r="X33" s="1053"/>
    </row>
    <row r="34" s="50" customFormat="1" spans="5:24">
      <c r="J34" s="1051"/>
      <c r="K34" s="1052"/>
      <c r="L34" s="1052"/>
      <c r="M34" s="1052"/>
      <c r="N34" s="1052"/>
      <c r="O34" s="1052"/>
      <c r="P34" s="1052"/>
      <c r="Q34" s="1052"/>
      <c r="R34" s="1052"/>
      <c r="S34" s="1052"/>
      <c r="T34" s="1052"/>
      <c r="U34" s="1052"/>
      <c r="V34" s="1052"/>
      <c r="W34" s="1052"/>
      <c r="X34" s="1053"/>
    </row>
    <row r="35" s="50" customFormat="1" spans="5:24">
      <c r="J35" s="1051"/>
      <c r="K35" s="1052"/>
      <c r="L35" s="1052"/>
      <c r="M35" s="1052"/>
      <c r="N35" s="1052"/>
      <c r="O35" s="1052"/>
      <c r="P35" s="1052"/>
      <c r="Q35" s="1052"/>
      <c r="R35" s="1052"/>
      <c r="S35" s="1052"/>
      <c r="T35" s="1052"/>
      <c r="U35" s="1052"/>
      <c r="V35" s="1052"/>
      <c r="W35" s="1052"/>
      <c r="X35" s="1053"/>
    </row>
    <row r="36" s="50" customFormat="1" spans="5:24">
      <c r="J36" s="1051"/>
      <c r="K36" s="1052"/>
      <c r="L36" s="1052"/>
      <c r="M36" s="1052"/>
      <c r="N36" s="1052"/>
      <c r="O36" s="1052"/>
      <c r="P36" s="1052"/>
      <c r="Q36" s="1052"/>
      <c r="R36" s="1052"/>
      <c r="S36" s="1052"/>
      <c r="T36" s="1052"/>
      <c r="U36" s="1052"/>
      <c r="V36" s="1052"/>
      <c r="W36" s="1052"/>
      <c r="X36" s="1053"/>
    </row>
    <row r="37" s="50" customFormat="1" spans="5:24">
      <c r="J37" s="1051"/>
      <c r="K37" s="1052"/>
      <c r="L37" s="1052"/>
      <c r="M37" s="1052"/>
      <c r="N37" s="1052"/>
      <c r="O37" s="1052"/>
      <c r="P37" s="1052"/>
      <c r="Q37" s="1052"/>
      <c r="R37" s="1052"/>
      <c r="S37" s="1052"/>
      <c r="T37" s="1052"/>
      <c r="U37" s="1052"/>
      <c r="V37" s="1052"/>
      <c r="W37" s="1052"/>
      <c r="X37" s="1053"/>
    </row>
    <row r="38" s="50" customFormat="1" spans="5:24">
      <c r="J38" s="1051"/>
      <c r="K38" s="1052"/>
      <c r="L38" s="1052"/>
      <c r="M38" s="1052"/>
      <c r="N38" s="1052"/>
      <c r="O38" s="1052"/>
      <c r="P38" s="1052"/>
      <c r="Q38" s="1052"/>
      <c r="R38" s="1052"/>
      <c r="S38" s="1052"/>
      <c r="T38" s="1052"/>
      <c r="U38" s="1052"/>
      <c r="V38" s="1052"/>
      <c r="W38" s="1052"/>
      <c r="X38" s="1053"/>
    </row>
    <row r="39" s="50" customFormat="1" spans="5:24">
      <c r="J39" s="1055"/>
      <c r="K39" s="1056"/>
      <c r="L39" s="1056"/>
      <c r="M39" s="1056"/>
      <c r="N39" s="1056"/>
      <c r="O39" s="1056"/>
      <c r="P39" s="1056"/>
      <c r="Q39" s="1056"/>
      <c r="R39" s="1056"/>
      <c r="S39" s="1056"/>
      <c r="T39" s="1056"/>
      <c r="U39" s="1056"/>
      <c r="V39" s="1056"/>
      <c r="W39" s="1056"/>
      <c r="X39" s="1057"/>
    </row>
    <row r="41" s="50" customFormat="1" spans="5:24">
      <c r="E41" s="1058"/>
    </row>
    <row r="43" s="50" customFormat="1" ht="17.25" spans="5:24">
      <c r="J43" s="1059"/>
      <c r="K43" s="1059"/>
      <c r="L43" s="1059"/>
      <c r="M43" s="1059"/>
      <c r="N43" s="1059"/>
      <c r="O43" s="1059"/>
      <c r="P43" s="1059"/>
      <c r="Q43" s="1059"/>
      <c r="R43" s="1059"/>
      <c r="S43" s="1059"/>
      <c r="T43" s="1059"/>
      <c r="U43" s="1059"/>
      <c r="V43" s="1059"/>
      <c r="W43" s="1059"/>
    </row>
    <row r="44" s="50" customFormat="1" ht="17.25" spans="5:24">
      <c r="J44" s="1059"/>
      <c r="K44" s="1059"/>
      <c r="L44" s="1059"/>
      <c r="M44" s="1059"/>
      <c r="N44" s="1059"/>
      <c r="O44" s="1059"/>
      <c r="P44" s="1059"/>
      <c r="Q44" s="1059"/>
      <c r="R44" s="1059"/>
      <c r="S44" s="1059"/>
      <c r="T44" s="1059"/>
      <c r="U44" s="1059"/>
      <c r="V44" s="1059"/>
      <c r="W44" s="1059"/>
    </row>
    <row r="45" s="50" customFormat="1" ht="17.25" spans="5:24">
      <c r="J45" s="1059"/>
      <c r="K45" s="1059"/>
      <c r="L45" s="1059"/>
      <c r="M45" s="1059"/>
      <c r="N45" s="1059"/>
      <c r="O45" s="1059"/>
      <c r="P45" s="1059"/>
      <c r="Q45" s="1059"/>
      <c r="R45" s="1059"/>
      <c r="S45" s="1059"/>
      <c r="T45" s="1059"/>
      <c r="U45" s="1059"/>
      <c r="V45" s="1059"/>
      <c r="W45" s="1059"/>
    </row>
  </sheetData>
  <mergeCells count="9">
    <mergeCell ref="J1:X3"/>
    <mergeCell ref="J4:K6"/>
    <mergeCell ref="T4:U6"/>
    <mergeCell ref="L4:N6"/>
    <mergeCell ref="O4:P6"/>
    <mergeCell ref="Q4:S6"/>
    <mergeCell ref="V4:X6"/>
    <mergeCell ref="J9:X11"/>
    <mergeCell ref="J12:X39"/>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66"/>
  <sheetViews>
    <sheetView showGridLines="0" topLeftCell="B103" workbookViewId="0">
      <selection activeCell="V103" sqref="V103:Z137"/>
    </sheetView>
  </sheetViews>
  <sheetFormatPr defaultColWidth="9" defaultRowHeight="13.5"/>
  <cols>
    <col min="1" max="21" width="9" style="50"/>
    <col min="22" max="23" width="7.75833333333333" style="50" customWidth="1"/>
    <col min="24" max="27" width="9" style="50"/>
    <col min="28" max="29" width="12.75" style="50" customWidth="1"/>
    <col min="30" max="30" width="13.75" style="50" customWidth="1"/>
    <col min="31" max="36" width="9.5" style="50" customWidth="1"/>
    <col min="37" max="16384" width="9" style="50"/>
  </cols>
  <sheetData>
    <row r="1" s="50" customFormat="1" ht="39" customHeight="1" spans="1:36">
      <c r="A1" s="960" t="s">
        <v>8</v>
      </c>
      <c r="B1" s="961"/>
      <c r="C1" s="961"/>
      <c r="D1" s="961"/>
      <c r="E1" s="961"/>
      <c r="F1" s="961"/>
      <c r="G1" s="961"/>
      <c r="H1" s="961"/>
      <c r="I1" s="961"/>
      <c r="J1" s="961"/>
      <c r="K1" s="961"/>
      <c r="L1" s="961"/>
      <c r="M1" s="961"/>
      <c r="N1" s="961"/>
      <c r="O1" s="961"/>
      <c r="P1" s="961"/>
      <c r="Q1" s="961"/>
      <c r="R1" s="961"/>
      <c r="S1" s="961"/>
      <c r="T1" s="961"/>
      <c r="U1" s="961"/>
      <c r="V1" s="961"/>
      <c r="W1" s="961"/>
      <c r="X1" s="961"/>
      <c r="Y1" s="961"/>
      <c r="Z1" s="962"/>
    </row>
    <row r="2" s="50" customFormat="1" customHeight="1" spans="1:36">
      <c r="A2" s="963" t="s">
        <v>9</v>
      </c>
      <c r="B2" s="963"/>
      <c r="C2" s="963"/>
      <c r="D2" s="963"/>
      <c r="E2" s="963"/>
      <c r="F2" s="963"/>
      <c r="G2" s="963"/>
      <c r="H2" s="963"/>
      <c r="I2" s="963"/>
      <c r="J2" s="963"/>
      <c r="K2" s="963"/>
      <c r="L2" s="963"/>
      <c r="M2" s="963"/>
      <c r="N2" s="963"/>
      <c r="O2" s="963"/>
      <c r="P2" s="963"/>
      <c r="Q2" s="963"/>
      <c r="R2" s="963"/>
      <c r="S2" s="963"/>
      <c r="T2" s="963"/>
      <c r="U2" s="964"/>
      <c r="V2" s="965" t="s">
        <v>10</v>
      </c>
      <c r="W2" s="966"/>
      <c r="X2" s="966"/>
      <c r="Y2" s="966"/>
      <c r="Z2" s="967"/>
      <c r="AA2" s="968" t="s">
        <v>11</v>
      </c>
      <c r="AB2" s="968"/>
      <c r="AC2" s="968"/>
      <c r="AD2" s="968"/>
      <c r="AE2" s="968"/>
      <c r="AF2" s="969" t="s">
        <v>12</v>
      </c>
      <c r="AG2" s="969"/>
      <c r="AH2" s="969"/>
      <c r="AI2" s="969"/>
      <c r="AJ2" s="969"/>
    </row>
    <row r="3" s="50" customFormat="1" customHeight="1" spans="1:36">
      <c r="A3" s="970"/>
      <c r="B3" s="970"/>
      <c r="C3" s="970"/>
      <c r="D3" s="970"/>
      <c r="E3" s="970"/>
      <c r="F3" s="970"/>
      <c r="G3" s="970"/>
      <c r="H3" s="970"/>
      <c r="I3" s="970"/>
      <c r="J3" s="970"/>
      <c r="K3" s="970"/>
      <c r="L3" s="970"/>
      <c r="M3" s="970"/>
      <c r="N3" s="970"/>
      <c r="O3" s="970"/>
      <c r="P3" s="970"/>
      <c r="Q3" s="970"/>
      <c r="R3" s="970"/>
      <c r="S3" s="970"/>
      <c r="T3" s="970"/>
      <c r="U3" s="971"/>
      <c r="V3" s="972"/>
      <c r="W3" s="949"/>
      <c r="X3" s="949"/>
      <c r="Y3" s="949"/>
      <c r="Z3" s="967"/>
      <c r="AA3" s="968"/>
      <c r="AB3" s="968"/>
      <c r="AC3" s="968"/>
      <c r="AD3" s="968"/>
      <c r="AE3" s="968"/>
      <c r="AF3" s="969"/>
      <c r="AG3" s="969"/>
      <c r="AH3" s="969"/>
      <c r="AI3" s="969"/>
      <c r="AJ3" s="969"/>
    </row>
    <row r="4" s="50" customFormat="1" customHeight="1" spans="1:36">
      <c r="A4" s="973" t="str">
        <f>_xlfn.DISPIMG("ID_16343CF47545404FAAF11FF7F5DE6F56",1)</f>
        <v>=DISPIMG("ID_16343CF47545404FAAF11FF7F5DE6F56",1)</v>
      </c>
      <c r="B4" s="974"/>
      <c r="C4" s="974"/>
      <c r="D4" s="974"/>
      <c r="E4" s="974"/>
      <c r="F4" s="974"/>
      <c r="G4" s="974"/>
      <c r="H4" s="974"/>
      <c r="I4" s="974"/>
      <c r="J4" s="974"/>
      <c r="K4" s="974"/>
      <c r="L4" s="974"/>
      <c r="M4" s="974"/>
      <c r="N4" s="974"/>
      <c r="O4" s="974"/>
      <c r="P4" s="974"/>
      <c r="Q4" s="974" t="str">
        <f>_xlfn.DISPIMG("ID_6F45E4A01C4B49019FE1975E39577671",1)</f>
        <v>=DISPIMG("ID_6F45E4A01C4B49019FE1975E39577671",1)</v>
      </c>
      <c r="R4" s="974"/>
      <c r="S4" s="974"/>
      <c r="T4" s="974"/>
      <c r="U4" s="974"/>
      <c r="V4" s="972"/>
      <c r="W4" s="949"/>
      <c r="X4" s="949"/>
      <c r="Y4" s="949"/>
      <c r="Z4" s="967"/>
      <c r="AA4" s="695" t="str">
        <f>_xlfn.DISPIMG("ID_3A431D2E388C4C3CBC4D64F4CB382AC6",1)</f>
        <v>=DISPIMG("ID_3A431D2E388C4C3CBC4D64F4CB382AC6",1)</v>
      </c>
      <c r="AB4" s="695"/>
      <c r="AC4" s="695"/>
      <c r="AD4" s="695"/>
      <c r="AE4" s="695"/>
      <c r="AF4" s="695" t="str">
        <f>_xlfn.DISPIMG("ID_9EC4F8B3998F4A0C8F2CDA9DB25D736A",1)</f>
        <v>=DISPIMG("ID_9EC4F8B3998F4A0C8F2CDA9DB25D736A",1)</v>
      </c>
      <c r="AG4" s="695"/>
      <c r="AH4" s="695"/>
      <c r="AI4" s="695"/>
      <c r="AJ4" s="695"/>
    </row>
    <row r="5" s="50" customFormat="1" customHeight="1" spans="1:36">
      <c r="A5" s="975"/>
      <c r="B5" s="976"/>
      <c r="C5" s="976"/>
      <c r="D5" s="976"/>
      <c r="E5" s="976"/>
      <c r="F5" s="976"/>
      <c r="G5" s="976"/>
      <c r="H5" s="976"/>
      <c r="I5" s="976"/>
      <c r="J5" s="976"/>
      <c r="K5" s="976"/>
      <c r="L5" s="976"/>
      <c r="M5" s="976"/>
      <c r="N5" s="976"/>
      <c r="O5" s="976"/>
      <c r="P5" s="976"/>
      <c r="Q5" s="976"/>
      <c r="R5" s="976"/>
      <c r="S5" s="976"/>
      <c r="T5" s="976"/>
      <c r="U5" s="976"/>
      <c r="V5" s="972"/>
      <c r="W5" s="949"/>
      <c r="X5" s="949"/>
      <c r="Y5" s="949"/>
      <c r="Z5" s="967"/>
      <c r="AA5" s="695"/>
      <c r="AB5" s="695"/>
      <c r="AC5" s="695"/>
      <c r="AD5" s="695"/>
      <c r="AE5" s="695"/>
      <c r="AF5" s="695"/>
      <c r="AG5" s="695"/>
      <c r="AH5" s="695"/>
      <c r="AI5" s="695"/>
      <c r="AJ5" s="695"/>
    </row>
    <row r="6" s="50" customFormat="1" customHeight="1" spans="1:36">
      <c r="A6" s="975"/>
      <c r="B6" s="976"/>
      <c r="C6" s="976"/>
      <c r="D6" s="976"/>
      <c r="E6" s="976"/>
      <c r="F6" s="976"/>
      <c r="G6" s="976"/>
      <c r="H6" s="976"/>
      <c r="I6" s="976"/>
      <c r="J6" s="976"/>
      <c r="K6" s="976"/>
      <c r="L6" s="976"/>
      <c r="M6" s="976"/>
      <c r="N6" s="976"/>
      <c r="O6" s="976"/>
      <c r="P6" s="976"/>
      <c r="Q6" s="976"/>
      <c r="R6" s="976"/>
      <c r="S6" s="976"/>
      <c r="T6" s="976"/>
      <c r="U6" s="976"/>
      <c r="V6" s="972"/>
      <c r="W6" s="949"/>
      <c r="X6" s="949"/>
      <c r="Y6" s="949"/>
      <c r="Z6" s="967"/>
      <c r="AA6" s="695"/>
      <c r="AB6" s="695"/>
      <c r="AC6" s="695"/>
      <c r="AD6" s="695"/>
      <c r="AE6" s="695"/>
      <c r="AF6" s="695"/>
      <c r="AG6" s="695"/>
      <c r="AH6" s="695"/>
      <c r="AI6" s="695"/>
      <c r="AJ6" s="695"/>
    </row>
    <row r="7" s="50" customFormat="1" customHeight="1" spans="1:36">
      <c r="A7" s="975"/>
      <c r="B7" s="976"/>
      <c r="C7" s="976"/>
      <c r="D7" s="976"/>
      <c r="E7" s="976"/>
      <c r="F7" s="976"/>
      <c r="G7" s="976"/>
      <c r="H7" s="976"/>
      <c r="I7" s="976"/>
      <c r="J7" s="976"/>
      <c r="K7" s="976"/>
      <c r="L7" s="976"/>
      <c r="M7" s="976"/>
      <c r="N7" s="976"/>
      <c r="O7" s="976"/>
      <c r="P7" s="976"/>
      <c r="Q7" s="976"/>
      <c r="R7" s="976"/>
      <c r="S7" s="976"/>
      <c r="T7" s="976"/>
      <c r="U7" s="976"/>
      <c r="V7" s="972"/>
      <c r="W7" s="949"/>
      <c r="X7" s="949"/>
      <c r="Y7" s="949"/>
      <c r="Z7" s="967"/>
      <c r="AA7" s="695"/>
      <c r="AB7" s="695"/>
      <c r="AC7" s="695"/>
      <c r="AD7" s="695"/>
      <c r="AE7" s="695"/>
      <c r="AF7" s="695"/>
      <c r="AG7" s="695"/>
      <c r="AH7" s="695"/>
      <c r="AI7" s="695"/>
      <c r="AJ7" s="695"/>
    </row>
    <row r="8" s="50" customFormat="1" customHeight="1" spans="1:36">
      <c r="A8" s="975"/>
      <c r="B8" s="976"/>
      <c r="C8" s="976"/>
      <c r="D8" s="976"/>
      <c r="E8" s="976"/>
      <c r="F8" s="976"/>
      <c r="G8" s="976"/>
      <c r="H8" s="976"/>
      <c r="I8" s="976"/>
      <c r="J8" s="976"/>
      <c r="K8" s="976"/>
      <c r="L8" s="976"/>
      <c r="M8" s="976"/>
      <c r="N8" s="976"/>
      <c r="O8" s="976"/>
      <c r="P8" s="976"/>
      <c r="Q8" s="976"/>
      <c r="R8" s="976"/>
      <c r="S8" s="976"/>
      <c r="T8" s="976"/>
      <c r="U8" s="976"/>
      <c r="V8" s="972"/>
      <c r="W8" s="949"/>
      <c r="X8" s="949"/>
      <c r="Y8" s="949"/>
      <c r="Z8" s="967"/>
      <c r="AA8" s="695"/>
      <c r="AB8" s="695"/>
      <c r="AC8" s="695"/>
      <c r="AD8" s="695"/>
      <c r="AE8" s="695"/>
      <c r="AF8" s="695"/>
      <c r="AG8" s="695"/>
      <c r="AH8" s="695"/>
      <c r="AI8" s="695"/>
      <c r="AJ8" s="695"/>
    </row>
    <row r="9" s="50" customFormat="1" customHeight="1" spans="1:36">
      <c r="A9" s="975"/>
      <c r="B9" s="976"/>
      <c r="C9" s="976"/>
      <c r="D9" s="976"/>
      <c r="E9" s="976"/>
      <c r="F9" s="976"/>
      <c r="G9" s="976"/>
      <c r="H9" s="976"/>
      <c r="I9" s="976"/>
      <c r="J9" s="976"/>
      <c r="K9" s="976"/>
      <c r="L9" s="976"/>
      <c r="M9" s="976"/>
      <c r="N9" s="976"/>
      <c r="O9" s="976"/>
      <c r="P9" s="976"/>
      <c r="Q9" s="976"/>
      <c r="R9" s="976"/>
      <c r="S9" s="976"/>
      <c r="T9" s="976"/>
      <c r="U9" s="976"/>
      <c r="V9" s="972"/>
      <c r="W9" s="949"/>
      <c r="X9" s="949"/>
      <c r="Y9" s="949"/>
      <c r="Z9" s="967"/>
      <c r="AA9" s="695"/>
      <c r="AB9" s="695"/>
      <c r="AC9" s="695"/>
      <c r="AD9" s="695"/>
      <c r="AE9" s="695"/>
      <c r="AF9" s="695"/>
      <c r="AG9" s="695"/>
      <c r="AH9" s="695"/>
      <c r="AI9" s="695"/>
      <c r="AJ9" s="695"/>
    </row>
    <row r="10" s="50" customFormat="1" customHeight="1" spans="1:36">
      <c r="A10" s="975"/>
      <c r="B10" s="976"/>
      <c r="C10" s="976"/>
      <c r="D10" s="976"/>
      <c r="E10" s="976"/>
      <c r="F10" s="976"/>
      <c r="G10" s="976"/>
      <c r="H10" s="976"/>
      <c r="I10" s="976"/>
      <c r="J10" s="976"/>
      <c r="K10" s="976"/>
      <c r="L10" s="976"/>
      <c r="M10" s="976"/>
      <c r="N10" s="976"/>
      <c r="O10" s="976"/>
      <c r="P10" s="976"/>
      <c r="Q10" s="976"/>
      <c r="R10" s="976"/>
      <c r="S10" s="976"/>
      <c r="T10" s="976"/>
      <c r="U10" s="976"/>
      <c r="V10" s="972"/>
      <c r="W10" s="949"/>
      <c r="X10" s="949"/>
      <c r="Y10" s="949"/>
      <c r="Z10" s="967"/>
      <c r="AA10" s="695"/>
      <c r="AB10" s="695"/>
      <c r="AC10" s="695"/>
      <c r="AD10" s="695"/>
      <c r="AE10" s="695"/>
      <c r="AF10" s="695"/>
      <c r="AG10" s="695"/>
      <c r="AH10" s="695"/>
      <c r="AI10" s="695"/>
      <c r="AJ10" s="695"/>
    </row>
    <row r="11" s="50" customFormat="1" customHeight="1" spans="1:36">
      <c r="A11" s="975"/>
      <c r="B11" s="976"/>
      <c r="C11" s="976"/>
      <c r="D11" s="976"/>
      <c r="E11" s="976"/>
      <c r="F11" s="976"/>
      <c r="G11" s="976"/>
      <c r="H11" s="976"/>
      <c r="I11" s="976"/>
      <c r="J11" s="976"/>
      <c r="K11" s="976"/>
      <c r="L11" s="976"/>
      <c r="M11" s="976"/>
      <c r="N11" s="976"/>
      <c r="O11" s="976"/>
      <c r="P11" s="976"/>
      <c r="Q11" s="976"/>
      <c r="R11" s="976"/>
      <c r="S11" s="976"/>
      <c r="T11" s="976"/>
      <c r="U11" s="976"/>
      <c r="V11" s="972"/>
      <c r="W11" s="949"/>
      <c r="X11" s="949"/>
      <c r="Y11" s="949"/>
      <c r="Z11" s="967"/>
      <c r="AA11" s="695"/>
      <c r="AB11" s="695"/>
      <c r="AC11" s="695"/>
      <c r="AD11" s="695"/>
      <c r="AE11" s="695"/>
      <c r="AF11" s="695"/>
      <c r="AG11" s="695"/>
      <c r="AH11" s="695"/>
      <c r="AI11" s="695"/>
      <c r="AJ11" s="695"/>
    </row>
    <row r="12" s="50" customFormat="1" customHeight="1" spans="1:36">
      <c r="A12" s="975"/>
      <c r="B12" s="976"/>
      <c r="C12" s="976"/>
      <c r="D12" s="976"/>
      <c r="E12" s="976"/>
      <c r="F12" s="976"/>
      <c r="G12" s="976"/>
      <c r="H12" s="976"/>
      <c r="I12" s="976"/>
      <c r="J12" s="976"/>
      <c r="K12" s="976"/>
      <c r="L12" s="976"/>
      <c r="M12" s="976"/>
      <c r="N12" s="976"/>
      <c r="O12" s="976"/>
      <c r="P12" s="976"/>
      <c r="Q12" s="976"/>
      <c r="R12" s="976"/>
      <c r="S12" s="976"/>
      <c r="T12" s="976"/>
      <c r="U12" s="976"/>
      <c r="V12" s="972"/>
      <c r="W12" s="949"/>
      <c r="X12" s="949"/>
      <c r="Y12" s="949"/>
      <c r="Z12" s="967"/>
      <c r="AA12" s="695"/>
      <c r="AB12" s="695"/>
      <c r="AC12" s="695"/>
      <c r="AD12" s="695"/>
      <c r="AE12" s="695"/>
      <c r="AF12" s="695"/>
      <c r="AG12" s="695"/>
      <c r="AH12" s="695"/>
      <c r="AI12" s="695"/>
      <c r="AJ12" s="695"/>
    </row>
    <row r="13" s="50" customFormat="1" customHeight="1" spans="1:36">
      <c r="A13" s="975"/>
      <c r="B13" s="976"/>
      <c r="C13" s="976"/>
      <c r="D13" s="976"/>
      <c r="E13" s="976"/>
      <c r="F13" s="976"/>
      <c r="G13" s="976"/>
      <c r="H13" s="976"/>
      <c r="I13" s="976"/>
      <c r="J13" s="976"/>
      <c r="K13" s="976"/>
      <c r="L13" s="976"/>
      <c r="M13" s="976"/>
      <c r="N13" s="976"/>
      <c r="O13" s="976"/>
      <c r="P13" s="976"/>
      <c r="Q13" s="976"/>
      <c r="R13" s="976"/>
      <c r="S13" s="976"/>
      <c r="T13" s="976"/>
      <c r="U13" s="976"/>
      <c r="V13" s="972"/>
      <c r="W13" s="949"/>
      <c r="X13" s="949"/>
      <c r="Y13" s="949"/>
      <c r="Z13" s="967"/>
      <c r="AA13" s="695"/>
      <c r="AB13" s="695"/>
      <c r="AC13" s="695"/>
      <c r="AD13" s="695"/>
      <c r="AE13" s="695"/>
      <c r="AF13" s="695"/>
      <c r="AG13" s="695"/>
      <c r="AH13" s="695"/>
      <c r="AI13" s="695"/>
      <c r="AJ13" s="695"/>
    </row>
    <row r="14" s="50" customFormat="1" customHeight="1" spans="1:36">
      <c r="A14" s="975"/>
      <c r="B14" s="976"/>
      <c r="C14" s="976"/>
      <c r="D14" s="976"/>
      <c r="E14" s="976"/>
      <c r="F14" s="976"/>
      <c r="G14" s="976"/>
      <c r="H14" s="976"/>
      <c r="I14" s="976"/>
      <c r="J14" s="976"/>
      <c r="K14" s="976"/>
      <c r="L14" s="976"/>
      <c r="M14" s="976"/>
      <c r="N14" s="976"/>
      <c r="O14" s="976"/>
      <c r="P14" s="976"/>
      <c r="Q14" s="976"/>
      <c r="R14" s="976"/>
      <c r="S14" s="976"/>
      <c r="T14" s="976"/>
      <c r="U14" s="976"/>
      <c r="V14" s="972"/>
      <c r="W14" s="949"/>
      <c r="X14" s="949"/>
      <c r="Y14" s="949"/>
      <c r="Z14" s="967"/>
      <c r="AA14" s="695"/>
      <c r="AB14" s="695"/>
      <c r="AC14" s="695"/>
      <c r="AD14" s="695"/>
      <c r="AE14" s="695"/>
      <c r="AF14" s="695"/>
      <c r="AG14" s="695"/>
      <c r="AH14" s="695"/>
      <c r="AI14" s="695"/>
      <c r="AJ14" s="695"/>
    </row>
    <row r="15" s="50" customFormat="1" customHeight="1" spans="1:36">
      <c r="A15" s="975"/>
      <c r="B15" s="976"/>
      <c r="C15" s="976"/>
      <c r="D15" s="976"/>
      <c r="E15" s="976"/>
      <c r="F15" s="976"/>
      <c r="G15" s="976"/>
      <c r="H15" s="976"/>
      <c r="I15" s="976"/>
      <c r="J15" s="976"/>
      <c r="K15" s="976"/>
      <c r="L15" s="976"/>
      <c r="M15" s="976"/>
      <c r="N15" s="976"/>
      <c r="O15" s="976"/>
      <c r="P15" s="976"/>
      <c r="Q15" s="976"/>
      <c r="R15" s="976"/>
      <c r="S15" s="976"/>
      <c r="T15" s="976"/>
      <c r="U15" s="976"/>
      <c r="V15" s="972"/>
      <c r="W15" s="949"/>
      <c r="X15" s="949"/>
      <c r="Y15" s="949"/>
      <c r="Z15" s="967"/>
      <c r="AA15" s="695"/>
      <c r="AB15" s="695"/>
      <c r="AC15" s="695"/>
      <c r="AD15" s="695"/>
      <c r="AE15" s="695"/>
      <c r="AF15" s="695"/>
      <c r="AG15" s="695"/>
      <c r="AH15" s="695"/>
      <c r="AI15" s="695"/>
      <c r="AJ15" s="695"/>
    </row>
    <row r="16" s="50" customFormat="1" customHeight="1" spans="1:36">
      <c r="A16" s="975"/>
      <c r="B16" s="976"/>
      <c r="C16" s="976"/>
      <c r="D16" s="976"/>
      <c r="E16" s="976"/>
      <c r="F16" s="976"/>
      <c r="G16" s="976"/>
      <c r="H16" s="976"/>
      <c r="I16" s="976"/>
      <c r="J16" s="976"/>
      <c r="K16" s="976"/>
      <c r="L16" s="976"/>
      <c r="M16" s="976"/>
      <c r="N16" s="976"/>
      <c r="O16" s="976"/>
      <c r="P16" s="976"/>
      <c r="Q16" s="976"/>
      <c r="R16" s="976"/>
      <c r="S16" s="976"/>
      <c r="T16" s="976"/>
      <c r="U16" s="976"/>
      <c r="V16" s="972"/>
      <c r="W16" s="949"/>
      <c r="X16" s="949"/>
      <c r="Y16" s="949"/>
      <c r="Z16" s="967"/>
      <c r="AA16" s="695"/>
      <c r="AB16" s="695"/>
      <c r="AC16" s="695"/>
      <c r="AD16" s="695"/>
      <c r="AE16" s="695"/>
      <c r="AF16" s="695"/>
      <c r="AG16" s="695"/>
      <c r="AH16" s="695"/>
      <c r="AI16" s="695"/>
      <c r="AJ16" s="695"/>
    </row>
    <row r="17" s="50" customFormat="1" customHeight="1" spans="1:36">
      <c r="A17" s="975"/>
      <c r="B17" s="976"/>
      <c r="C17" s="976"/>
      <c r="D17" s="976"/>
      <c r="E17" s="976"/>
      <c r="F17" s="976"/>
      <c r="G17" s="976"/>
      <c r="H17" s="976"/>
      <c r="I17" s="976"/>
      <c r="J17" s="976"/>
      <c r="K17" s="976"/>
      <c r="L17" s="976"/>
      <c r="M17" s="976"/>
      <c r="N17" s="976"/>
      <c r="O17" s="976"/>
      <c r="P17" s="976"/>
      <c r="Q17" s="976"/>
      <c r="R17" s="976"/>
      <c r="S17" s="976"/>
      <c r="T17" s="976"/>
      <c r="U17" s="976"/>
      <c r="V17" s="972"/>
      <c r="W17" s="949"/>
      <c r="X17" s="949"/>
      <c r="Y17" s="949"/>
      <c r="Z17" s="967"/>
      <c r="AA17" s="695"/>
      <c r="AB17" s="695"/>
      <c r="AC17" s="695"/>
      <c r="AD17" s="695"/>
      <c r="AE17" s="695"/>
      <c r="AF17" s="695"/>
      <c r="AG17" s="695"/>
      <c r="AH17" s="695"/>
      <c r="AI17" s="695"/>
      <c r="AJ17" s="695"/>
    </row>
    <row r="18" s="50" customFormat="1" customHeight="1" spans="1:36">
      <c r="A18" s="975"/>
      <c r="B18" s="976"/>
      <c r="C18" s="976"/>
      <c r="D18" s="976"/>
      <c r="E18" s="976"/>
      <c r="F18" s="976"/>
      <c r="G18" s="976"/>
      <c r="H18" s="976"/>
      <c r="I18" s="976"/>
      <c r="J18" s="976"/>
      <c r="K18" s="976"/>
      <c r="L18" s="976"/>
      <c r="M18" s="976"/>
      <c r="N18" s="976"/>
      <c r="O18" s="976"/>
      <c r="P18" s="976"/>
      <c r="Q18" s="976"/>
      <c r="R18" s="976"/>
      <c r="S18" s="976"/>
      <c r="T18" s="976"/>
      <c r="U18" s="976"/>
      <c r="V18" s="972"/>
      <c r="W18" s="949"/>
      <c r="X18" s="949"/>
      <c r="Y18" s="949"/>
      <c r="Z18" s="967"/>
      <c r="AA18" s="695"/>
      <c r="AB18" s="695"/>
      <c r="AC18" s="695"/>
      <c r="AD18" s="695"/>
      <c r="AE18" s="695"/>
      <c r="AF18" s="695"/>
      <c r="AG18" s="695"/>
      <c r="AH18" s="695"/>
      <c r="AI18" s="695"/>
      <c r="AJ18" s="695"/>
    </row>
    <row r="19" s="50" customFormat="1" customHeight="1" spans="1:36">
      <c r="A19" s="975"/>
      <c r="B19" s="976"/>
      <c r="C19" s="976"/>
      <c r="D19" s="976"/>
      <c r="E19" s="976"/>
      <c r="F19" s="976"/>
      <c r="G19" s="976"/>
      <c r="H19" s="976"/>
      <c r="I19" s="976"/>
      <c r="J19" s="976"/>
      <c r="K19" s="976"/>
      <c r="L19" s="976"/>
      <c r="M19" s="976"/>
      <c r="N19" s="976"/>
      <c r="O19" s="976"/>
      <c r="P19" s="976"/>
      <c r="Q19" s="976"/>
      <c r="R19" s="976"/>
      <c r="S19" s="976"/>
      <c r="T19" s="976"/>
      <c r="U19" s="976"/>
      <c r="V19" s="972"/>
      <c r="W19" s="949"/>
      <c r="X19" s="949"/>
      <c r="Y19" s="949"/>
      <c r="Z19" s="967"/>
      <c r="AA19" s="695"/>
      <c r="AB19" s="695"/>
      <c r="AC19" s="695"/>
      <c r="AD19" s="695"/>
      <c r="AE19" s="695"/>
      <c r="AF19" s="695"/>
      <c r="AG19" s="695"/>
      <c r="AH19" s="695"/>
      <c r="AI19" s="695"/>
      <c r="AJ19" s="695"/>
    </row>
    <row r="20" s="50" customFormat="1" customHeight="1" spans="1:36">
      <c r="A20" s="975"/>
      <c r="B20" s="976"/>
      <c r="C20" s="976"/>
      <c r="D20" s="976"/>
      <c r="E20" s="976"/>
      <c r="F20" s="976"/>
      <c r="G20" s="976"/>
      <c r="H20" s="976"/>
      <c r="I20" s="976"/>
      <c r="J20" s="976"/>
      <c r="K20" s="976"/>
      <c r="L20" s="976"/>
      <c r="M20" s="976"/>
      <c r="N20" s="976"/>
      <c r="O20" s="976"/>
      <c r="P20" s="976"/>
      <c r="Q20" s="976"/>
      <c r="R20" s="976"/>
      <c r="S20" s="976"/>
      <c r="T20" s="976"/>
      <c r="U20" s="976"/>
      <c r="V20" s="972"/>
      <c r="W20" s="949"/>
      <c r="X20" s="949"/>
      <c r="Y20" s="949"/>
      <c r="Z20" s="967"/>
      <c r="AA20" s="695"/>
      <c r="AB20" s="695"/>
      <c r="AC20" s="695"/>
      <c r="AD20" s="695"/>
      <c r="AE20" s="695"/>
      <c r="AF20" s="695"/>
      <c r="AG20" s="695"/>
      <c r="AH20" s="695"/>
      <c r="AI20" s="695"/>
      <c r="AJ20" s="695"/>
    </row>
    <row r="21" s="50" customFormat="1" customHeight="1" spans="1:36">
      <c r="A21" s="975"/>
      <c r="B21" s="977"/>
      <c r="C21" s="977"/>
      <c r="D21" s="977"/>
      <c r="E21" s="977"/>
      <c r="F21" s="977"/>
      <c r="G21" s="977"/>
      <c r="H21" s="977"/>
      <c r="I21" s="977"/>
      <c r="J21" s="977"/>
      <c r="K21" s="977"/>
      <c r="L21" s="977"/>
      <c r="M21" s="977"/>
      <c r="N21" s="977"/>
      <c r="O21" s="977"/>
      <c r="P21" s="977"/>
      <c r="Q21" s="977"/>
      <c r="R21" s="977"/>
      <c r="S21" s="977"/>
      <c r="T21" s="977"/>
      <c r="U21" s="977"/>
      <c r="V21" s="978"/>
      <c r="W21" s="979"/>
      <c r="X21" s="979"/>
      <c r="Y21" s="979"/>
      <c r="Z21" s="980"/>
      <c r="AA21" s="695"/>
      <c r="AB21" s="695"/>
      <c r="AC21" s="695"/>
      <c r="AD21" s="695"/>
      <c r="AE21" s="695"/>
      <c r="AF21" s="695"/>
      <c r="AG21" s="695"/>
      <c r="AH21" s="695"/>
      <c r="AI21" s="695"/>
      <c r="AJ21" s="695"/>
    </row>
    <row r="22" s="50" customFormat="1" customHeight="1" spans="1:36">
      <c r="A22" s="981" t="s">
        <v>13</v>
      </c>
      <c r="B22" s="982"/>
      <c r="C22" s="982"/>
      <c r="D22" s="982"/>
      <c r="E22" s="982"/>
      <c r="F22" s="982"/>
      <c r="G22" s="982"/>
      <c r="H22" s="982"/>
      <c r="I22" s="982"/>
      <c r="J22" s="982"/>
      <c r="K22" s="982"/>
      <c r="L22" s="982"/>
      <c r="M22" s="982"/>
      <c r="N22" s="982"/>
      <c r="O22" s="982"/>
      <c r="P22" s="982"/>
      <c r="Q22" s="982"/>
      <c r="R22" s="982"/>
      <c r="S22" s="982"/>
      <c r="T22" s="982"/>
      <c r="U22" s="983"/>
      <c r="V22" s="984" t="s">
        <v>14</v>
      </c>
      <c r="W22" s="984"/>
      <c r="X22" s="984"/>
      <c r="Y22" s="984"/>
      <c r="Z22" s="985"/>
    </row>
    <row r="23" s="50" customFormat="1" customHeight="1" spans="1:36">
      <c r="A23" s="986"/>
      <c r="B23" s="970"/>
      <c r="C23" s="970"/>
      <c r="D23" s="970"/>
      <c r="E23" s="970"/>
      <c r="F23" s="970"/>
      <c r="G23" s="970"/>
      <c r="H23" s="970"/>
      <c r="I23" s="970"/>
      <c r="J23" s="970"/>
      <c r="K23" s="970"/>
      <c r="L23" s="970"/>
      <c r="M23" s="970"/>
      <c r="N23" s="970"/>
      <c r="O23" s="970"/>
      <c r="P23" s="970"/>
      <c r="Q23" s="970"/>
      <c r="R23" s="970"/>
      <c r="S23" s="970"/>
      <c r="T23" s="970"/>
      <c r="U23" s="987"/>
      <c r="V23" s="966"/>
      <c r="W23" s="949"/>
      <c r="X23" s="949"/>
      <c r="Y23" s="949"/>
      <c r="Z23" s="967"/>
      <c r="AB23" s="988" t="s">
        <v>15</v>
      </c>
      <c r="AC23" s="989" t="s">
        <v>16</v>
      </c>
      <c r="AD23" s="137"/>
    </row>
    <row r="24" s="50" customFormat="1" customHeight="1" spans="1:36">
      <c r="A24" s="990" t="str">
        <f>_xlfn.DISPIMG("ID_474FB53C71CC4F50BE0483694B217AE8",1)</f>
        <v>=DISPIMG("ID_474FB53C71CC4F50BE0483694B217AE8",1)</v>
      </c>
      <c r="B24" s="991"/>
      <c r="C24" s="991"/>
      <c r="D24" s="991"/>
      <c r="E24" s="991"/>
      <c r="F24" s="991"/>
      <c r="G24" s="991"/>
      <c r="H24" s="991"/>
      <c r="I24" s="991"/>
      <c r="J24" s="991" t="str">
        <f>_xlfn.DISPIMG("ID_4EB6C218AF9946E2893F4C5B5B4DCEF8",1)</f>
        <v>=DISPIMG("ID_4EB6C218AF9946E2893F4C5B5B4DCEF8",1)</v>
      </c>
      <c r="K24" s="991"/>
      <c r="L24" s="991"/>
      <c r="M24" s="991"/>
      <c r="N24" s="991"/>
      <c r="O24" s="991"/>
      <c r="P24" s="991"/>
      <c r="Q24" s="991"/>
      <c r="R24" s="991"/>
      <c r="S24" s="991"/>
      <c r="T24" s="991"/>
      <c r="U24" s="992"/>
      <c r="V24" s="966"/>
      <c r="W24" s="949"/>
      <c r="X24" s="949"/>
      <c r="Y24" s="949"/>
      <c r="Z24" s="967"/>
      <c r="AB24" s="993">
        <v>224960</v>
      </c>
      <c r="AC24" s="993">
        <v>360687</v>
      </c>
      <c r="AD24" s="994">
        <f>AB30</f>
        <v>1394475</v>
      </c>
    </row>
    <row r="25" s="50" customFormat="1" customHeight="1" spans="1:36">
      <c r="A25" s="990"/>
      <c r="B25" s="991"/>
      <c r="C25" s="991"/>
      <c r="D25" s="991"/>
      <c r="E25" s="991"/>
      <c r="F25" s="991"/>
      <c r="G25" s="991"/>
      <c r="H25" s="991"/>
      <c r="I25" s="991"/>
      <c r="J25" s="991"/>
      <c r="K25" s="991"/>
      <c r="L25" s="991"/>
      <c r="M25" s="991"/>
      <c r="N25" s="991"/>
      <c r="O25" s="991"/>
      <c r="P25" s="991"/>
      <c r="Q25" s="991"/>
      <c r="R25" s="991"/>
      <c r="S25" s="991"/>
      <c r="T25" s="991"/>
      <c r="U25" s="992"/>
      <c r="V25" s="966"/>
      <c r="W25" s="949"/>
      <c r="X25" s="949"/>
      <c r="Y25" s="949"/>
      <c r="Z25" s="967"/>
      <c r="AB25" s="993">
        <v>261871</v>
      </c>
      <c r="AC25" s="993">
        <v>211203</v>
      </c>
      <c r="AD25" s="994"/>
    </row>
    <row r="26" s="50" customFormat="1" customHeight="1" spans="1:36">
      <c r="A26" s="990"/>
      <c r="B26" s="991"/>
      <c r="C26" s="991"/>
      <c r="D26" s="991"/>
      <c r="E26" s="991"/>
      <c r="F26" s="991"/>
      <c r="G26" s="991"/>
      <c r="H26" s="991"/>
      <c r="I26" s="991"/>
      <c r="J26" s="991"/>
      <c r="K26" s="991"/>
      <c r="L26" s="991"/>
      <c r="M26" s="991"/>
      <c r="N26" s="991"/>
      <c r="O26" s="991"/>
      <c r="P26" s="991"/>
      <c r="Q26" s="991"/>
      <c r="R26" s="991"/>
      <c r="S26" s="991"/>
      <c r="T26" s="991"/>
      <c r="U26" s="992"/>
      <c r="V26" s="966"/>
      <c r="W26" s="949"/>
      <c r="X26" s="949"/>
      <c r="Y26" s="949"/>
      <c r="Z26" s="967"/>
      <c r="AB26" s="993">
        <v>252109</v>
      </c>
      <c r="AC26" s="993">
        <v>235015</v>
      </c>
      <c r="AD26" s="994"/>
    </row>
    <row r="27" s="50" customFormat="1" customHeight="1" spans="1:36">
      <c r="A27" s="990"/>
      <c r="B27" s="991"/>
      <c r="C27" s="991"/>
      <c r="D27" s="991"/>
      <c r="E27" s="991"/>
      <c r="F27" s="991"/>
      <c r="G27" s="991"/>
      <c r="H27" s="991"/>
      <c r="I27" s="991"/>
      <c r="J27" s="991"/>
      <c r="K27" s="991"/>
      <c r="L27" s="991"/>
      <c r="M27" s="991"/>
      <c r="N27" s="991"/>
      <c r="O27" s="991"/>
      <c r="P27" s="991"/>
      <c r="Q27" s="991"/>
      <c r="R27" s="991"/>
      <c r="S27" s="991"/>
      <c r="T27" s="991"/>
      <c r="U27" s="992"/>
      <c r="V27" s="966"/>
      <c r="W27" s="949"/>
      <c r="X27" s="949"/>
      <c r="Y27" s="949"/>
      <c r="Z27" s="967"/>
      <c r="AB27" s="993">
        <v>241203</v>
      </c>
      <c r="AC27" s="993">
        <v>270381</v>
      </c>
      <c r="AD27" s="994"/>
    </row>
    <row r="28" s="50" customFormat="1" customHeight="1" spans="1:36">
      <c r="A28" s="990"/>
      <c r="B28" s="991"/>
      <c r="C28" s="991"/>
      <c r="D28" s="991"/>
      <c r="E28" s="991"/>
      <c r="F28" s="991"/>
      <c r="G28" s="991"/>
      <c r="H28" s="991"/>
      <c r="I28" s="991"/>
      <c r="J28" s="991"/>
      <c r="K28" s="991"/>
      <c r="L28" s="991"/>
      <c r="M28" s="991"/>
      <c r="N28" s="991"/>
      <c r="O28" s="991"/>
      <c r="P28" s="991"/>
      <c r="Q28" s="991"/>
      <c r="R28" s="991"/>
      <c r="S28" s="991"/>
      <c r="T28" s="991"/>
      <c r="U28" s="992"/>
      <c r="V28" s="966"/>
      <c r="W28" s="949"/>
      <c r="X28" s="949"/>
      <c r="Y28" s="949"/>
      <c r="Z28" s="967"/>
      <c r="AB28" s="994" t="s">
        <v>17</v>
      </c>
      <c r="AC28" s="993">
        <v>501381</v>
      </c>
      <c r="AD28" s="994"/>
    </row>
    <row r="29" s="50" customFormat="1" customHeight="1" spans="1:36">
      <c r="A29" s="990"/>
      <c r="B29" s="991"/>
      <c r="C29" s="991"/>
      <c r="D29" s="991"/>
      <c r="E29" s="991"/>
      <c r="F29" s="991"/>
      <c r="G29" s="991"/>
      <c r="H29" s="991"/>
      <c r="I29" s="991"/>
      <c r="J29" s="991"/>
      <c r="K29" s="991"/>
      <c r="L29" s="991"/>
      <c r="M29" s="991"/>
      <c r="N29" s="991"/>
      <c r="O29" s="991"/>
      <c r="P29" s="991"/>
      <c r="Q29" s="991"/>
      <c r="R29" s="991"/>
      <c r="S29" s="991"/>
      <c r="T29" s="991"/>
      <c r="U29" s="992"/>
      <c r="V29" s="966"/>
      <c r="W29" s="949"/>
      <c r="X29" s="949"/>
      <c r="Y29" s="949"/>
      <c r="Z29" s="967"/>
      <c r="AA29" s="995"/>
      <c r="AB29" s="994">
        <v>414332</v>
      </c>
      <c r="AC29" s="993">
        <v>414140</v>
      </c>
      <c r="AD29" s="994"/>
    </row>
    <row r="30" s="50" customFormat="1" customHeight="1" spans="1:36">
      <c r="A30" s="990"/>
      <c r="B30" s="991"/>
      <c r="C30" s="991"/>
      <c r="D30" s="991"/>
      <c r="E30" s="991"/>
      <c r="F30" s="991"/>
      <c r="G30" s="991"/>
      <c r="H30" s="991"/>
      <c r="I30" s="991"/>
      <c r="J30" s="991"/>
      <c r="K30" s="991"/>
      <c r="L30" s="991"/>
      <c r="M30" s="991"/>
      <c r="N30" s="991"/>
      <c r="O30" s="991"/>
      <c r="P30" s="991"/>
      <c r="Q30" s="991"/>
      <c r="R30" s="991"/>
      <c r="S30" s="991"/>
      <c r="T30" s="991"/>
      <c r="U30" s="992"/>
      <c r="V30" s="966"/>
      <c r="W30" s="949"/>
      <c r="X30" s="949"/>
      <c r="Y30" s="949"/>
      <c r="Z30" s="967"/>
      <c r="AB30" s="994">
        <f>SUM(AB24:AB29)</f>
        <v>1394475</v>
      </c>
      <c r="AC30" s="994">
        <f>SUM(AC24:AC29)</f>
        <v>1992807</v>
      </c>
      <c r="AD30" s="994">
        <f>AC30-AB30</f>
        <v>598332</v>
      </c>
    </row>
    <row r="31" s="50" customFormat="1" customHeight="1" spans="1:36">
      <c r="A31" s="990"/>
      <c r="B31" s="991"/>
      <c r="C31" s="991"/>
      <c r="D31" s="991"/>
      <c r="E31" s="991"/>
      <c r="F31" s="991"/>
      <c r="G31" s="991"/>
      <c r="H31" s="991"/>
      <c r="I31" s="991"/>
      <c r="J31" s="991"/>
      <c r="K31" s="991"/>
      <c r="L31" s="991"/>
      <c r="M31" s="991"/>
      <c r="N31" s="991"/>
      <c r="O31" s="991"/>
      <c r="P31" s="991"/>
      <c r="Q31" s="991"/>
      <c r="R31" s="991"/>
      <c r="S31" s="991"/>
      <c r="T31" s="991"/>
      <c r="U31" s="992"/>
      <c r="V31" s="966"/>
      <c r="W31" s="949"/>
      <c r="X31" s="949"/>
      <c r="Y31" s="949"/>
      <c r="Z31" s="967"/>
      <c r="AB31" s="994"/>
      <c r="AC31" s="994"/>
      <c r="AD31" s="996">
        <f>AD30/AB30</f>
        <v>0.429073307158608</v>
      </c>
    </row>
    <row r="32" s="50" customFormat="1" customHeight="1" spans="1:36">
      <c r="A32" s="990"/>
      <c r="B32" s="991"/>
      <c r="C32" s="991"/>
      <c r="D32" s="991"/>
      <c r="E32" s="991"/>
      <c r="F32" s="991"/>
      <c r="G32" s="991"/>
      <c r="H32" s="991"/>
      <c r="I32" s="991"/>
      <c r="J32" s="991"/>
      <c r="K32" s="991"/>
      <c r="L32" s="991"/>
      <c r="M32" s="991"/>
      <c r="N32" s="991"/>
      <c r="O32" s="991"/>
      <c r="P32" s="991"/>
      <c r="Q32" s="991"/>
      <c r="R32" s="991"/>
      <c r="S32" s="991"/>
      <c r="T32" s="991"/>
      <c r="U32" s="992"/>
      <c r="V32" s="966"/>
      <c r="W32" s="949"/>
      <c r="X32" s="949"/>
      <c r="Y32" s="949"/>
      <c r="Z32" s="967"/>
      <c r="AB32" s="137"/>
      <c r="AC32" s="137"/>
      <c r="AD32" s="994"/>
    </row>
    <row r="33" s="50" customFormat="1" customHeight="1" spans="1:37">
      <c r="A33" s="990"/>
      <c r="B33" s="991"/>
      <c r="C33" s="991"/>
      <c r="D33" s="991"/>
      <c r="E33" s="991"/>
      <c r="F33" s="991"/>
      <c r="G33" s="991"/>
      <c r="H33" s="991"/>
      <c r="I33" s="991"/>
      <c r="J33" s="991"/>
      <c r="K33" s="991"/>
      <c r="L33" s="991"/>
      <c r="M33" s="991"/>
      <c r="N33" s="991"/>
      <c r="O33" s="991"/>
      <c r="P33" s="991"/>
      <c r="Q33" s="991"/>
      <c r="R33" s="991"/>
      <c r="S33" s="991"/>
      <c r="T33" s="991"/>
      <c r="U33" s="992"/>
      <c r="V33" s="966"/>
      <c r="W33" s="949"/>
      <c r="X33" s="949"/>
      <c r="Y33" s="949"/>
      <c r="Z33" s="967"/>
      <c r="AB33" s="988" t="s">
        <v>18</v>
      </c>
      <c r="AC33" s="989" t="s">
        <v>19</v>
      </c>
      <c r="AD33" s="994"/>
    </row>
    <row r="34" s="50" customFormat="1" customHeight="1" spans="1:37">
      <c r="A34" s="990"/>
      <c r="B34" s="991"/>
      <c r="C34" s="991"/>
      <c r="D34" s="991"/>
      <c r="E34" s="991"/>
      <c r="F34" s="991"/>
      <c r="G34" s="991"/>
      <c r="H34" s="991"/>
      <c r="I34" s="991"/>
      <c r="J34" s="991"/>
      <c r="K34" s="991"/>
      <c r="L34" s="991"/>
      <c r="M34" s="991"/>
      <c r="N34" s="991"/>
      <c r="O34" s="991"/>
      <c r="P34" s="991"/>
      <c r="Q34" s="991"/>
      <c r="R34" s="991"/>
      <c r="S34" s="991"/>
      <c r="T34" s="991"/>
      <c r="U34" s="992"/>
      <c r="V34" s="966"/>
      <c r="W34" s="949"/>
      <c r="X34" s="949"/>
      <c r="Y34" s="949"/>
      <c r="Z34" s="967"/>
      <c r="AB34" s="997">
        <v>30511404.2</v>
      </c>
      <c r="AC34" s="997">
        <v>53348578.4</v>
      </c>
      <c r="AD34" s="994"/>
    </row>
    <row r="35" s="50" customFormat="1" customHeight="1" spans="1:37">
      <c r="A35" s="990"/>
      <c r="B35" s="991"/>
      <c r="C35" s="991"/>
      <c r="D35" s="991"/>
      <c r="E35" s="991"/>
      <c r="F35" s="991"/>
      <c r="G35" s="991"/>
      <c r="H35" s="991"/>
      <c r="I35" s="991"/>
      <c r="J35" s="991"/>
      <c r="K35" s="991"/>
      <c r="L35" s="991"/>
      <c r="M35" s="991"/>
      <c r="N35" s="991"/>
      <c r="O35" s="991"/>
      <c r="P35" s="991"/>
      <c r="Q35" s="991"/>
      <c r="R35" s="991"/>
      <c r="S35" s="991"/>
      <c r="T35" s="991"/>
      <c r="U35" s="992"/>
      <c r="V35" s="966"/>
      <c r="W35" s="949"/>
      <c r="X35" s="949"/>
      <c r="Y35" s="949"/>
      <c r="Z35" s="967"/>
      <c r="AB35" s="997">
        <v>27009139.22</v>
      </c>
      <c r="AC35" s="997">
        <v>28182989.03</v>
      </c>
      <c r="AD35" s="994"/>
    </row>
    <row r="36" s="50" customFormat="1" customHeight="1" spans="1:37">
      <c r="A36" s="990"/>
      <c r="B36" s="991"/>
      <c r="C36" s="991"/>
      <c r="D36" s="991"/>
      <c r="E36" s="991"/>
      <c r="F36" s="991"/>
      <c r="G36" s="991"/>
      <c r="H36" s="991"/>
      <c r="I36" s="991"/>
      <c r="J36" s="991"/>
      <c r="K36" s="991"/>
      <c r="L36" s="991"/>
      <c r="M36" s="991"/>
      <c r="N36" s="991"/>
      <c r="O36" s="991"/>
      <c r="P36" s="991"/>
      <c r="Q36" s="991"/>
      <c r="R36" s="991"/>
      <c r="S36" s="991"/>
      <c r="T36" s="991"/>
      <c r="U36" s="992"/>
      <c r="V36" s="966"/>
      <c r="W36" s="949"/>
      <c r="X36" s="949"/>
      <c r="Y36" s="949"/>
      <c r="Z36" s="967"/>
      <c r="AB36" s="997">
        <v>25310884.04</v>
      </c>
      <c r="AC36" s="994" t="s">
        <v>20</v>
      </c>
      <c r="AD36" s="994"/>
    </row>
    <row r="37" s="50" customFormat="1" customHeight="1" spans="1:37">
      <c r="A37" s="990"/>
      <c r="B37" s="991"/>
      <c r="C37" s="991"/>
      <c r="D37" s="991"/>
      <c r="E37" s="991"/>
      <c r="F37" s="991"/>
      <c r="G37" s="991"/>
      <c r="H37" s="991"/>
      <c r="I37" s="991"/>
      <c r="J37" s="991"/>
      <c r="K37" s="991"/>
      <c r="L37" s="991"/>
      <c r="M37" s="991"/>
      <c r="N37" s="991"/>
      <c r="O37" s="991"/>
      <c r="P37" s="991"/>
      <c r="Q37" s="991"/>
      <c r="R37" s="991"/>
      <c r="S37" s="991"/>
      <c r="T37" s="991"/>
      <c r="U37" s="992"/>
      <c r="V37" s="966"/>
      <c r="W37" s="949"/>
      <c r="X37" s="949"/>
      <c r="Y37" s="949"/>
      <c r="Z37" s="967"/>
      <c r="AA37" s="995"/>
      <c r="AB37" s="997">
        <v>26060610.87</v>
      </c>
      <c r="AC37" s="997">
        <v>27185835.87</v>
      </c>
      <c r="AD37" s="994"/>
    </row>
    <row r="38" s="50" customFormat="1" customHeight="1" spans="1:37">
      <c r="A38" s="990"/>
      <c r="B38" s="991"/>
      <c r="C38" s="991"/>
      <c r="D38" s="991"/>
      <c r="E38" s="991"/>
      <c r="F38" s="991"/>
      <c r="G38" s="991"/>
      <c r="H38" s="991"/>
      <c r="I38" s="991"/>
      <c r="J38" s="991"/>
      <c r="K38" s="991"/>
      <c r="L38" s="991"/>
      <c r="M38" s="991"/>
      <c r="N38" s="991"/>
      <c r="O38" s="991"/>
      <c r="P38" s="991"/>
      <c r="Q38" s="991"/>
      <c r="R38" s="991"/>
      <c r="S38" s="991"/>
      <c r="T38" s="991"/>
      <c r="U38" s="992"/>
      <c r="V38" s="966"/>
      <c r="W38" s="949"/>
      <c r="X38" s="949"/>
      <c r="Y38" s="949"/>
      <c r="Z38" s="967"/>
      <c r="AB38" s="997">
        <v>26328649.64</v>
      </c>
      <c r="AC38" s="997">
        <v>26640914.79</v>
      </c>
      <c r="AD38" s="994"/>
    </row>
    <row r="39" s="50" customFormat="1" customHeight="1" spans="1:37">
      <c r="A39" s="990"/>
      <c r="B39" s="991"/>
      <c r="C39" s="991"/>
      <c r="D39" s="991"/>
      <c r="E39" s="991"/>
      <c r="F39" s="991"/>
      <c r="G39" s="991"/>
      <c r="H39" s="991"/>
      <c r="I39" s="991"/>
      <c r="J39" s="991"/>
      <c r="K39" s="991"/>
      <c r="L39" s="991"/>
      <c r="M39" s="991"/>
      <c r="N39" s="991"/>
      <c r="O39" s="991"/>
      <c r="P39" s="991"/>
      <c r="Q39" s="991"/>
      <c r="R39" s="991"/>
      <c r="S39" s="991"/>
      <c r="T39" s="991"/>
      <c r="U39" s="992"/>
      <c r="V39" s="966"/>
      <c r="W39" s="949"/>
      <c r="X39" s="949"/>
      <c r="Y39" s="949"/>
      <c r="Z39" s="967"/>
      <c r="AB39" s="997">
        <v>25997239.36</v>
      </c>
      <c r="AC39" s="997">
        <v>28281944.78</v>
      </c>
      <c r="AD39" s="994"/>
    </row>
    <row r="40" s="50" customFormat="1" customHeight="1" spans="1:37">
      <c r="A40" s="990" t="str">
        <f>_xlfn.DISPIMG("ID_9C7E2037A7934907A1C5D98E29A3E903",1)</f>
        <v>=DISPIMG("ID_9C7E2037A7934907A1C5D98E29A3E903",1)</v>
      </c>
      <c r="B40" s="991"/>
      <c r="C40" s="991"/>
      <c r="D40" s="991"/>
      <c r="E40" s="991"/>
      <c r="F40" s="991"/>
      <c r="G40" s="991"/>
      <c r="H40" s="991"/>
      <c r="I40" s="991"/>
      <c r="J40" s="991" t="str">
        <f>_xlfn.DISPIMG("ID_6C64D565EFA148289BC4D79B7A3D1866",1)</f>
        <v>=DISPIMG("ID_6C64D565EFA148289BC4D79B7A3D1866",1)</v>
      </c>
      <c r="K40" s="991"/>
      <c r="L40" s="991"/>
      <c r="M40" s="991"/>
      <c r="N40" s="991"/>
      <c r="O40" s="991"/>
      <c r="P40" s="991"/>
      <c r="Q40" s="991"/>
      <c r="R40" s="991"/>
      <c r="S40" s="991"/>
      <c r="T40" s="991"/>
      <c r="U40" s="992"/>
      <c r="V40" s="966"/>
      <c r="W40" s="949"/>
      <c r="X40" s="949"/>
      <c r="Y40" s="949"/>
      <c r="Z40" s="967"/>
      <c r="AB40" s="997">
        <v>28805899.7</v>
      </c>
      <c r="AC40" s="997">
        <v>29143902.74</v>
      </c>
      <c r="AD40" s="994"/>
    </row>
    <row r="41" s="50" customFormat="1" customHeight="1" spans="1:37">
      <c r="A41" s="990"/>
      <c r="B41" s="991"/>
      <c r="C41" s="991"/>
      <c r="D41" s="991"/>
      <c r="E41" s="991"/>
      <c r="F41" s="991"/>
      <c r="G41" s="991"/>
      <c r="H41" s="991"/>
      <c r="I41" s="991"/>
      <c r="J41" s="991"/>
      <c r="K41" s="991"/>
      <c r="L41" s="991"/>
      <c r="M41" s="991"/>
      <c r="N41" s="991"/>
      <c r="O41" s="991"/>
      <c r="P41" s="991"/>
      <c r="Q41" s="991"/>
      <c r="R41" s="991"/>
      <c r="S41" s="991"/>
      <c r="T41" s="991"/>
      <c r="U41" s="992"/>
      <c r="V41" s="966"/>
      <c r="W41" s="949"/>
      <c r="X41" s="949"/>
      <c r="Y41" s="949"/>
      <c r="Z41" s="967"/>
      <c r="AB41" s="997">
        <v>25405881.65</v>
      </c>
      <c r="AC41" s="997">
        <v>27819580.95</v>
      </c>
      <c r="AD41" s="994"/>
    </row>
    <row r="42" s="50" customFormat="1" customHeight="1" spans="1:37">
      <c r="A42" s="990"/>
      <c r="B42" s="991"/>
      <c r="C42" s="991"/>
      <c r="D42" s="991"/>
      <c r="E42" s="991"/>
      <c r="F42" s="991"/>
      <c r="G42" s="991"/>
      <c r="H42" s="991"/>
      <c r="I42" s="991"/>
      <c r="J42" s="991"/>
      <c r="K42" s="991"/>
      <c r="L42" s="991"/>
      <c r="M42" s="991"/>
      <c r="N42" s="991"/>
      <c r="O42" s="991"/>
      <c r="P42" s="991"/>
      <c r="Q42" s="991"/>
      <c r="R42" s="991"/>
      <c r="S42" s="991"/>
      <c r="T42" s="991"/>
      <c r="U42" s="992"/>
      <c r="V42" s="966"/>
      <c r="W42" s="949"/>
      <c r="X42" s="949"/>
      <c r="Y42" s="949"/>
      <c r="Z42" s="967"/>
      <c r="AB42" s="997">
        <v>23592005.52</v>
      </c>
      <c r="AC42" s="997">
        <v>21448266.11</v>
      </c>
      <c r="AD42" s="994"/>
    </row>
    <row r="43" s="50" customFormat="1" customHeight="1" spans="1:37">
      <c r="A43" s="990"/>
      <c r="B43" s="991"/>
      <c r="C43" s="991"/>
      <c r="D43" s="991"/>
      <c r="E43" s="991"/>
      <c r="F43" s="991"/>
      <c r="G43" s="991"/>
      <c r="H43" s="991"/>
      <c r="I43" s="991"/>
      <c r="J43" s="991"/>
      <c r="K43" s="991"/>
      <c r="L43" s="991"/>
      <c r="M43" s="991"/>
      <c r="N43" s="991"/>
      <c r="O43" s="991"/>
      <c r="P43" s="991"/>
      <c r="Q43" s="991"/>
      <c r="R43" s="991"/>
      <c r="S43" s="991"/>
      <c r="T43" s="991"/>
      <c r="U43" s="992"/>
      <c r="V43" s="966"/>
      <c r="W43" s="949"/>
      <c r="X43" s="949"/>
      <c r="Y43" s="949"/>
      <c r="Z43" s="967"/>
      <c r="AB43" s="997">
        <v>25730460.77</v>
      </c>
      <c r="AC43" s="997">
        <v>29579322.97</v>
      </c>
      <c r="AD43" s="994"/>
    </row>
    <row r="44" s="50" customFormat="1" customHeight="1" spans="1:37">
      <c r="A44" s="990"/>
      <c r="B44" s="991"/>
      <c r="C44" s="991"/>
      <c r="D44" s="991"/>
      <c r="E44" s="991"/>
      <c r="F44" s="991"/>
      <c r="G44" s="991"/>
      <c r="H44" s="991"/>
      <c r="I44" s="991"/>
      <c r="J44" s="991"/>
      <c r="K44" s="991"/>
      <c r="L44" s="991"/>
      <c r="M44" s="991"/>
      <c r="N44" s="991"/>
      <c r="O44" s="991"/>
      <c r="P44" s="991"/>
      <c r="Q44" s="991"/>
      <c r="R44" s="991"/>
      <c r="S44" s="991"/>
      <c r="T44" s="991"/>
      <c r="U44" s="992"/>
      <c r="V44" s="966"/>
      <c r="W44" s="949"/>
      <c r="X44" s="949"/>
      <c r="Y44" s="949"/>
      <c r="Z44" s="967"/>
      <c r="AB44" s="997">
        <v>34337723.17</v>
      </c>
      <c r="AC44" s="997">
        <v>30301494.11</v>
      </c>
      <c r="AD44" s="994"/>
    </row>
    <row r="45" s="50" customFormat="1" customHeight="1" spans="1:37">
      <c r="A45" s="990"/>
      <c r="B45" s="991"/>
      <c r="C45" s="991"/>
      <c r="D45" s="991"/>
      <c r="E45" s="991"/>
      <c r="F45" s="991"/>
      <c r="G45" s="991"/>
      <c r="H45" s="991"/>
      <c r="I45" s="991"/>
      <c r="J45" s="991"/>
      <c r="K45" s="991"/>
      <c r="L45" s="991"/>
      <c r="M45" s="991"/>
      <c r="N45" s="991"/>
      <c r="O45" s="991"/>
      <c r="P45" s="991"/>
      <c r="Q45" s="991"/>
      <c r="R45" s="991"/>
      <c r="S45" s="991"/>
      <c r="T45" s="991"/>
      <c r="U45" s="992"/>
      <c r="V45" s="966"/>
      <c r="W45" s="949"/>
      <c r="X45" s="949"/>
      <c r="Y45" s="949"/>
      <c r="Z45" s="967"/>
      <c r="AB45" s="997">
        <v>59296083.18</v>
      </c>
      <c r="AC45" s="997">
        <v>40422345.4</v>
      </c>
      <c r="AD45" s="994"/>
    </row>
    <row r="46" s="50" customFormat="1" customHeight="1" spans="1:37">
      <c r="A46" s="990"/>
      <c r="B46" s="991"/>
      <c r="C46" s="991"/>
      <c r="D46" s="991"/>
      <c r="E46" s="991"/>
      <c r="F46" s="991"/>
      <c r="G46" s="991"/>
      <c r="H46" s="991"/>
      <c r="I46" s="991"/>
      <c r="J46" s="991"/>
      <c r="K46" s="991"/>
      <c r="L46" s="991"/>
      <c r="M46" s="991"/>
      <c r="N46" s="991"/>
      <c r="O46" s="991"/>
      <c r="P46" s="991"/>
      <c r="Q46" s="991"/>
      <c r="R46" s="991"/>
      <c r="S46" s="991"/>
      <c r="T46" s="991"/>
      <c r="U46" s="992"/>
      <c r="V46" s="966"/>
      <c r="W46" s="949"/>
      <c r="X46" s="949"/>
      <c r="Y46" s="949"/>
      <c r="Z46" s="967"/>
      <c r="AB46" s="137">
        <f>SUM(AB34:AB45)</f>
        <v>358385981.32</v>
      </c>
      <c r="AC46" s="137">
        <f>SUM(AC34:AC45)</f>
        <v>342355175.15</v>
      </c>
      <c r="AD46" s="994">
        <f>AC46-AB46</f>
        <v>-16030806.1700001</v>
      </c>
    </row>
    <row r="47" s="50" customFormat="1" customHeight="1" spans="1:37">
      <c r="A47" s="990"/>
      <c r="B47" s="991"/>
      <c r="C47" s="991"/>
      <c r="D47" s="991"/>
      <c r="E47" s="991"/>
      <c r="F47" s="991"/>
      <c r="G47" s="991"/>
      <c r="H47" s="991"/>
      <c r="I47" s="991"/>
      <c r="J47" s="991"/>
      <c r="K47" s="991"/>
      <c r="L47" s="991"/>
      <c r="M47" s="991"/>
      <c r="N47" s="991"/>
      <c r="O47" s="991"/>
      <c r="P47" s="991"/>
      <c r="Q47" s="991"/>
      <c r="R47" s="991"/>
      <c r="S47" s="991"/>
      <c r="T47" s="991"/>
      <c r="U47" s="992"/>
      <c r="V47" s="966"/>
      <c r="W47" s="949"/>
      <c r="X47" s="949"/>
      <c r="Y47" s="949"/>
      <c r="Z47" s="967"/>
      <c r="AB47" s="137"/>
      <c r="AC47" s="137"/>
      <c r="AD47" s="996">
        <f>AD46/AB46</f>
        <v>-0.0447305614771977</v>
      </c>
    </row>
    <row r="48" s="50" customFormat="1" customHeight="1" spans="1:37">
      <c r="A48" s="990"/>
      <c r="B48" s="991"/>
      <c r="C48" s="991"/>
      <c r="D48" s="991"/>
      <c r="E48" s="991"/>
      <c r="F48" s="991"/>
      <c r="G48" s="991"/>
      <c r="H48" s="991"/>
      <c r="I48" s="991"/>
      <c r="J48" s="991"/>
      <c r="K48" s="991"/>
      <c r="L48" s="991"/>
      <c r="M48" s="991"/>
      <c r="N48" s="991"/>
      <c r="O48" s="991"/>
      <c r="P48" s="991"/>
      <c r="Q48" s="991"/>
      <c r="R48" s="991"/>
      <c r="S48" s="991"/>
      <c r="T48" s="991"/>
      <c r="U48" s="992"/>
      <c r="V48" s="966"/>
      <c r="W48" s="949"/>
      <c r="X48" s="949"/>
      <c r="Y48" s="949"/>
      <c r="Z48" s="967"/>
      <c r="AJ48" s="995">
        <v>0.224</v>
      </c>
      <c r="AK48" s="995">
        <v>0.6935</v>
      </c>
    </row>
    <row r="49" s="50" customFormat="1" customHeight="1" spans="1:37">
      <c r="A49" s="990"/>
      <c r="B49" s="991"/>
      <c r="C49" s="991"/>
      <c r="D49" s="991"/>
      <c r="E49" s="991"/>
      <c r="F49" s="991"/>
      <c r="G49" s="991"/>
      <c r="H49" s="991"/>
      <c r="I49" s="991"/>
      <c r="J49" s="991"/>
      <c r="K49" s="991"/>
      <c r="L49" s="991"/>
      <c r="M49" s="991"/>
      <c r="N49" s="991"/>
      <c r="O49" s="991"/>
      <c r="P49" s="991"/>
      <c r="Q49" s="991"/>
      <c r="R49" s="991"/>
      <c r="S49" s="991"/>
      <c r="T49" s="991"/>
      <c r="U49" s="992"/>
      <c r="V49" s="966"/>
      <c r="W49" s="949"/>
      <c r="X49" s="949"/>
      <c r="Y49" s="949"/>
      <c r="Z49" s="967"/>
      <c r="AJ49" s="995">
        <v>0.2199</v>
      </c>
      <c r="AK49" s="995">
        <v>0.0754</v>
      </c>
    </row>
    <row r="50" s="50" customFormat="1" customHeight="1" spans="1:37">
      <c r="A50" s="990"/>
      <c r="B50" s="991"/>
      <c r="C50" s="991"/>
      <c r="D50" s="991"/>
      <c r="E50" s="991"/>
      <c r="F50" s="991"/>
      <c r="G50" s="991"/>
      <c r="H50" s="991"/>
      <c r="I50" s="991"/>
      <c r="J50" s="991"/>
      <c r="K50" s="991"/>
      <c r="L50" s="991"/>
      <c r="M50" s="991"/>
      <c r="N50" s="991"/>
      <c r="O50" s="991"/>
      <c r="P50" s="991"/>
      <c r="Q50" s="991"/>
      <c r="R50" s="991"/>
      <c r="S50" s="991"/>
      <c r="T50" s="991"/>
      <c r="U50" s="992"/>
      <c r="V50" s="966"/>
      <c r="W50" s="949"/>
      <c r="X50" s="949"/>
      <c r="Y50" s="949"/>
      <c r="Z50" s="967"/>
      <c r="AJ50" s="995">
        <v>0.1771</v>
      </c>
      <c r="AK50" s="995">
        <v>0.0393</v>
      </c>
    </row>
    <row r="51" s="50" customFormat="1" customHeight="1" spans="1:37">
      <c r="A51" s="990"/>
      <c r="B51" s="991"/>
      <c r="C51" s="991"/>
      <c r="D51" s="991"/>
      <c r="E51" s="991"/>
      <c r="F51" s="991"/>
      <c r="G51" s="991"/>
      <c r="H51" s="991"/>
      <c r="I51" s="991"/>
      <c r="J51" s="991"/>
      <c r="K51" s="991"/>
      <c r="L51" s="991"/>
      <c r="M51" s="991"/>
      <c r="N51" s="991"/>
      <c r="O51" s="991"/>
      <c r="P51" s="991"/>
      <c r="Q51" s="991"/>
      <c r="R51" s="991"/>
      <c r="S51" s="991"/>
      <c r="T51" s="991"/>
      <c r="U51" s="992"/>
      <c r="V51" s="966"/>
      <c r="W51" s="949"/>
      <c r="X51" s="949"/>
      <c r="Y51" s="949"/>
      <c r="Z51" s="967"/>
      <c r="AJ51" s="995">
        <v>0.045</v>
      </c>
      <c r="AK51" s="995">
        <v>0.0224</v>
      </c>
    </row>
    <row r="52" s="50" customFormat="1" customHeight="1" spans="1:37">
      <c r="A52" s="990"/>
      <c r="B52" s="991"/>
      <c r="C52" s="991"/>
      <c r="D52" s="991"/>
      <c r="E52" s="991"/>
      <c r="F52" s="991"/>
      <c r="G52" s="991"/>
      <c r="H52" s="991"/>
      <c r="I52" s="991"/>
      <c r="J52" s="991"/>
      <c r="K52" s="991"/>
      <c r="L52" s="991"/>
      <c r="M52" s="991"/>
      <c r="N52" s="991"/>
      <c r="O52" s="991"/>
      <c r="P52" s="991"/>
      <c r="Q52" s="991"/>
      <c r="R52" s="991"/>
      <c r="S52" s="991"/>
      <c r="T52" s="991"/>
      <c r="U52" s="992"/>
      <c r="V52" s="966"/>
      <c r="W52" s="949"/>
      <c r="X52" s="949"/>
      <c r="Y52" s="949"/>
      <c r="Z52" s="967"/>
      <c r="AJ52" s="995">
        <v>0.0402</v>
      </c>
      <c r="AK52" s="995">
        <v>0.0179</v>
      </c>
    </row>
    <row r="53" s="50" customFormat="1" customHeight="1" spans="1:37">
      <c r="A53" s="990"/>
      <c r="B53" s="991"/>
      <c r="C53" s="991"/>
      <c r="D53" s="991"/>
      <c r="E53" s="991"/>
      <c r="F53" s="991"/>
      <c r="G53" s="991"/>
      <c r="H53" s="991"/>
      <c r="I53" s="991"/>
      <c r="J53" s="991"/>
      <c r="K53" s="991"/>
      <c r="L53" s="991"/>
      <c r="M53" s="991"/>
      <c r="N53" s="991"/>
      <c r="O53" s="991"/>
      <c r="P53" s="991"/>
      <c r="Q53" s="991"/>
      <c r="R53" s="991"/>
      <c r="S53" s="991"/>
      <c r="T53" s="991"/>
      <c r="U53" s="992"/>
      <c r="V53" s="966"/>
      <c r="W53" s="949"/>
      <c r="X53" s="949"/>
      <c r="Y53" s="949"/>
      <c r="Z53" s="967"/>
      <c r="AJ53" s="995">
        <v>0.0359</v>
      </c>
      <c r="AK53" s="995">
        <v>0.0131</v>
      </c>
    </row>
    <row r="54" s="50" customFormat="1" customHeight="1" spans="1:37">
      <c r="A54" s="990"/>
      <c r="B54" s="991"/>
      <c r="C54" s="991"/>
      <c r="D54" s="991"/>
      <c r="E54" s="991"/>
      <c r="F54" s="991"/>
      <c r="G54" s="991"/>
      <c r="H54" s="991"/>
      <c r="I54" s="991"/>
      <c r="J54" s="991"/>
      <c r="K54" s="991"/>
      <c r="L54" s="991"/>
      <c r="M54" s="991"/>
      <c r="N54" s="991"/>
      <c r="O54" s="991"/>
      <c r="P54" s="991"/>
      <c r="Q54" s="991"/>
      <c r="R54" s="991"/>
      <c r="S54" s="991"/>
      <c r="T54" s="991"/>
      <c r="U54" s="992"/>
      <c r="V54" s="966"/>
      <c r="W54" s="949"/>
      <c r="X54" s="949"/>
      <c r="Y54" s="949"/>
      <c r="Z54" s="967"/>
      <c r="AJ54" s="995">
        <v>0.031</v>
      </c>
      <c r="AK54" s="998">
        <v>0.01</v>
      </c>
    </row>
    <row r="55" s="50" customFormat="1" customHeight="1" spans="1:37">
      <c r="A55" s="990"/>
      <c r="B55" s="991"/>
      <c r="C55" s="991"/>
      <c r="D55" s="991"/>
      <c r="E55" s="991"/>
      <c r="F55" s="991"/>
      <c r="G55" s="991"/>
      <c r="H55" s="991"/>
      <c r="I55" s="991"/>
      <c r="J55" s="991"/>
      <c r="K55" s="991"/>
      <c r="L55" s="991"/>
      <c r="M55" s="991"/>
      <c r="N55" s="991"/>
      <c r="O55" s="991"/>
      <c r="P55" s="991"/>
      <c r="Q55" s="991"/>
      <c r="R55" s="991"/>
      <c r="S55" s="991"/>
      <c r="T55" s="991"/>
      <c r="U55" s="992"/>
      <c r="V55" s="966"/>
      <c r="W55" s="949"/>
      <c r="X55" s="949"/>
      <c r="Y55" s="949"/>
      <c r="Z55" s="967"/>
      <c r="AJ55" s="995">
        <v>0.0253</v>
      </c>
      <c r="AK55" s="995">
        <v>0.0088</v>
      </c>
    </row>
    <row r="56" s="50" customFormat="1" customHeight="1" spans="1:37">
      <c r="A56" s="990" t="str">
        <f>_xlfn.DISPIMG("ID_DDBF4758CE894FF29B68EE54D39B2F47",1)</f>
        <v>=DISPIMG("ID_DDBF4758CE894FF29B68EE54D39B2F47",1)</v>
      </c>
      <c r="B56" s="991"/>
      <c r="C56" s="991"/>
      <c r="D56" s="991"/>
      <c r="E56" s="991"/>
      <c r="F56" s="991"/>
      <c r="G56" s="991"/>
      <c r="H56" s="991"/>
      <c r="I56" s="991"/>
      <c r="J56" s="991" t="str">
        <f>_xlfn.DISPIMG("ID_C610484858B34BD29F18685F9AF88DA2",1)</f>
        <v>=DISPIMG("ID_C610484858B34BD29F18685F9AF88DA2",1)</v>
      </c>
      <c r="K56" s="991"/>
      <c r="L56" s="991"/>
      <c r="M56" s="991"/>
      <c r="N56" s="991"/>
      <c r="O56" s="991"/>
      <c r="P56" s="991"/>
      <c r="Q56" s="991"/>
      <c r="R56" s="991"/>
      <c r="S56" s="991"/>
      <c r="T56" s="991"/>
      <c r="U56" s="992"/>
      <c r="V56" s="966"/>
      <c r="W56" s="949"/>
      <c r="X56" s="949"/>
      <c r="Y56" s="949"/>
      <c r="Z56" s="967"/>
      <c r="AJ56" s="995">
        <v>0.0206</v>
      </c>
      <c r="AK56" s="995">
        <v>0.0079</v>
      </c>
    </row>
    <row r="57" s="50" customFormat="1" customHeight="1" spans="1:37">
      <c r="A57" s="990"/>
      <c r="B57" s="991"/>
      <c r="C57" s="991"/>
      <c r="D57" s="991"/>
      <c r="E57" s="991"/>
      <c r="F57" s="991"/>
      <c r="G57" s="991"/>
      <c r="H57" s="991"/>
      <c r="I57" s="991"/>
      <c r="J57" s="991"/>
      <c r="K57" s="991"/>
      <c r="L57" s="991"/>
      <c r="M57" s="991"/>
      <c r="N57" s="991"/>
      <c r="O57" s="991"/>
      <c r="P57" s="991"/>
      <c r="Q57" s="991"/>
      <c r="R57" s="991"/>
      <c r="S57" s="991"/>
      <c r="T57" s="991"/>
      <c r="U57" s="992"/>
      <c r="V57" s="966"/>
      <c r="W57" s="949"/>
      <c r="X57" s="949"/>
      <c r="Y57" s="949"/>
      <c r="Z57" s="967"/>
      <c r="AJ57" s="995">
        <v>0.0178</v>
      </c>
      <c r="AK57" s="995">
        <v>0.007</v>
      </c>
    </row>
    <row r="58" s="50" customFormat="1" customHeight="1" spans="1:37">
      <c r="A58" s="990"/>
      <c r="B58" s="991"/>
      <c r="C58" s="991"/>
      <c r="D58" s="991"/>
      <c r="E58" s="991"/>
      <c r="F58" s="991"/>
      <c r="G58" s="991"/>
      <c r="H58" s="991"/>
      <c r="I58" s="991"/>
      <c r="J58" s="991"/>
      <c r="K58" s="991"/>
      <c r="L58" s="991"/>
      <c r="M58" s="991"/>
      <c r="N58" s="991"/>
      <c r="O58" s="991"/>
      <c r="P58" s="991"/>
      <c r="Q58" s="991"/>
      <c r="R58" s="991"/>
      <c r="S58" s="991"/>
      <c r="T58" s="991"/>
      <c r="U58" s="992"/>
      <c r="V58" s="966"/>
      <c r="W58" s="949"/>
      <c r="X58" s="949"/>
      <c r="Y58" s="949"/>
      <c r="Z58" s="967"/>
      <c r="AJ58" s="50">
        <f>SUM(AJ48:AJ57)</f>
        <v>0.8368</v>
      </c>
    </row>
    <row r="59" s="50" customFormat="1" customHeight="1" spans="1:37">
      <c r="A59" s="990"/>
      <c r="B59" s="991"/>
      <c r="C59" s="991"/>
      <c r="D59" s="991"/>
      <c r="E59" s="991"/>
      <c r="F59" s="991"/>
      <c r="G59" s="991"/>
      <c r="H59" s="991"/>
      <c r="I59" s="991"/>
      <c r="J59" s="991"/>
      <c r="K59" s="991"/>
      <c r="L59" s="991"/>
      <c r="M59" s="991"/>
      <c r="N59" s="991"/>
      <c r="O59" s="991"/>
      <c r="P59" s="991"/>
      <c r="Q59" s="991"/>
      <c r="R59" s="991"/>
      <c r="S59" s="991"/>
      <c r="T59" s="991"/>
      <c r="U59" s="992"/>
      <c r="V59" s="966"/>
      <c r="W59" s="949"/>
      <c r="X59" s="949"/>
      <c r="Y59" s="949"/>
      <c r="Z59" s="967"/>
    </row>
    <row r="60" s="50" customFormat="1" customHeight="1" spans="1:37">
      <c r="A60" s="990"/>
      <c r="B60" s="991"/>
      <c r="C60" s="991"/>
      <c r="D60" s="991"/>
      <c r="E60" s="991"/>
      <c r="F60" s="991"/>
      <c r="G60" s="991"/>
      <c r="H60" s="991"/>
      <c r="I60" s="991"/>
      <c r="J60" s="991"/>
      <c r="K60" s="991"/>
      <c r="L60" s="991"/>
      <c r="M60" s="991"/>
      <c r="N60" s="991"/>
      <c r="O60" s="991"/>
      <c r="P60" s="991"/>
      <c r="Q60" s="991"/>
      <c r="R60" s="991"/>
      <c r="S60" s="991"/>
      <c r="T60" s="991"/>
      <c r="U60" s="992"/>
      <c r="V60" s="966"/>
      <c r="W60" s="949"/>
      <c r="X60" s="949"/>
      <c r="Y60" s="949"/>
      <c r="Z60" s="967"/>
    </row>
    <row r="61" s="50" customFormat="1" customHeight="1" spans="1:37">
      <c r="A61" s="990"/>
      <c r="B61" s="991"/>
      <c r="C61" s="991"/>
      <c r="D61" s="991"/>
      <c r="E61" s="991"/>
      <c r="F61" s="991"/>
      <c r="G61" s="991"/>
      <c r="H61" s="991"/>
      <c r="I61" s="991"/>
      <c r="J61" s="991"/>
      <c r="K61" s="991"/>
      <c r="L61" s="991"/>
      <c r="M61" s="991"/>
      <c r="N61" s="991"/>
      <c r="O61" s="991"/>
      <c r="P61" s="991"/>
      <c r="Q61" s="991"/>
      <c r="R61" s="991"/>
      <c r="S61" s="991"/>
      <c r="T61" s="991"/>
      <c r="U61" s="992"/>
      <c r="V61" s="966"/>
      <c r="W61" s="949"/>
      <c r="X61" s="949"/>
      <c r="Y61" s="949"/>
      <c r="Z61" s="967"/>
    </row>
    <row r="62" s="50" customFormat="1" customHeight="1" spans="1:37">
      <c r="A62" s="990"/>
      <c r="B62" s="991"/>
      <c r="C62" s="991"/>
      <c r="D62" s="991"/>
      <c r="E62" s="991"/>
      <c r="F62" s="991"/>
      <c r="G62" s="991"/>
      <c r="H62" s="991"/>
      <c r="I62" s="991"/>
      <c r="J62" s="991"/>
      <c r="K62" s="991"/>
      <c r="L62" s="991"/>
      <c r="M62" s="991"/>
      <c r="N62" s="991"/>
      <c r="O62" s="991"/>
      <c r="P62" s="991"/>
      <c r="Q62" s="991"/>
      <c r="R62" s="991"/>
      <c r="S62" s="991"/>
      <c r="T62" s="991"/>
      <c r="U62" s="992"/>
      <c r="V62" s="966"/>
      <c r="W62" s="949"/>
      <c r="X62" s="949"/>
      <c r="Y62" s="949"/>
      <c r="Z62" s="967"/>
    </row>
    <row r="63" s="50" customFormat="1" customHeight="1" spans="1:37">
      <c r="A63" s="990"/>
      <c r="B63" s="991"/>
      <c r="C63" s="991"/>
      <c r="D63" s="991"/>
      <c r="E63" s="991"/>
      <c r="F63" s="991"/>
      <c r="G63" s="991"/>
      <c r="H63" s="991"/>
      <c r="I63" s="991"/>
      <c r="J63" s="991"/>
      <c r="K63" s="991"/>
      <c r="L63" s="991"/>
      <c r="M63" s="991"/>
      <c r="N63" s="991"/>
      <c r="O63" s="991"/>
      <c r="P63" s="991"/>
      <c r="Q63" s="991"/>
      <c r="R63" s="991"/>
      <c r="S63" s="991"/>
      <c r="T63" s="991"/>
      <c r="U63" s="992"/>
      <c r="V63" s="966"/>
      <c r="W63" s="949"/>
      <c r="X63" s="949"/>
      <c r="Y63" s="949"/>
      <c r="Z63" s="967"/>
    </row>
    <row r="64" s="50" customFormat="1" customHeight="1" spans="1:37">
      <c r="A64" s="990"/>
      <c r="B64" s="991"/>
      <c r="C64" s="991"/>
      <c r="D64" s="991"/>
      <c r="E64" s="991"/>
      <c r="F64" s="991"/>
      <c r="G64" s="991"/>
      <c r="H64" s="991"/>
      <c r="I64" s="991"/>
      <c r="J64" s="991"/>
      <c r="K64" s="991"/>
      <c r="L64" s="991"/>
      <c r="M64" s="991"/>
      <c r="N64" s="991"/>
      <c r="O64" s="991"/>
      <c r="P64" s="991"/>
      <c r="Q64" s="991"/>
      <c r="R64" s="991"/>
      <c r="S64" s="991"/>
      <c r="T64" s="991"/>
      <c r="U64" s="992"/>
      <c r="V64" s="966"/>
      <c r="W64" s="949"/>
      <c r="X64" s="949"/>
      <c r="Y64" s="949"/>
      <c r="Z64" s="967"/>
    </row>
    <row r="65" s="50" customFormat="1" customHeight="1" spans="1:26">
      <c r="A65" s="990"/>
      <c r="B65" s="991"/>
      <c r="C65" s="991"/>
      <c r="D65" s="991"/>
      <c r="E65" s="991"/>
      <c r="F65" s="991"/>
      <c r="G65" s="991"/>
      <c r="H65" s="991"/>
      <c r="I65" s="991"/>
      <c r="J65" s="991"/>
      <c r="K65" s="991"/>
      <c r="L65" s="991"/>
      <c r="M65" s="991"/>
      <c r="N65" s="991"/>
      <c r="O65" s="991"/>
      <c r="P65" s="991"/>
      <c r="Q65" s="991"/>
      <c r="R65" s="991"/>
      <c r="S65" s="991"/>
      <c r="T65" s="991"/>
      <c r="U65" s="992"/>
      <c r="V65" s="966"/>
      <c r="W65" s="949"/>
      <c r="X65" s="949"/>
      <c r="Y65" s="949"/>
      <c r="Z65" s="967"/>
    </row>
    <row r="66" s="50" customFormat="1" customHeight="1" spans="1:26">
      <c r="A66" s="990"/>
      <c r="B66" s="991"/>
      <c r="C66" s="991"/>
      <c r="D66" s="991"/>
      <c r="E66" s="991"/>
      <c r="F66" s="991"/>
      <c r="G66" s="991"/>
      <c r="H66" s="991"/>
      <c r="I66" s="991"/>
      <c r="J66" s="991"/>
      <c r="K66" s="991"/>
      <c r="L66" s="991"/>
      <c r="M66" s="991"/>
      <c r="N66" s="991"/>
      <c r="O66" s="991"/>
      <c r="P66" s="991"/>
      <c r="Q66" s="991"/>
      <c r="R66" s="991"/>
      <c r="S66" s="991"/>
      <c r="T66" s="991"/>
      <c r="U66" s="992"/>
      <c r="V66" s="966"/>
      <c r="W66" s="949"/>
      <c r="X66" s="949"/>
      <c r="Y66" s="949"/>
      <c r="Z66" s="967"/>
    </row>
    <row r="67" s="50" customFormat="1" customHeight="1" spans="1:26">
      <c r="A67" s="990"/>
      <c r="B67" s="991"/>
      <c r="C67" s="991"/>
      <c r="D67" s="991"/>
      <c r="E67" s="991"/>
      <c r="F67" s="991"/>
      <c r="G67" s="991"/>
      <c r="H67" s="991"/>
      <c r="I67" s="991"/>
      <c r="J67" s="991"/>
      <c r="K67" s="991"/>
      <c r="L67" s="991"/>
      <c r="M67" s="991"/>
      <c r="N67" s="991"/>
      <c r="O67" s="991"/>
      <c r="P67" s="991"/>
      <c r="Q67" s="991"/>
      <c r="R67" s="991"/>
      <c r="S67" s="991"/>
      <c r="T67" s="991"/>
      <c r="U67" s="992"/>
      <c r="V67" s="966"/>
      <c r="W67" s="949"/>
      <c r="X67" s="949"/>
      <c r="Y67" s="949"/>
      <c r="Z67" s="967"/>
    </row>
    <row r="68" s="50" customFormat="1" customHeight="1" spans="1:26">
      <c r="A68" s="990"/>
      <c r="B68" s="991"/>
      <c r="C68" s="991"/>
      <c r="D68" s="991"/>
      <c r="E68" s="991"/>
      <c r="F68" s="991"/>
      <c r="G68" s="991"/>
      <c r="H68" s="991"/>
      <c r="I68" s="991"/>
      <c r="J68" s="991"/>
      <c r="K68" s="991"/>
      <c r="L68" s="991"/>
      <c r="M68" s="991"/>
      <c r="N68" s="991"/>
      <c r="O68" s="991"/>
      <c r="P68" s="991"/>
      <c r="Q68" s="991"/>
      <c r="R68" s="991"/>
      <c r="S68" s="991"/>
      <c r="T68" s="991"/>
      <c r="U68" s="992"/>
      <c r="V68" s="966"/>
      <c r="W68" s="949"/>
      <c r="X68" s="949"/>
      <c r="Y68" s="949"/>
      <c r="Z68" s="967"/>
    </row>
    <row r="69" s="50" customFormat="1" customHeight="1" spans="1:26">
      <c r="A69" s="990"/>
      <c r="B69" s="991"/>
      <c r="C69" s="991"/>
      <c r="D69" s="991"/>
      <c r="E69" s="991"/>
      <c r="F69" s="991"/>
      <c r="G69" s="991"/>
      <c r="H69" s="991"/>
      <c r="I69" s="991"/>
      <c r="J69" s="991"/>
      <c r="K69" s="991"/>
      <c r="L69" s="991"/>
      <c r="M69" s="991"/>
      <c r="N69" s="991"/>
      <c r="O69" s="991"/>
      <c r="P69" s="991"/>
      <c r="Q69" s="991"/>
      <c r="R69" s="991"/>
      <c r="S69" s="991"/>
      <c r="T69" s="991"/>
      <c r="U69" s="992"/>
      <c r="V69" s="966"/>
      <c r="W69" s="949"/>
      <c r="X69" s="949"/>
      <c r="Y69" s="949"/>
      <c r="Z69" s="967"/>
    </row>
    <row r="70" s="50" customFormat="1" customHeight="1" spans="1:26">
      <c r="A70" s="990"/>
      <c r="B70" s="991"/>
      <c r="C70" s="991"/>
      <c r="D70" s="991"/>
      <c r="E70" s="991"/>
      <c r="F70" s="991"/>
      <c r="G70" s="991"/>
      <c r="H70" s="991"/>
      <c r="I70" s="991"/>
      <c r="J70" s="991"/>
      <c r="K70" s="991"/>
      <c r="L70" s="991"/>
      <c r="M70" s="991"/>
      <c r="N70" s="991"/>
      <c r="O70" s="991"/>
      <c r="P70" s="991"/>
      <c r="Q70" s="991"/>
      <c r="R70" s="991"/>
      <c r="S70" s="991"/>
      <c r="T70" s="991"/>
      <c r="U70" s="992"/>
      <c r="V70" s="966"/>
      <c r="W70" s="949"/>
      <c r="X70" s="949"/>
      <c r="Y70" s="949"/>
      <c r="Z70" s="967"/>
    </row>
    <row r="71" s="50" customFormat="1" customHeight="1" spans="1:26">
      <c r="A71" s="990"/>
      <c r="B71" s="991"/>
      <c r="C71" s="991"/>
      <c r="D71" s="991"/>
      <c r="E71" s="991"/>
      <c r="F71" s="991"/>
      <c r="G71" s="991"/>
      <c r="H71" s="991"/>
      <c r="I71" s="991"/>
      <c r="J71" s="991"/>
      <c r="K71" s="991"/>
      <c r="L71" s="991"/>
      <c r="M71" s="991"/>
      <c r="N71" s="991"/>
      <c r="O71" s="991"/>
      <c r="P71" s="991"/>
      <c r="Q71" s="991"/>
      <c r="R71" s="991"/>
      <c r="S71" s="991"/>
      <c r="T71" s="991"/>
      <c r="U71" s="992"/>
      <c r="V71" s="966"/>
      <c r="W71" s="949"/>
      <c r="X71" s="949"/>
      <c r="Y71" s="949"/>
      <c r="Z71" s="967"/>
    </row>
    <row r="72" s="50" customFormat="1" customHeight="1" spans="1:26">
      <c r="A72" s="990" t="str">
        <f>_xlfn.DISPIMG("ID_AD02DE2458004063B2AB959888551888",1)</f>
        <v>=DISPIMG("ID_AD02DE2458004063B2AB959888551888",1)</v>
      </c>
      <c r="B72" s="991"/>
      <c r="C72" s="991"/>
      <c r="D72" s="991"/>
      <c r="E72" s="991"/>
      <c r="F72" s="991"/>
      <c r="G72" s="991"/>
      <c r="H72" s="991"/>
      <c r="I72" s="991"/>
      <c r="J72" s="991" t="str">
        <f>_xlfn.DISPIMG("ID_F742E69090A54CD2B5D97537C71163A8",1)</f>
        <v>=DISPIMG("ID_F742E69090A54CD2B5D97537C71163A8",1)</v>
      </c>
      <c r="K72" s="991"/>
      <c r="L72" s="991"/>
      <c r="M72" s="991"/>
      <c r="N72" s="991"/>
      <c r="O72" s="991"/>
      <c r="P72" s="991"/>
      <c r="Q72" s="991"/>
      <c r="R72" s="991"/>
      <c r="S72" s="991"/>
      <c r="T72" s="991"/>
      <c r="U72" s="992"/>
      <c r="V72" s="966"/>
      <c r="W72" s="949"/>
      <c r="X72" s="949"/>
      <c r="Y72" s="949"/>
      <c r="Z72" s="967"/>
    </row>
    <row r="73" s="50" customFormat="1" customHeight="1" spans="1:26">
      <c r="A73" s="990"/>
      <c r="B73" s="991"/>
      <c r="C73" s="991"/>
      <c r="D73" s="991"/>
      <c r="E73" s="991"/>
      <c r="F73" s="991"/>
      <c r="G73" s="991"/>
      <c r="H73" s="991"/>
      <c r="I73" s="991"/>
      <c r="J73" s="991"/>
      <c r="K73" s="991"/>
      <c r="L73" s="991"/>
      <c r="M73" s="991"/>
      <c r="N73" s="991"/>
      <c r="O73" s="991"/>
      <c r="P73" s="991"/>
      <c r="Q73" s="991"/>
      <c r="R73" s="991"/>
      <c r="S73" s="991"/>
      <c r="T73" s="991"/>
      <c r="U73" s="992"/>
      <c r="V73" s="966"/>
      <c r="W73" s="949"/>
      <c r="X73" s="949"/>
      <c r="Y73" s="949"/>
      <c r="Z73" s="967"/>
    </row>
    <row r="74" s="50" customFormat="1" customHeight="1" spans="1:26">
      <c r="A74" s="990"/>
      <c r="B74" s="991"/>
      <c r="C74" s="991"/>
      <c r="D74" s="991"/>
      <c r="E74" s="991"/>
      <c r="F74" s="991"/>
      <c r="G74" s="991"/>
      <c r="H74" s="991"/>
      <c r="I74" s="991"/>
      <c r="J74" s="991"/>
      <c r="K74" s="991"/>
      <c r="L74" s="991"/>
      <c r="M74" s="991"/>
      <c r="N74" s="991"/>
      <c r="O74" s="991"/>
      <c r="P74" s="991"/>
      <c r="Q74" s="991"/>
      <c r="R74" s="991"/>
      <c r="S74" s="991"/>
      <c r="T74" s="991"/>
      <c r="U74" s="992"/>
      <c r="V74" s="966"/>
      <c r="W74" s="949"/>
      <c r="X74" s="949"/>
      <c r="Y74" s="949"/>
      <c r="Z74" s="967"/>
    </row>
    <row r="75" s="50" customFormat="1" customHeight="1" spans="1:26">
      <c r="A75" s="990"/>
      <c r="B75" s="991"/>
      <c r="C75" s="991"/>
      <c r="D75" s="991"/>
      <c r="E75" s="991"/>
      <c r="F75" s="991"/>
      <c r="G75" s="991"/>
      <c r="H75" s="991"/>
      <c r="I75" s="991"/>
      <c r="J75" s="991"/>
      <c r="K75" s="991"/>
      <c r="L75" s="991"/>
      <c r="M75" s="991"/>
      <c r="N75" s="991"/>
      <c r="O75" s="991"/>
      <c r="P75" s="991"/>
      <c r="Q75" s="991"/>
      <c r="R75" s="991"/>
      <c r="S75" s="991"/>
      <c r="T75" s="991"/>
      <c r="U75" s="992"/>
      <c r="V75" s="966"/>
      <c r="W75" s="949"/>
      <c r="X75" s="949"/>
      <c r="Y75" s="949"/>
      <c r="Z75" s="967"/>
    </row>
    <row r="76" s="50" customFormat="1" customHeight="1" spans="1:26">
      <c r="A76" s="990"/>
      <c r="B76" s="991"/>
      <c r="C76" s="991"/>
      <c r="D76" s="991"/>
      <c r="E76" s="991"/>
      <c r="F76" s="991"/>
      <c r="G76" s="991"/>
      <c r="H76" s="991"/>
      <c r="I76" s="991"/>
      <c r="J76" s="991"/>
      <c r="K76" s="991"/>
      <c r="L76" s="991"/>
      <c r="M76" s="991"/>
      <c r="N76" s="991"/>
      <c r="O76" s="991"/>
      <c r="P76" s="991"/>
      <c r="Q76" s="991"/>
      <c r="R76" s="991"/>
      <c r="S76" s="991"/>
      <c r="T76" s="991"/>
      <c r="U76" s="992"/>
      <c r="V76" s="966"/>
      <c r="W76" s="949"/>
      <c r="X76" s="949"/>
      <c r="Y76" s="949"/>
      <c r="Z76" s="967"/>
    </row>
    <row r="77" s="50" customFormat="1" customHeight="1" spans="1:26">
      <c r="A77" s="990"/>
      <c r="B77" s="991"/>
      <c r="C77" s="991"/>
      <c r="D77" s="991"/>
      <c r="E77" s="991"/>
      <c r="F77" s="991"/>
      <c r="G77" s="991"/>
      <c r="H77" s="991"/>
      <c r="I77" s="991"/>
      <c r="J77" s="991"/>
      <c r="K77" s="991"/>
      <c r="L77" s="991"/>
      <c r="M77" s="991"/>
      <c r="N77" s="991"/>
      <c r="O77" s="991"/>
      <c r="P77" s="991"/>
      <c r="Q77" s="991"/>
      <c r="R77" s="991"/>
      <c r="S77" s="991"/>
      <c r="T77" s="991"/>
      <c r="U77" s="992"/>
      <c r="V77" s="966"/>
      <c r="W77" s="949"/>
      <c r="X77" s="949"/>
      <c r="Y77" s="949"/>
      <c r="Z77" s="967"/>
    </row>
    <row r="78" s="50" customFormat="1" customHeight="1" spans="1:26">
      <c r="A78" s="990"/>
      <c r="B78" s="991"/>
      <c r="C78" s="991"/>
      <c r="D78" s="991"/>
      <c r="E78" s="991"/>
      <c r="F78" s="991"/>
      <c r="G78" s="991"/>
      <c r="H78" s="991"/>
      <c r="I78" s="991"/>
      <c r="J78" s="991"/>
      <c r="K78" s="991"/>
      <c r="L78" s="991"/>
      <c r="M78" s="991"/>
      <c r="N78" s="991"/>
      <c r="O78" s="991"/>
      <c r="P78" s="991"/>
      <c r="Q78" s="991"/>
      <c r="R78" s="991"/>
      <c r="S78" s="991"/>
      <c r="T78" s="991"/>
      <c r="U78" s="992"/>
      <c r="V78" s="966"/>
      <c r="W78" s="949"/>
      <c r="X78" s="949"/>
      <c r="Y78" s="949"/>
      <c r="Z78" s="967"/>
    </row>
    <row r="79" s="50" customFormat="1" customHeight="1" spans="1:26">
      <c r="A79" s="990"/>
      <c r="B79" s="991"/>
      <c r="C79" s="991"/>
      <c r="D79" s="991"/>
      <c r="E79" s="991"/>
      <c r="F79" s="991"/>
      <c r="G79" s="991"/>
      <c r="H79" s="991"/>
      <c r="I79" s="991"/>
      <c r="J79" s="991"/>
      <c r="K79" s="991"/>
      <c r="L79" s="991"/>
      <c r="M79" s="991"/>
      <c r="N79" s="991"/>
      <c r="O79" s="991"/>
      <c r="P79" s="991"/>
      <c r="Q79" s="991"/>
      <c r="R79" s="991"/>
      <c r="S79" s="991"/>
      <c r="T79" s="991"/>
      <c r="U79" s="992"/>
      <c r="V79" s="966"/>
      <c r="W79" s="949"/>
      <c r="X79" s="949"/>
      <c r="Y79" s="949"/>
      <c r="Z79" s="967"/>
    </row>
    <row r="80" s="50" customFormat="1" customHeight="1" spans="1:26">
      <c r="A80" s="990"/>
      <c r="B80" s="991"/>
      <c r="C80" s="991"/>
      <c r="D80" s="991"/>
      <c r="E80" s="991"/>
      <c r="F80" s="991"/>
      <c r="G80" s="991"/>
      <c r="H80" s="991"/>
      <c r="I80" s="991"/>
      <c r="J80" s="991"/>
      <c r="K80" s="991"/>
      <c r="L80" s="991"/>
      <c r="M80" s="991"/>
      <c r="N80" s="991"/>
      <c r="O80" s="991"/>
      <c r="P80" s="991"/>
      <c r="Q80" s="991"/>
      <c r="R80" s="991"/>
      <c r="S80" s="991"/>
      <c r="T80" s="991"/>
      <c r="U80" s="992"/>
      <c r="V80" s="966"/>
      <c r="W80" s="949"/>
      <c r="X80" s="949"/>
      <c r="Y80" s="949"/>
      <c r="Z80" s="967"/>
    </row>
    <row r="81" s="50" customFormat="1" customHeight="1" spans="1:26">
      <c r="A81" s="990"/>
      <c r="B81" s="991"/>
      <c r="C81" s="991"/>
      <c r="D81" s="991"/>
      <c r="E81" s="991"/>
      <c r="F81" s="991"/>
      <c r="G81" s="991"/>
      <c r="H81" s="991"/>
      <c r="I81" s="991"/>
      <c r="J81" s="991"/>
      <c r="K81" s="991"/>
      <c r="L81" s="991"/>
      <c r="M81" s="991"/>
      <c r="N81" s="991"/>
      <c r="O81" s="991"/>
      <c r="P81" s="991"/>
      <c r="Q81" s="991"/>
      <c r="R81" s="991"/>
      <c r="S81" s="991"/>
      <c r="T81" s="991"/>
      <c r="U81" s="992"/>
      <c r="V81" s="966"/>
      <c r="W81" s="949"/>
      <c r="X81" s="949"/>
      <c r="Y81" s="949"/>
      <c r="Z81" s="967"/>
    </row>
    <row r="82" s="50" customFormat="1" customHeight="1" spans="1:26">
      <c r="A82" s="990"/>
      <c r="B82" s="991"/>
      <c r="C82" s="991"/>
      <c r="D82" s="991"/>
      <c r="E82" s="991"/>
      <c r="F82" s="991"/>
      <c r="G82" s="991"/>
      <c r="H82" s="991"/>
      <c r="I82" s="991"/>
      <c r="J82" s="991"/>
      <c r="K82" s="991"/>
      <c r="L82" s="991"/>
      <c r="M82" s="991"/>
      <c r="N82" s="991"/>
      <c r="O82" s="991"/>
      <c r="P82" s="991"/>
      <c r="Q82" s="991"/>
      <c r="R82" s="991"/>
      <c r="S82" s="991"/>
      <c r="T82" s="991"/>
      <c r="U82" s="992"/>
      <c r="V82" s="966"/>
      <c r="W82" s="949"/>
      <c r="X82" s="949"/>
      <c r="Y82" s="949"/>
      <c r="Z82" s="967"/>
    </row>
    <row r="83" s="50" customFormat="1" customHeight="1" spans="1:26">
      <c r="A83" s="990"/>
      <c r="B83" s="991"/>
      <c r="C83" s="991"/>
      <c r="D83" s="991"/>
      <c r="E83" s="991"/>
      <c r="F83" s="991"/>
      <c r="G83" s="991"/>
      <c r="H83" s="991"/>
      <c r="I83" s="991"/>
      <c r="J83" s="991"/>
      <c r="K83" s="991"/>
      <c r="L83" s="991"/>
      <c r="M83" s="991"/>
      <c r="N83" s="991"/>
      <c r="O83" s="991"/>
      <c r="P83" s="991"/>
      <c r="Q83" s="991"/>
      <c r="R83" s="991"/>
      <c r="S83" s="991"/>
      <c r="T83" s="991"/>
      <c r="U83" s="992"/>
      <c r="V83" s="966"/>
      <c r="W83" s="949"/>
      <c r="X83" s="949"/>
      <c r="Y83" s="949"/>
      <c r="Z83" s="967"/>
    </row>
    <row r="84" s="50" customFormat="1" customHeight="1" spans="1:26">
      <c r="A84" s="990"/>
      <c r="B84" s="991"/>
      <c r="C84" s="991"/>
      <c r="D84" s="991"/>
      <c r="E84" s="991"/>
      <c r="F84" s="991"/>
      <c r="G84" s="991"/>
      <c r="H84" s="991"/>
      <c r="I84" s="991"/>
      <c r="J84" s="991"/>
      <c r="K84" s="991"/>
      <c r="L84" s="991"/>
      <c r="M84" s="991"/>
      <c r="N84" s="991"/>
      <c r="O84" s="991"/>
      <c r="P84" s="991"/>
      <c r="Q84" s="991"/>
      <c r="R84" s="991"/>
      <c r="S84" s="991"/>
      <c r="T84" s="991"/>
      <c r="U84" s="992"/>
      <c r="V84" s="966"/>
      <c r="W84" s="949"/>
      <c r="X84" s="949"/>
      <c r="Y84" s="949"/>
      <c r="Z84" s="967"/>
    </row>
    <row r="85" s="50" customFormat="1" customHeight="1" spans="1:26">
      <c r="A85" s="990"/>
      <c r="B85" s="991"/>
      <c r="C85" s="991"/>
      <c r="D85" s="991"/>
      <c r="E85" s="991"/>
      <c r="F85" s="991"/>
      <c r="G85" s="991"/>
      <c r="H85" s="991"/>
      <c r="I85" s="991"/>
      <c r="J85" s="991"/>
      <c r="K85" s="991"/>
      <c r="L85" s="991"/>
      <c r="M85" s="991"/>
      <c r="N85" s="991"/>
      <c r="O85" s="991"/>
      <c r="P85" s="991"/>
      <c r="Q85" s="991"/>
      <c r="R85" s="991"/>
      <c r="S85" s="991"/>
      <c r="T85" s="991"/>
      <c r="U85" s="992"/>
      <c r="V85" s="966"/>
      <c r="W85" s="949"/>
      <c r="X85" s="949"/>
      <c r="Y85" s="949"/>
      <c r="Z85" s="967"/>
    </row>
    <row r="86" s="50" customFormat="1" customHeight="1" spans="1:26">
      <c r="A86" s="990"/>
      <c r="B86" s="991"/>
      <c r="C86" s="991"/>
      <c r="D86" s="991"/>
      <c r="E86" s="991"/>
      <c r="F86" s="991"/>
      <c r="G86" s="991"/>
      <c r="H86" s="991"/>
      <c r="I86" s="991"/>
      <c r="J86" s="991"/>
      <c r="K86" s="991"/>
      <c r="L86" s="991"/>
      <c r="M86" s="991"/>
      <c r="N86" s="991"/>
      <c r="O86" s="991"/>
      <c r="P86" s="991"/>
      <c r="Q86" s="991"/>
      <c r="R86" s="991"/>
      <c r="S86" s="991"/>
      <c r="T86" s="991"/>
      <c r="U86" s="992"/>
      <c r="V86" s="966"/>
      <c r="W86" s="949"/>
      <c r="X86" s="949"/>
      <c r="Y86" s="949"/>
      <c r="Z86" s="967"/>
    </row>
    <row r="87" s="50" customFormat="1" customHeight="1" spans="1:26">
      <c r="A87" s="990"/>
      <c r="B87" s="991"/>
      <c r="C87" s="991"/>
      <c r="D87" s="991"/>
      <c r="E87" s="991"/>
      <c r="F87" s="991"/>
      <c r="G87" s="991"/>
      <c r="H87" s="991"/>
      <c r="I87" s="991"/>
      <c r="J87" s="991"/>
      <c r="K87" s="991"/>
      <c r="L87" s="991"/>
      <c r="M87" s="991"/>
      <c r="N87" s="991"/>
      <c r="O87" s="991"/>
      <c r="P87" s="991"/>
      <c r="Q87" s="991"/>
      <c r="R87" s="991"/>
      <c r="S87" s="991"/>
      <c r="T87" s="991"/>
      <c r="U87" s="992"/>
      <c r="V87" s="966"/>
      <c r="W87" s="949"/>
      <c r="X87" s="949"/>
      <c r="Y87" s="949"/>
      <c r="Z87" s="967"/>
    </row>
    <row r="88" s="50" customFormat="1" customHeight="1" spans="1:26">
      <c r="A88" s="990" t="str">
        <f>_xlfn.DISPIMG("ID_89728FFE3EE94B97B7B18133298A3C5F",1)</f>
        <v>=DISPIMG("ID_89728FFE3EE94B97B7B18133298A3C5F",1)</v>
      </c>
      <c r="B88" s="991"/>
      <c r="C88" s="991"/>
      <c r="D88" s="991"/>
      <c r="E88" s="991"/>
      <c r="F88" s="991"/>
      <c r="G88" s="991"/>
      <c r="H88" s="991"/>
      <c r="I88" s="991"/>
      <c r="J88" s="991" t="str">
        <f>_xlfn.DISPIMG("ID_476FE6625B2744BD82E9D529FCA30767",1)</f>
        <v>=DISPIMG("ID_476FE6625B2744BD82E9D529FCA30767",1)</v>
      </c>
      <c r="K88" s="991"/>
      <c r="L88" s="991"/>
      <c r="M88" s="991"/>
      <c r="N88" s="991"/>
      <c r="O88" s="991"/>
      <c r="P88" s="991"/>
      <c r="Q88" s="991"/>
      <c r="R88" s="991"/>
      <c r="S88" s="991"/>
      <c r="T88" s="991"/>
      <c r="U88" s="992"/>
      <c r="V88" s="966"/>
      <c r="W88" s="949"/>
      <c r="X88" s="949"/>
      <c r="Y88" s="949"/>
      <c r="Z88" s="967"/>
    </row>
    <row r="89" s="50" customFormat="1" customHeight="1" spans="1:26">
      <c r="A89" s="990"/>
      <c r="B89" s="991"/>
      <c r="C89" s="991"/>
      <c r="D89" s="991"/>
      <c r="E89" s="991"/>
      <c r="F89" s="991"/>
      <c r="G89" s="991"/>
      <c r="H89" s="991"/>
      <c r="I89" s="991"/>
      <c r="J89" s="991"/>
      <c r="K89" s="991"/>
      <c r="L89" s="991"/>
      <c r="M89" s="991"/>
      <c r="N89" s="991"/>
      <c r="O89" s="991"/>
      <c r="P89" s="991"/>
      <c r="Q89" s="991"/>
      <c r="R89" s="991"/>
      <c r="S89" s="991"/>
      <c r="T89" s="991"/>
      <c r="U89" s="992"/>
      <c r="V89" s="966"/>
      <c r="W89" s="949"/>
      <c r="X89" s="949"/>
      <c r="Y89" s="949"/>
      <c r="Z89" s="967"/>
    </row>
    <row r="90" s="50" customFormat="1" customHeight="1" spans="1:26">
      <c r="A90" s="990"/>
      <c r="B90" s="991"/>
      <c r="C90" s="991"/>
      <c r="D90" s="991"/>
      <c r="E90" s="991"/>
      <c r="F90" s="991"/>
      <c r="G90" s="991"/>
      <c r="H90" s="991"/>
      <c r="I90" s="991"/>
      <c r="J90" s="991"/>
      <c r="K90" s="991"/>
      <c r="L90" s="991"/>
      <c r="M90" s="991"/>
      <c r="N90" s="991"/>
      <c r="O90" s="991"/>
      <c r="P90" s="991"/>
      <c r="Q90" s="991"/>
      <c r="R90" s="991"/>
      <c r="S90" s="991"/>
      <c r="T90" s="991"/>
      <c r="U90" s="992"/>
      <c r="V90" s="966"/>
      <c r="W90" s="949"/>
      <c r="X90" s="949"/>
      <c r="Y90" s="949"/>
      <c r="Z90" s="967"/>
    </row>
    <row r="91" s="50" customFormat="1" customHeight="1" spans="1:26">
      <c r="A91" s="990"/>
      <c r="B91" s="991"/>
      <c r="C91" s="991"/>
      <c r="D91" s="991"/>
      <c r="E91" s="991"/>
      <c r="F91" s="991"/>
      <c r="G91" s="991"/>
      <c r="H91" s="991"/>
      <c r="I91" s="991"/>
      <c r="J91" s="991"/>
      <c r="K91" s="991"/>
      <c r="L91" s="991"/>
      <c r="M91" s="991"/>
      <c r="N91" s="991"/>
      <c r="O91" s="991"/>
      <c r="P91" s="991"/>
      <c r="Q91" s="991"/>
      <c r="R91" s="991"/>
      <c r="S91" s="991"/>
      <c r="T91" s="991"/>
      <c r="U91" s="992"/>
      <c r="V91" s="966"/>
      <c r="W91" s="949"/>
      <c r="X91" s="949"/>
      <c r="Y91" s="949"/>
      <c r="Z91" s="967"/>
    </row>
    <row r="92" s="50" customFormat="1" customHeight="1" spans="1:26">
      <c r="A92" s="990"/>
      <c r="B92" s="991"/>
      <c r="C92" s="991"/>
      <c r="D92" s="991"/>
      <c r="E92" s="991"/>
      <c r="F92" s="991"/>
      <c r="G92" s="991"/>
      <c r="H92" s="991"/>
      <c r="I92" s="991"/>
      <c r="J92" s="991"/>
      <c r="K92" s="991"/>
      <c r="L92" s="991"/>
      <c r="M92" s="991"/>
      <c r="N92" s="991"/>
      <c r="O92" s="991"/>
      <c r="P92" s="991"/>
      <c r="Q92" s="991"/>
      <c r="R92" s="991"/>
      <c r="S92" s="991"/>
      <c r="T92" s="991"/>
      <c r="U92" s="992"/>
      <c r="V92" s="966"/>
      <c r="W92" s="949"/>
      <c r="X92" s="949"/>
      <c r="Y92" s="949"/>
      <c r="Z92" s="967"/>
    </row>
    <row r="93" s="50" customFormat="1" customHeight="1" spans="1:26">
      <c r="A93" s="990"/>
      <c r="B93" s="991"/>
      <c r="C93" s="991"/>
      <c r="D93" s="991"/>
      <c r="E93" s="991"/>
      <c r="F93" s="991"/>
      <c r="G93" s="991"/>
      <c r="H93" s="991"/>
      <c r="I93" s="991"/>
      <c r="J93" s="991"/>
      <c r="K93" s="991"/>
      <c r="L93" s="991"/>
      <c r="M93" s="991"/>
      <c r="N93" s="991"/>
      <c r="O93" s="991"/>
      <c r="P93" s="991"/>
      <c r="Q93" s="991"/>
      <c r="R93" s="991"/>
      <c r="S93" s="991"/>
      <c r="T93" s="991"/>
      <c r="U93" s="992"/>
      <c r="V93" s="966"/>
      <c r="W93" s="949"/>
      <c r="X93" s="949"/>
      <c r="Y93" s="949"/>
      <c r="Z93" s="967"/>
    </row>
    <row r="94" s="50" customFormat="1" customHeight="1" spans="1:26">
      <c r="A94" s="990"/>
      <c r="B94" s="991"/>
      <c r="C94" s="991"/>
      <c r="D94" s="991"/>
      <c r="E94" s="991"/>
      <c r="F94" s="991"/>
      <c r="G94" s="991"/>
      <c r="H94" s="991"/>
      <c r="I94" s="991"/>
      <c r="J94" s="991"/>
      <c r="K94" s="991"/>
      <c r="L94" s="991"/>
      <c r="M94" s="991"/>
      <c r="N94" s="991"/>
      <c r="O94" s="991"/>
      <c r="P94" s="991"/>
      <c r="Q94" s="991"/>
      <c r="R94" s="991"/>
      <c r="S94" s="991"/>
      <c r="T94" s="991"/>
      <c r="U94" s="992"/>
      <c r="V94" s="966"/>
      <c r="W94" s="949"/>
      <c r="X94" s="949"/>
      <c r="Y94" s="949"/>
      <c r="Z94" s="967"/>
    </row>
    <row r="95" s="50" customFormat="1" customHeight="1" spans="1:26">
      <c r="A95" s="990"/>
      <c r="B95" s="991"/>
      <c r="C95" s="991"/>
      <c r="D95" s="991"/>
      <c r="E95" s="991"/>
      <c r="F95" s="991"/>
      <c r="G95" s="991"/>
      <c r="H95" s="991"/>
      <c r="I95" s="991"/>
      <c r="J95" s="991"/>
      <c r="K95" s="991"/>
      <c r="L95" s="991"/>
      <c r="M95" s="991"/>
      <c r="N95" s="991"/>
      <c r="O95" s="991"/>
      <c r="P95" s="991"/>
      <c r="Q95" s="991"/>
      <c r="R95" s="991"/>
      <c r="S95" s="991"/>
      <c r="T95" s="991"/>
      <c r="U95" s="992"/>
      <c r="V95" s="966"/>
      <c r="W95" s="949"/>
      <c r="X95" s="949"/>
      <c r="Y95" s="949"/>
      <c r="Z95" s="967"/>
    </row>
    <row r="96" s="50" customFormat="1" customHeight="1" spans="1:26">
      <c r="A96" s="990"/>
      <c r="B96" s="991"/>
      <c r="C96" s="991"/>
      <c r="D96" s="991"/>
      <c r="E96" s="991"/>
      <c r="F96" s="991"/>
      <c r="G96" s="991"/>
      <c r="H96" s="991"/>
      <c r="I96" s="991"/>
      <c r="J96" s="991"/>
      <c r="K96" s="991"/>
      <c r="L96" s="991"/>
      <c r="M96" s="991"/>
      <c r="N96" s="991"/>
      <c r="O96" s="991"/>
      <c r="P96" s="991"/>
      <c r="Q96" s="991"/>
      <c r="R96" s="991"/>
      <c r="S96" s="991"/>
      <c r="T96" s="991"/>
      <c r="U96" s="992"/>
      <c r="V96" s="966"/>
      <c r="W96" s="949"/>
      <c r="X96" s="949"/>
      <c r="Y96" s="949"/>
      <c r="Z96" s="967"/>
    </row>
    <row r="97" s="50" customFormat="1" customHeight="1" spans="1:26">
      <c r="A97" s="990"/>
      <c r="B97" s="991"/>
      <c r="C97" s="991"/>
      <c r="D97" s="991"/>
      <c r="E97" s="991"/>
      <c r="F97" s="991"/>
      <c r="G97" s="991"/>
      <c r="H97" s="991"/>
      <c r="I97" s="991"/>
      <c r="J97" s="991"/>
      <c r="K97" s="991"/>
      <c r="L97" s="991"/>
      <c r="M97" s="991"/>
      <c r="N97" s="991"/>
      <c r="O97" s="991"/>
      <c r="P97" s="991"/>
      <c r="Q97" s="991"/>
      <c r="R97" s="991"/>
      <c r="S97" s="991"/>
      <c r="T97" s="991"/>
      <c r="U97" s="992"/>
      <c r="V97" s="966"/>
      <c r="W97" s="949"/>
      <c r="X97" s="949"/>
      <c r="Y97" s="949"/>
      <c r="Z97" s="967"/>
    </row>
    <row r="98" s="50" customFormat="1" customHeight="1" spans="1:26">
      <c r="A98" s="990"/>
      <c r="B98" s="991"/>
      <c r="C98" s="991"/>
      <c r="D98" s="991"/>
      <c r="E98" s="991"/>
      <c r="F98" s="991"/>
      <c r="G98" s="991"/>
      <c r="H98" s="991"/>
      <c r="I98" s="991"/>
      <c r="J98" s="991"/>
      <c r="K98" s="991"/>
      <c r="L98" s="991"/>
      <c r="M98" s="991"/>
      <c r="N98" s="991"/>
      <c r="O98" s="991"/>
      <c r="P98" s="991"/>
      <c r="Q98" s="991"/>
      <c r="R98" s="991"/>
      <c r="S98" s="991"/>
      <c r="T98" s="991"/>
      <c r="U98" s="992"/>
      <c r="V98" s="966"/>
      <c r="W98" s="949"/>
      <c r="X98" s="949"/>
      <c r="Y98" s="949"/>
      <c r="Z98" s="967"/>
    </row>
    <row r="99" s="50" customFormat="1" customHeight="1" spans="1:26">
      <c r="A99" s="990"/>
      <c r="B99" s="991"/>
      <c r="C99" s="991"/>
      <c r="D99" s="991"/>
      <c r="E99" s="991"/>
      <c r="F99" s="991"/>
      <c r="G99" s="991"/>
      <c r="H99" s="991"/>
      <c r="I99" s="991"/>
      <c r="J99" s="991"/>
      <c r="K99" s="991"/>
      <c r="L99" s="991"/>
      <c r="M99" s="991"/>
      <c r="N99" s="991"/>
      <c r="O99" s="991"/>
      <c r="P99" s="991"/>
      <c r="Q99" s="991"/>
      <c r="R99" s="991"/>
      <c r="S99" s="991"/>
      <c r="T99" s="991"/>
      <c r="U99" s="992"/>
      <c r="V99" s="966"/>
      <c r="W99" s="949"/>
      <c r="X99" s="949"/>
      <c r="Y99" s="949"/>
      <c r="Z99" s="967"/>
    </row>
    <row r="100" s="50" customFormat="1" customHeight="1" spans="1:26">
      <c r="A100" s="990"/>
      <c r="B100" s="991"/>
      <c r="C100" s="991"/>
      <c r="D100" s="991"/>
      <c r="E100" s="991"/>
      <c r="F100" s="991"/>
      <c r="G100" s="991"/>
      <c r="H100" s="991"/>
      <c r="I100" s="991"/>
      <c r="J100" s="991"/>
      <c r="K100" s="991"/>
      <c r="L100" s="991"/>
      <c r="M100" s="991"/>
      <c r="N100" s="991"/>
      <c r="O100" s="991"/>
      <c r="P100" s="991"/>
      <c r="Q100" s="991"/>
      <c r="R100" s="991"/>
      <c r="S100" s="991"/>
      <c r="T100" s="991"/>
      <c r="U100" s="992"/>
      <c r="V100" s="966"/>
      <c r="W100" s="949"/>
      <c r="X100" s="949"/>
      <c r="Y100" s="949"/>
      <c r="Z100" s="967"/>
    </row>
    <row r="101" s="50" customFormat="1" customHeight="1" spans="1:26">
      <c r="A101" s="990"/>
      <c r="B101" s="991"/>
      <c r="C101" s="991"/>
      <c r="D101" s="991"/>
      <c r="E101" s="991"/>
      <c r="F101" s="991"/>
      <c r="G101" s="991"/>
      <c r="H101" s="991"/>
      <c r="I101" s="991"/>
      <c r="J101" s="991"/>
      <c r="K101" s="991"/>
      <c r="L101" s="991"/>
      <c r="M101" s="991"/>
      <c r="N101" s="991"/>
      <c r="O101" s="991"/>
      <c r="P101" s="991"/>
      <c r="Q101" s="991"/>
      <c r="R101" s="991"/>
      <c r="S101" s="991"/>
      <c r="T101" s="991"/>
      <c r="U101" s="992"/>
      <c r="V101" s="966"/>
      <c r="W101" s="949"/>
      <c r="X101" s="949"/>
      <c r="Y101" s="949"/>
      <c r="Z101" s="967"/>
    </row>
    <row r="102" s="50" customFormat="1" customHeight="1" spans="1:26">
      <c r="A102" s="999"/>
      <c r="B102" s="1000"/>
      <c r="C102" s="1000"/>
      <c r="D102" s="1000"/>
      <c r="E102" s="1000"/>
      <c r="F102" s="1000"/>
      <c r="G102" s="1000"/>
      <c r="H102" s="1000"/>
      <c r="I102" s="1000"/>
      <c r="J102" s="1000"/>
      <c r="K102" s="1000"/>
      <c r="L102" s="1000"/>
      <c r="M102" s="1000"/>
      <c r="N102" s="1000"/>
      <c r="O102" s="1000"/>
      <c r="P102" s="1000"/>
      <c r="Q102" s="1000"/>
      <c r="R102" s="1000"/>
      <c r="S102" s="1000"/>
      <c r="T102" s="1000"/>
      <c r="U102" s="1001"/>
      <c r="V102" s="979"/>
      <c r="W102" s="979"/>
      <c r="X102" s="979"/>
      <c r="Y102" s="979"/>
      <c r="Z102" s="980"/>
    </row>
    <row r="103" s="50" customFormat="1" spans="1:26">
      <c r="A103" s="963" t="s">
        <v>21</v>
      </c>
      <c r="B103" s="963"/>
      <c r="C103" s="963"/>
      <c r="D103" s="963"/>
      <c r="E103" s="963"/>
      <c r="F103" s="963"/>
      <c r="G103" s="963"/>
      <c r="H103" s="963"/>
      <c r="I103" s="963"/>
      <c r="J103" s="963"/>
      <c r="K103" s="963"/>
      <c r="L103" s="963"/>
      <c r="M103" s="963"/>
      <c r="N103" s="963"/>
      <c r="O103" s="963"/>
      <c r="P103" s="963"/>
      <c r="Q103" s="963"/>
      <c r="R103" s="963"/>
      <c r="S103" s="963"/>
      <c r="T103" s="963"/>
      <c r="U103" s="964"/>
      <c r="V103" s="1002" t="s">
        <v>22</v>
      </c>
      <c r="W103" s="1003"/>
      <c r="X103" s="1003"/>
      <c r="Y103" s="1003"/>
      <c r="Z103" s="1004"/>
    </row>
    <row r="104" s="50" customFormat="1" spans="1:26">
      <c r="A104" s="970"/>
      <c r="B104" s="970"/>
      <c r="C104" s="970"/>
      <c r="D104" s="970"/>
      <c r="E104" s="970"/>
      <c r="F104" s="970"/>
      <c r="G104" s="970"/>
      <c r="H104" s="970"/>
      <c r="I104" s="970"/>
      <c r="J104" s="970"/>
      <c r="K104" s="970"/>
      <c r="L104" s="970"/>
      <c r="M104" s="970"/>
      <c r="N104" s="970"/>
      <c r="O104" s="970"/>
      <c r="P104" s="970"/>
      <c r="Q104" s="970"/>
      <c r="R104" s="970"/>
      <c r="S104" s="970"/>
      <c r="T104" s="970"/>
      <c r="U104" s="971"/>
      <c r="V104" s="1005"/>
      <c r="W104" s="1006"/>
      <c r="X104" s="1006"/>
      <c r="Y104" s="1006"/>
      <c r="Z104" s="1007"/>
    </row>
    <row r="105" s="50" customFormat="1" spans="1:26">
      <c r="A105" s="973" t="str">
        <f>_xlfn.DISPIMG("ID_183EA6B47BF24D178B31435D59970563",1)</f>
        <v>=DISPIMG("ID_183EA6B47BF24D178B31435D59970563",1)</v>
      </c>
      <c r="B105" s="974"/>
      <c r="C105" s="974"/>
      <c r="D105" s="974"/>
      <c r="E105" s="974"/>
      <c r="F105" s="974"/>
      <c r="G105" s="974"/>
      <c r="H105" s="974"/>
      <c r="I105" s="1008"/>
      <c r="J105" s="973" t="str">
        <f>_xlfn.DISPIMG("ID_8BB116B1AF8B41A1B5910DAAF80084D5",1)</f>
        <v>=DISPIMG("ID_8BB116B1AF8B41A1B5910DAAF80084D5",1)</v>
      </c>
      <c r="K105" s="974"/>
      <c r="L105" s="974"/>
      <c r="M105" s="974"/>
      <c r="N105" s="974"/>
      <c r="O105" s="974"/>
      <c r="P105" s="974"/>
      <c r="Q105" s="974"/>
      <c r="R105" s="974"/>
      <c r="S105" s="974"/>
      <c r="T105" s="974"/>
      <c r="U105" s="974"/>
      <c r="V105" s="1005"/>
      <c r="W105" s="1006"/>
      <c r="X105" s="1006"/>
      <c r="Y105" s="1006"/>
      <c r="Z105" s="1007"/>
    </row>
    <row r="106" s="50" customFormat="1" spans="1:26">
      <c r="A106" s="975"/>
      <c r="B106" s="976"/>
      <c r="C106" s="976"/>
      <c r="D106" s="976"/>
      <c r="E106" s="976"/>
      <c r="F106" s="976"/>
      <c r="G106" s="976"/>
      <c r="H106" s="976"/>
      <c r="I106" s="1009"/>
      <c r="J106" s="975"/>
      <c r="K106" s="976"/>
      <c r="L106" s="976"/>
      <c r="M106" s="976"/>
      <c r="N106" s="976"/>
      <c r="O106" s="976"/>
      <c r="P106" s="976"/>
      <c r="Q106" s="976"/>
      <c r="R106" s="976"/>
      <c r="S106" s="976"/>
      <c r="T106" s="976"/>
      <c r="U106" s="977"/>
      <c r="V106" s="1005"/>
      <c r="W106" s="1006"/>
      <c r="X106" s="1006"/>
      <c r="Y106" s="1006"/>
      <c r="Z106" s="1007"/>
    </row>
    <row r="107" s="50" customFormat="1" spans="1:26">
      <c r="A107" s="975"/>
      <c r="B107" s="976"/>
      <c r="C107" s="976"/>
      <c r="D107" s="976"/>
      <c r="E107" s="976"/>
      <c r="F107" s="976"/>
      <c r="G107" s="976"/>
      <c r="H107" s="976"/>
      <c r="I107" s="1009"/>
      <c r="J107" s="975"/>
      <c r="K107" s="976"/>
      <c r="L107" s="976"/>
      <c r="M107" s="976"/>
      <c r="N107" s="976"/>
      <c r="O107" s="976"/>
      <c r="P107" s="976"/>
      <c r="Q107" s="976"/>
      <c r="R107" s="976"/>
      <c r="S107" s="976"/>
      <c r="T107" s="976"/>
      <c r="U107" s="977"/>
      <c r="V107" s="1005"/>
      <c r="W107" s="1006"/>
      <c r="X107" s="1006"/>
      <c r="Y107" s="1006"/>
      <c r="Z107" s="1007"/>
    </row>
    <row r="108" s="50" customFormat="1" spans="1:26">
      <c r="A108" s="975"/>
      <c r="B108" s="976"/>
      <c r="C108" s="976"/>
      <c r="D108" s="976"/>
      <c r="E108" s="976"/>
      <c r="F108" s="976"/>
      <c r="G108" s="976"/>
      <c r="H108" s="976"/>
      <c r="I108" s="1009"/>
      <c r="J108" s="975"/>
      <c r="K108" s="976"/>
      <c r="L108" s="976"/>
      <c r="M108" s="976"/>
      <c r="N108" s="976"/>
      <c r="O108" s="976"/>
      <c r="P108" s="976"/>
      <c r="Q108" s="976"/>
      <c r="R108" s="976"/>
      <c r="S108" s="976"/>
      <c r="T108" s="976"/>
      <c r="U108" s="977"/>
      <c r="V108" s="1005"/>
      <c r="W108" s="1006"/>
      <c r="X108" s="1006"/>
      <c r="Y108" s="1006"/>
      <c r="Z108" s="1007"/>
    </row>
    <row r="109" s="50" customFormat="1" spans="1:26">
      <c r="A109" s="975"/>
      <c r="B109" s="976"/>
      <c r="C109" s="976"/>
      <c r="D109" s="976"/>
      <c r="E109" s="976"/>
      <c r="F109" s="976"/>
      <c r="G109" s="976"/>
      <c r="H109" s="976"/>
      <c r="I109" s="1009"/>
      <c r="J109" s="975"/>
      <c r="K109" s="976"/>
      <c r="L109" s="976"/>
      <c r="M109" s="976"/>
      <c r="N109" s="976"/>
      <c r="O109" s="976"/>
      <c r="P109" s="976"/>
      <c r="Q109" s="976"/>
      <c r="R109" s="976"/>
      <c r="S109" s="976"/>
      <c r="T109" s="976"/>
      <c r="U109" s="977"/>
      <c r="V109" s="1005"/>
      <c r="W109" s="1006"/>
      <c r="X109" s="1006"/>
      <c r="Y109" s="1006"/>
      <c r="Z109" s="1007"/>
    </row>
    <row r="110" s="50" customFormat="1" spans="1:26">
      <c r="A110" s="975"/>
      <c r="B110" s="976"/>
      <c r="C110" s="976"/>
      <c r="D110" s="976"/>
      <c r="E110" s="976"/>
      <c r="F110" s="976"/>
      <c r="G110" s="976"/>
      <c r="H110" s="976"/>
      <c r="I110" s="1009"/>
      <c r="J110" s="975"/>
      <c r="K110" s="976"/>
      <c r="L110" s="976"/>
      <c r="M110" s="976"/>
      <c r="N110" s="976"/>
      <c r="O110" s="976"/>
      <c r="P110" s="976"/>
      <c r="Q110" s="976"/>
      <c r="R110" s="976"/>
      <c r="S110" s="976"/>
      <c r="T110" s="976"/>
      <c r="U110" s="977"/>
      <c r="V110" s="1005"/>
      <c r="W110" s="1006"/>
      <c r="X110" s="1006"/>
      <c r="Y110" s="1006"/>
      <c r="Z110" s="1007"/>
    </row>
    <row r="111" s="50" customFormat="1" spans="1:26">
      <c r="A111" s="975"/>
      <c r="B111" s="976"/>
      <c r="C111" s="976"/>
      <c r="D111" s="976"/>
      <c r="E111" s="976"/>
      <c r="F111" s="976"/>
      <c r="G111" s="976"/>
      <c r="H111" s="976"/>
      <c r="I111" s="1009"/>
      <c r="J111" s="975"/>
      <c r="K111" s="976"/>
      <c r="L111" s="976"/>
      <c r="M111" s="976"/>
      <c r="N111" s="976"/>
      <c r="O111" s="976"/>
      <c r="P111" s="976"/>
      <c r="Q111" s="976"/>
      <c r="R111" s="976"/>
      <c r="S111" s="976"/>
      <c r="T111" s="976"/>
      <c r="U111" s="977"/>
      <c r="V111" s="1005"/>
      <c r="W111" s="1006"/>
      <c r="X111" s="1006"/>
      <c r="Y111" s="1006"/>
      <c r="Z111" s="1007"/>
    </row>
    <row r="112" s="50" customFormat="1" spans="1:26">
      <c r="A112" s="975"/>
      <c r="B112" s="976"/>
      <c r="C112" s="976"/>
      <c r="D112" s="976"/>
      <c r="E112" s="976"/>
      <c r="F112" s="976"/>
      <c r="G112" s="976"/>
      <c r="H112" s="976"/>
      <c r="I112" s="1009"/>
      <c r="J112" s="975"/>
      <c r="K112" s="976"/>
      <c r="L112" s="976"/>
      <c r="M112" s="976"/>
      <c r="N112" s="976"/>
      <c r="O112" s="976"/>
      <c r="P112" s="976"/>
      <c r="Q112" s="976"/>
      <c r="R112" s="976"/>
      <c r="S112" s="976"/>
      <c r="T112" s="976"/>
      <c r="U112" s="977"/>
      <c r="V112" s="1005"/>
      <c r="W112" s="1006"/>
      <c r="X112" s="1006"/>
      <c r="Y112" s="1006"/>
      <c r="Z112" s="1007"/>
    </row>
    <row r="113" s="50" customFormat="1" spans="1:26">
      <c r="A113" s="975"/>
      <c r="B113" s="976"/>
      <c r="C113" s="976"/>
      <c r="D113" s="976"/>
      <c r="E113" s="976"/>
      <c r="F113" s="976"/>
      <c r="G113" s="976"/>
      <c r="H113" s="976"/>
      <c r="I113" s="1009"/>
      <c r="J113" s="975"/>
      <c r="K113" s="976"/>
      <c r="L113" s="976"/>
      <c r="M113" s="976"/>
      <c r="N113" s="976"/>
      <c r="O113" s="976"/>
      <c r="P113" s="976"/>
      <c r="Q113" s="976"/>
      <c r="R113" s="976"/>
      <c r="S113" s="976"/>
      <c r="T113" s="976"/>
      <c r="U113" s="977"/>
      <c r="V113" s="1005"/>
      <c r="W113" s="1006"/>
      <c r="X113" s="1006"/>
      <c r="Y113" s="1006"/>
      <c r="Z113" s="1007"/>
    </row>
    <row r="114" s="50" customFormat="1" spans="1:26">
      <c r="A114" s="975"/>
      <c r="B114" s="976"/>
      <c r="C114" s="976"/>
      <c r="D114" s="976"/>
      <c r="E114" s="976"/>
      <c r="F114" s="976"/>
      <c r="G114" s="976"/>
      <c r="H114" s="976"/>
      <c r="I114" s="1009"/>
      <c r="J114" s="975"/>
      <c r="K114" s="976"/>
      <c r="L114" s="976"/>
      <c r="M114" s="976"/>
      <c r="N114" s="976"/>
      <c r="O114" s="976"/>
      <c r="P114" s="976"/>
      <c r="Q114" s="976"/>
      <c r="R114" s="976"/>
      <c r="S114" s="976"/>
      <c r="T114" s="976"/>
      <c r="U114" s="977"/>
      <c r="V114" s="1005"/>
      <c r="W114" s="1006"/>
      <c r="X114" s="1006"/>
      <c r="Y114" s="1006"/>
      <c r="Z114" s="1007"/>
    </row>
    <row r="115" s="50" customFormat="1" spans="1:26">
      <c r="A115" s="975"/>
      <c r="B115" s="976"/>
      <c r="C115" s="976"/>
      <c r="D115" s="976"/>
      <c r="E115" s="976"/>
      <c r="F115" s="976"/>
      <c r="G115" s="976"/>
      <c r="H115" s="976"/>
      <c r="I115" s="1009"/>
      <c r="J115" s="975"/>
      <c r="K115" s="976"/>
      <c r="L115" s="976"/>
      <c r="M115" s="976"/>
      <c r="N115" s="976"/>
      <c r="O115" s="976"/>
      <c r="P115" s="976"/>
      <c r="Q115" s="976"/>
      <c r="R115" s="976"/>
      <c r="S115" s="976"/>
      <c r="T115" s="976"/>
      <c r="U115" s="977"/>
      <c r="V115" s="1005"/>
      <c r="W115" s="1006"/>
      <c r="X115" s="1006"/>
      <c r="Y115" s="1006"/>
      <c r="Z115" s="1007"/>
    </row>
    <row r="116" s="50" customFormat="1" spans="1:26">
      <c r="A116" s="975"/>
      <c r="B116" s="976"/>
      <c r="C116" s="976"/>
      <c r="D116" s="976"/>
      <c r="E116" s="976"/>
      <c r="F116" s="976"/>
      <c r="G116" s="976"/>
      <c r="H116" s="976"/>
      <c r="I116" s="1009"/>
      <c r="J116" s="975"/>
      <c r="K116" s="976"/>
      <c r="L116" s="976"/>
      <c r="M116" s="976"/>
      <c r="N116" s="976"/>
      <c r="O116" s="976"/>
      <c r="P116" s="976"/>
      <c r="Q116" s="976"/>
      <c r="R116" s="976"/>
      <c r="S116" s="976"/>
      <c r="T116" s="976"/>
      <c r="U116" s="977"/>
      <c r="V116" s="1005"/>
      <c r="W116" s="1006"/>
      <c r="X116" s="1006"/>
      <c r="Y116" s="1006"/>
      <c r="Z116" s="1007"/>
    </row>
    <row r="117" s="50" customFormat="1" spans="1:26">
      <c r="A117" s="975"/>
      <c r="B117" s="976"/>
      <c r="C117" s="976"/>
      <c r="D117" s="976"/>
      <c r="E117" s="976"/>
      <c r="F117" s="976"/>
      <c r="G117" s="976"/>
      <c r="H117" s="976"/>
      <c r="I117" s="1009"/>
      <c r="J117" s="975"/>
      <c r="K117" s="976"/>
      <c r="L117" s="976"/>
      <c r="M117" s="976"/>
      <c r="N117" s="976"/>
      <c r="O117" s="976"/>
      <c r="P117" s="976"/>
      <c r="Q117" s="976"/>
      <c r="R117" s="976"/>
      <c r="S117" s="976"/>
      <c r="T117" s="976"/>
      <c r="U117" s="977"/>
      <c r="V117" s="1005"/>
      <c r="W117" s="1006"/>
      <c r="X117" s="1006"/>
      <c r="Y117" s="1006"/>
      <c r="Z117" s="1007"/>
    </row>
    <row r="118" s="50" customFormat="1" spans="1:26">
      <c r="A118" s="975"/>
      <c r="B118" s="976"/>
      <c r="C118" s="976"/>
      <c r="D118" s="976"/>
      <c r="E118" s="976"/>
      <c r="F118" s="976"/>
      <c r="G118" s="976"/>
      <c r="H118" s="976"/>
      <c r="I118" s="1009"/>
      <c r="J118" s="975"/>
      <c r="K118" s="976"/>
      <c r="L118" s="976"/>
      <c r="M118" s="976"/>
      <c r="N118" s="976"/>
      <c r="O118" s="976"/>
      <c r="P118" s="976"/>
      <c r="Q118" s="976"/>
      <c r="R118" s="976"/>
      <c r="S118" s="976"/>
      <c r="T118" s="976"/>
      <c r="U118" s="977"/>
      <c r="V118" s="1005"/>
      <c r="W118" s="1006"/>
      <c r="X118" s="1006"/>
      <c r="Y118" s="1006"/>
      <c r="Z118" s="1007"/>
    </row>
    <row r="119" s="50" customFormat="1" spans="1:26">
      <c r="A119" s="975"/>
      <c r="B119" s="976"/>
      <c r="C119" s="976"/>
      <c r="D119" s="976"/>
      <c r="E119" s="976"/>
      <c r="F119" s="976"/>
      <c r="G119" s="976"/>
      <c r="H119" s="976"/>
      <c r="I119" s="1009"/>
      <c r="J119" s="975"/>
      <c r="K119" s="976"/>
      <c r="L119" s="976"/>
      <c r="M119" s="976"/>
      <c r="N119" s="976"/>
      <c r="O119" s="976"/>
      <c r="P119" s="976"/>
      <c r="Q119" s="976"/>
      <c r="R119" s="976"/>
      <c r="S119" s="976"/>
      <c r="T119" s="976"/>
      <c r="U119" s="977"/>
      <c r="V119" s="1005"/>
      <c r="W119" s="1006"/>
      <c r="X119" s="1006"/>
      <c r="Y119" s="1006"/>
      <c r="Z119" s="1007"/>
    </row>
    <row r="120" s="50" customFormat="1" spans="1:26">
      <c r="A120" s="975"/>
      <c r="B120" s="976"/>
      <c r="C120" s="976"/>
      <c r="D120" s="976"/>
      <c r="E120" s="976"/>
      <c r="F120" s="976"/>
      <c r="G120" s="976"/>
      <c r="H120" s="976"/>
      <c r="I120" s="1009"/>
      <c r="J120" s="975"/>
      <c r="K120" s="976"/>
      <c r="L120" s="976"/>
      <c r="M120" s="976"/>
      <c r="N120" s="976"/>
      <c r="O120" s="976"/>
      <c r="P120" s="976"/>
      <c r="Q120" s="976"/>
      <c r="R120" s="976"/>
      <c r="S120" s="976"/>
      <c r="T120" s="976"/>
      <c r="U120" s="977"/>
      <c r="V120" s="1005"/>
      <c r="W120" s="1006"/>
      <c r="X120" s="1006"/>
      <c r="Y120" s="1006"/>
      <c r="Z120" s="1007"/>
    </row>
    <row r="121" s="50" customFormat="1" spans="1:26">
      <c r="A121" s="975"/>
      <c r="B121" s="976"/>
      <c r="C121" s="976"/>
      <c r="D121" s="976"/>
      <c r="E121" s="976"/>
      <c r="F121" s="976"/>
      <c r="G121" s="976"/>
      <c r="H121" s="976"/>
      <c r="I121" s="1009"/>
      <c r="J121" s="975"/>
      <c r="K121" s="976"/>
      <c r="L121" s="976"/>
      <c r="M121" s="976"/>
      <c r="N121" s="976"/>
      <c r="O121" s="976"/>
      <c r="P121" s="976"/>
      <c r="Q121" s="976"/>
      <c r="R121" s="976"/>
      <c r="S121" s="976"/>
      <c r="T121" s="976"/>
      <c r="U121" s="977"/>
      <c r="V121" s="1005"/>
      <c r="W121" s="1006"/>
      <c r="X121" s="1006"/>
      <c r="Y121" s="1006"/>
      <c r="Z121" s="1007"/>
    </row>
    <row r="122" s="50" customFormat="1" ht="14.25" spans="1:26">
      <c r="A122" s="1010"/>
      <c r="B122" s="1011"/>
      <c r="C122" s="1011"/>
      <c r="D122" s="1011"/>
      <c r="E122" s="1011"/>
      <c r="F122" s="1011"/>
      <c r="G122" s="1011"/>
      <c r="H122" s="1011"/>
      <c r="I122" s="1012"/>
      <c r="J122" s="975"/>
      <c r="K122" s="977"/>
      <c r="L122" s="977"/>
      <c r="M122" s="977"/>
      <c r="N122" s="977"/>
      <c r="O122" s="977"/>
      <c r="P122" s="977"/>
      <c r="Q122" s="977"/>
      <c r="R122" s="977"/>
      <c r="S122" s="977"/>
      <c r="T122" s="977"/>
      <c r="U122" s="977"/>
      <c r="V122" s="1005"/>
      <c r="W122" s="1006"/>
      <c r="X122" s="1006"/>
      <c r="Y122" s="1006"/>
      <c r="Z122" s="1007"/>
    </row>
    <row r="123" s="50" customFormat="1" spans="1:26">
      <c r="A123" s="948" t="str">
        <f>_xlfn.DISPIMG("ID_AAF7401615074296BFC0BF8C87B881F4",1)</f>
        <v>=DISPIMG("ID_AAF7401615074296BFC0BF8C87B881F4",1)</v>
      </c>
      <c r="B123" s="948"/>
      <c r="C123" s="948"/>
      <c r="D123" s="948"/>
      <c r="E123" s="948"/>
      <c r="F123" s="948"/>
      <c r="G123" s="948"/>
      <c r="H123" s="948"/>
      <c r="I123" s="1013"/>
      <c r="J123" s="1014" t="str">
        <f>_xlfn.DISPIMG("ID_BB4AD0E460804DAB8D72E40937F902BF",1)</f>
        <v>=DISPIMG("ID_BB4AD0E460804DAB8D72E40937F902BF",1)</v>
      </c>
      <c r="K123" s="1015"/>
      <c r="L123" s="1015"/>
      <c r="M123" s="1015"/>
      <c r="N123" s="1015"/>
      <c r="O123" s="1015"/>
      <c r="P123" s="1015"/>
      <c r="Q123" s="1015"/>
      <c r="R123" s="1015"/>
      <c r="S123" s="1015"/>
      <c r="T123" s="1015"/>
      <c r="U123" s="1016"/>
      <c r="V123" s="1005"/>
      <c r="W123" s="1006"/>
      <c r="X123" s="1006"/>
      <c r="Y123" s="1006"/>
      <c r="Z123" s="1007"/>
    </row>
    <row r="124" s="50" customFormat="1" spans="1:26">
      <c r="A124" s="948"/>
      <c r="B124" s="948"/>
      <c r="C124" s="948"/>
      <c r="D124" s="948"/>
      <c r="E124" s="948"/>
      <c r="F124" s="948"/>
      <c r="G124" s="948"/>
      <c r="H124" s="948"/>
      <c r="I124" s="1013"/>
      <c r="J124" s="1017"/>
      <c r="K124" s="948"/>
      <c r="L124" s="948"/>
      <c r="M124" s="948"/>
      <c r="N124" s="948"/>
      <c r="O124" s="948"/>
      <c r="P124" s="948"/>
      <c r="Q124" s="948"/>
      <c r="R124" s="948"/>
      <c r="S124" s="948"/>
      <c r="T124" s="948"/>
      <c r="U124" s="1018"/>
      <c r="V124" s="1005"/>
      <c r="W124" s="1006"/>
      <c r="X124" s="1006"/>
      <c r="Y124" s="1006"/>
      <c r="Z124" s="1007"/>
    </row>
    <row r="125" s="50" customFormat="1" spans="1:26">
      <c r="A125" s="948"/>
      <c r="B125" s="948"/>
      <c r="C125" s="948"/>
      <c r="D125" s="948"/>
      <c r="E125" s="948"/>
      <c r="F125" s="948"/>
      <c r="G125" s="948"/>
      <c r="H125" s="948"/>
      <c r="I125" s="1013"/>
      <c r="J125" s="1017"/>
      <c r="K125" s="948"/>
      <c r="L125" s="948"/>
      <c r="M125" s="948"/>
      <c r="N125" s="948"/>
      <c r="O125" s="948"/>
      <c r="P125" s="948"/>
      <c r="Q125" s="948"/>
      <c r="R125" s="948"/>
      <c r="S125" s="948"/>
      <c r="T125" s="948"/>
      <c r="U125" s="1018"/>
      <c r="V125" s="1005"/>
      <c r="W125" s="1006"/>
      <c r="X125" s="1006"/>
      <c r="Y125" s="1006"/>
      <c r="Z125" s="1007"/>
    </row>
    <row r="126" s="50" customFormat="1" spans="1:26">
      <c r="A126" s="948"/>
      <c r="B126" s="948"/>
      <c r="C126" s="948"/>
      <c r="D126" s="948"/>
      <c r="E126" s="948"/>
      <c r="F126" s="948"/>
      <c r="G126" s="948"/>
      <c r="H126" s="948"/>
      <c r="I126" s="1013"/>
      <c r="J126" s="1017"/>
      <c r="K126" s="948"/>
      <c r="L126" s="948"/>
      <c r="M126" s="948"/>
      <c r="N126" s="948"/>
      <c r="O126" s="948"/>
      <c r="P126" s="948"/>
      <c r="Q126" s="948"/>
      <c r="R126" s="948"/>
      <c r="S126" s="948"/>
      <c r="T126" s="948"/>
      <c r="U126" s="1018"/>
      <c r="V126" s="1005"/>
      <c r="W126" s="1006"/>
      <c r="X126" s="1006"/>
      <c r="Y126" s="1006"/>
      <c r="Z126" s="1007"/>
    </row>
    <row r="127" s="50" customFormat="1" spans="1:26">
      <c r="A127" s="948"/>
      <c r="B127" s="948"/>
      <c r="C127" s="948"/>
      <c r="D127" s="948"/>
      <c r="E127" s="948"/>
      <c r="F127" s="948"/>
      <c r="G127" s="948"/>
      <c r="H127" s="948"/>
      <c r="I127" s="1013"/>
      <c r="J127" s="1017"/>
      <c r="K127" s="948"/>
      <c r="L127" s="948"/>
      <c r="M127" s="948"/>
      <c r="N127" s="948"/>
      <c r="O127" s="948"/>
      <c r="P127" s="948"/>
      <c r="Q127" s="948"/>
      <c r="R127" s="948"/>
      <c r="S127" s="948"/>
      <c r="T127" s="948"/>
      <c r="U127" s="1018"/>
      <c r="V127" s="1005"/>
      <c r="W127" s="1006"/>
      <c r="X127" s="1006"/>
      <c r="Y127" s="1006"/>
      <c r="Z127" s="1007"/>
    </row>
    <row r="128" s="50" customFormat="1" spans="1:26">
      <c r="A128" s="948"/>
      <c r="B128" s="948"/>
      <c r="C128" s="948"/>
      <c r="D128" s="948"/>
      <c r="E128" s="948"/>
      <c r="F128" s="948"/>
      <c r="G128" s="948"/>
      <c r="H128" s="948"/>
      <c r="I128" s="1013"/>
      <c r="J128" s="1017"/>
      <c r="K128" s="948"/>
      <c r="L128" s="948"/>
      <c r="M128" s="948"/>
      <c r="N128" s="948"/>
      <c r="O128" s="948"/>
      <c r="P128" s="948"/>
      <c r="Q128" s="948"/>
      <c r="R128" s="948"/>
      <c r="S128" s="948"/>
      <c r="T128" s="948"/>
      <c r="U128" s="1018"/>
      <c r="V128" s="1005"/>
      <c r="W128" s="1006"/>
      <c r="X128" s="1006"/>
      <c r="Y128" s="1006"/>
      <c r="Z128" s="1007"/>
    </row>
    <row r="129" s="50" customFormat="1" spans="1:28">
      <c r="A129" s="948"/>
      <c r="B129" s="948"/>
      <c r="C129" s="948"/>
      <c r="D129" s="948"/>
      <c r="E129" s="948"/>
      <c r="F129" s="948"/>
      <c r="G129" s="948"/>
      <c r="H129" s="948"/>
      <c r="I129" s="1013"/>
      <c r="J129" s="1017"/>
      <c r="K129" s="948"/>
      <c r="L129" s="948"/>
      <c r="M129" s="948"/>
      <c r="N129" s="948"/>
      <c r="O129" s="948"/>
      <c r="P129" s="948"/>
      <c r="Q129" s="948"/>
      <c r="R129" s="948"/>
      <c r="S129" s="948"/>
      <c r="T129" s="948"/>
      <c r="U129" s="1018"/>
      <c r="V129" s="1005"/>
      <c r="W129" s="1006"/>
      <c r="X129" s="1006"/>
      <c r="Y129" s="1006"/>
      <c r="Z129" s="1007"/>
    </row>
    <row r="130" s="50" customFormat="1" spans="1:28">
      <c r="A130" s="948"/>
      <c r="B130" s="948"/>
      <c r="C130" s="948"/>
      <c r="D130" s="948"/>
      <c r="E130" s="948"/>
      <c r="F130" s="948"/>
      <c r="G130" s="948"/>
      <c r="H130" s="948"/>
      <c r="I130" s="1013"/>
      <c r="J130" s="1017"/>
      <c r="K130" s="948"/>
      <c r="L130" s="948"/>
      <c r="M130" s="948"/>
      <c r="N130" s="948"/>
      <c r="O130" s="948"/>
      <c r="P130" s="948"/>
      <c r="Q130" s="948"/>
      <c r="R130" s="948"/>
      <c r="S130" s="948"/>
      <c r="T130" s="948"/>
      <c r="U130" s="1018"/>
      <c r="V130" s="1005"/>
      <c r="W130" s="1006"/>
      <c r="X130" s="1006"/>
      <c r="Y130" s="1006"/>
      <c r="Z130" s="1007"/>
    </row>
    <row r="131" s="50" customFormat="1" spans="1:28">
      <c r="A131" s="948"/>
      <c r="B131" s="948"/>
      <c r="C131" s="948"/>
      <c r="D131" s="948"/>
      <c r="E131" s="948"/>
      <c r="F131" s="948"/>
      <c r="G131" s="948"/>
      <c r="H131" s="948"/>
      <c r="I131" s="1013"/>
      <c r="J131" s="1017"/>
      <c r="K131" s="948"/>
      <c r="L131" s="948"/>
      <c r="M131" s="948"/>
      <c r="N131" s="948"/>
      <c r="O131" s="948"/>
      <c r="P131" s="948"/>
      <c r="Q131" s="948"/>
      <c r="R131" s="948"/>
      <c r="S131" s="948"/>
      <c r="T131" s="948"/>
      <c r="U131" s="1018"/>
      <c r="V131" s="1005"/>
      <c r="W131" s="1006"/>
      <c r="X131" s="1006"/>
      <c r="Y131" s="1006"/>
      <c r="Z131" s="1007"/>
    </row>
    <row r="132" s="50" customFormat="1" spans="1:28">
      <c r="A132" s="948"/>
      <c r="B132" s="948"/>
      <c r="C132" s="948"/>
      <c r="D132" s="948"/>
      <c r="E132" s="948"/>
      <c r="F132" s="948"/>
      <c r="G132" s="948"/>
      <c r="H132" s="948"/>
      <c r="I132" s="1013"/>
      <c r="J132" s="1017"/>
      <c r="K132" s="948"/>
      <c r="L132" s="948"/>
      <c r="M132" s="948"/>
      <c r="N132" s="948"/>
      <c r="O132" s="948"/>
      <c r="P132" s="948"/>
      <c r="Q132" s="948"/>
      <c r="R132" s="948"/>
      <c r="S132" s="948"/>
      <c r="T132" s="948"/>
      <c r="U132" s="1018"/>
      <c r="V132" s="1005"/>
      <c r="W132" s="1006"/>
      <c r="X132" s="1006"/>
      <c r="Y132" s="1006"/>
      <c r="Z132" s="1007"/>
    </row>
    <row r="133" s="50" customFormat="1" spans="1:28">
      <c r="A133" s="948"/>
      <c r="B133" s="948"/>
      <c r="C133" s="948"/>
      <c r="D133" s="948"/>
      <c r="E133" s="948"/>
      <c r="F133" s="948"/>
      <c r="G133" s="948"/>
      <c r="H133" s="948"/>
      <c r="I133" s="1013"/>
      <c r="J133" s="1017"/>
      <c r="K133" s="948"/>
      <c r="L133" s="948"/>
      <c r="M133" s="948"/>
      <c r="N133" s="948"/>
      <c r="O133" s="948"/>
      <c r="P133" s="948"/>
      <c r="Q133" s="948"/>
      <c r="R133" s="948"/>
      <c r="S133" s="948"/>
      <c r="T133" s="948"/>
      <c r="U133" s="1018"/>
      <c r="V133" s="1005"/>
      <c r="W133" s="1006"/>
      <c r="X133" s="1006"/>
      <c r="Y133" s="1006"/>
      <c r="Z133" s="1007"/>
    </row>
    <row r="134" s="50" customFormat="1" spans="1:28">
      <c r="A134" s="948"/>
      <c r="B134" s="948"/>
      <c r="C134" s="948"/>
      <c r="D134" s="948"/>
      <c r="E134" s="948"/>
      <c r="F134" s="948"/>
      <c r="G134" s="948"/>
      <c r="H134" s="948"/>
      <c r="I134" s="1013"/>
      <c r="J134" s="1017"/>
      <c r="K134" s="948"/>
      <c r="L134" s="948"/>
      <c r="M134" s="948"/>
      <c r="N134" s="948"/>
      <c r="O134" s="948"/>
      <c r="P134" s="948"/>
      <c r="Q134" s="948"/>
      <c r="R134" s="948"/>
      <c r="S134" s="948"/>
      <c r="T134" s="948"/>
      <c r="U134" s="1018"/>
      <c r="V134" s="1005"/>
      <c r="W134" s="1006"/>
      <c r="X134" s="1006"/>
      <c r="Y134" s="1006"/>
      <c r="Z134" s="1007"/>
    </row>
    <row r="135" s="50" customFormat="1" spans="1:28">
      <c r="A135" s="948"/>
      <c r="B135" s="948"/>
      <c r="C135" s="948"/>
      <c r="D135" s="948"/>
      <c r="E135" s="948"/>
      <c r="F135" s="948"/>
      <c r="G135" s="948"/>
      <c r="H135" s="948"/>
      <c r="I135" s="1013"/>
      <c r="J135" s="1017"/>
      <c r="K135" s="948"/>
      <c r="L135" s="948"/>
      <c r="M135" s="948"/>
      <c r="N135" s="948"/>
      <c r="O135" s="948"/>
      <c r="P135" s="948"/>
      <c r="Q135" s="948"/>
      <c r="R135" s="948"/>
      <c r="S135" s="948"/>
      <c r="T135" s="948"/>
      <c r="U135" s="1018"/>
      <c r="V135" s="1005"/>
      <c r="W135" s="1006"/>
      <c r="X135" s="1006"/>
      <c r="Y135" s="1006"/>
      <c r="Z135" s="1007"/>
    </row>
    <row r="136" s="50" customFormat="1" spans="1:28">
      <c r="A136" s="948"/>
      <c r="B136" s="948"/>
      <c r="C136" s="948"/>
      <c r="D136" s="948"/>
      <c r="E136" s="948"/>
      <c r="F136" s="948"/>
      <c r="G136" s="948"/>
      <c r="H136" s="948"/>
      <c r="I136" s="1013"/>
      <c r="J136" s="1017"/>
      <c r="K136" s="948"/>
      <c r="L136" s="948"/>
      <c r="M136" s="948"/>
      <c r="N136" s="948"/>
      <c r="O136" s="948"/>
      <c r="P136" s="948"/>
      <c r="Q136" s="948"/>
      <c r="R136" s="948"/>
      <c r="S136" s="948"/>
      <c r="T136" s="948"/>
      <c r="U136" s="1018"/>
      <c r="V136" s="1005"/>
      <c r="W136" s="1006"/>
      <c r="X136" s="1006"/>
      <c r="Y136" s="1006"/>
      <c r="Z136" s="1007"/>
    </row>
    <row r="137" s="50" customFormat="1" ht="14.25" spans="1:28">
      <c r="A137" s="1019"/>
      <c r="B137" s="1019"/>
      <c r="C137" s="1019"/>
      <c r="D137" s="1019"/>
      <c r="E137" s="1019"/>
      <c r="F137" s="1019"/>
      <c r="G137" s="1019"/>
      <c r="H137" s="1019"/>
      <c r="I137" s="1020"/>
      <c r="J137" s="1021"/>
      <c r="K137" s="1022"/>
      <c r="L137" s="1022"/>
      <c r="M137" s="1022"/>
      <c r="N137" s="1022"/>
      <c r="O137" s="1022"/>
      <c r="P137" s="1022"/>
      <c r="Q137" s="1022"/>
      <c r="R137" s="1022"/>
      <c r="S137" s="1022"/>
      <c r="T137" s="1022"/>
      <c r="U137" s="1023"/>
      <c r="V137" s="1024"/>
      <c r="W137" s="1025"/>
      <c r="X137" s="1025"/>
      <c r="Y137" s="1025"/>
      <c r="Z137" s="1026"/>
    </row>
    <row r="138" s="50" customFormat="1" spans="1:28">
      <c r="A138" s="1027" t="str">
        <f>_xlfn.DISPIMG("ID_9B0D0072835D45AF83DDA8D34FB98662",1)</f>
        <v>=DISPIMG("ID_9B0D0072835D45AF83DDA8D34FB98662",1)</v>
      </c>
      <c r="B138" s="1028"/>
      <c r="C138" s="1028"/>
      <c r="D138" s="1028"/>
      <c r="E138" s="1028"/>
      <c r="F138" s="1028"/>
      <c r="G138" s="1028"/>
      <c r="H138" s="1028"/>
      <c r="I138" s="1029"/>
      <c r="J138" s="1027" t="str">
        <f>_xlfn.DISPIMG("ID_48A3A5611BB5444482DA20C8BFA8BE19",1)</f>
        <v>=DISPIMG("ID_48A3A5611BB5444482DA20C8BFA8BE19",1)</v>
      </c>
      <c r="K138" s="1028"/>
      <c r="L138" s="1028"/>
      <c r="M138" s="1028"/>
      <c r="N138" s="1028"/>
      <c r="O138" s="1028"/>
      <c r="P138" s="1028"/>
      <c r="Q138" s="1028"/>
      <c r="R138" s="1028"/>
      <c r="S138" s="1028"/>
      <c r="T138" s="1028"/>
      <c r="U138" s="1029"/>
      <c r="V138" s="1030"/>
      <c r="W138" s="1030"/>
      <c r="X138" s="1030"/>
      <c r="Y138" s="1030"/>
      <c r="Z138" s="1030"/>
      <c r="AA138" s="1030"/>
      <c r="AB138" s="1030"/>
    </row>
    <row r="139" s="50" customFormat="1" spans="1:28">
      <c r="A139" s="1031"/>
      <c r="B139" s="1032"/>
      <c r="C139" s="1032"/>
      <c r="D139" s="1032"/>
      <c r="E139" s="1032"/>
      <c r="F139" s="1032"/>
      <c r="G139" s="1032"/>
      <c r="H139" s="1032"/>
      <c r="I139" s="1033"/>
      <c r="J139" s="1031"/>
      <c r="K139" s="695"/>
      <c r="L139" s="695"/>
      <c r="M139" s="695"/>
      <c r="N139" s="695"/>
      <c r="O139" s="695"/>
      <c r="P139" s="695"/>
      <c r="Q139" s="695"/>
      <c r="R139" s="695"/>
      <c r="S139" s="695"/>
      <c r="T139" s="695"/>
      <c r="U139" s="1033"/>
      <c r="V139" s="1030"/>
      <c r="W139" s="1030"/>
      <c r="X139" s="1030"/>
      <c r="Y139" s="1030"/>
      <c r="Z139" s="1030"/>
      <c r="AA139" s="1030"/>
      <c r="AB139" s="1030"/>
    </row>
    <row r="140" s="50" customFormat="1" spans="1:28">
      <c r="A140" s="1031"/>
      <c r="B140" s="1032"/>
      <c r="C140" s="1032"/>
      <c r="D140" s="1032"/>
      <c r="E140" s="1032"/>
      <c r="F140" s="1032"/>
      <c r="G140" s="1032"/>
      <c r="H140" s="1032"/>
      <c r="I140" s="1033"/>
      <c r="J140" s="1031"/>
      <c r="K140" s="695"/>
      <c r="L140" s="695"/>
      <c r="M140" s="695"/>
      <c r="N140" s="695"/>
      <c r="O140" s="695"/>
      <c r="P140" s="695"/>
      <c r="Q140" s="695"/>
      <c r="R140" s="695"/>
      <c r="S140" s="695"/>
      <c r="T140" s="695"/>
      <c r="U140" s="1033"/>
      <c r="V140" s="1030"/>
      <c r="W140" s="1030"/>
      <c r="X140" s="1030"/>
      <c r="Y140" s="1030"/>
      <c r="Z140" s="1030"/>
      <c r="AA140" s="1030"/>
      <c r="AB140" s="1030"/>
    </row>
    <row r="141" s="50" customFormat="1" spans="1:28">
      <c r="A141" s="1031"/>
      <c r="B141" s="1032"/>
      <c r="C141" s="1032"/>
      <c r="D141" s="1032"/>
      <c r="E141" s="1032"/>
      <c r="F141" s="1032"/>
      <c r="G141" s="1032"/>
      <c r="H141" s="1032"/>
      <c r="I141" s="1033"/>
      <c r="J141" s="1031"/>
      <c r="K141" s="695"/>
      <c r="L141" s="695"/>
      <c r="M141" s="695"/>
      <c r="N141" s="695"/>
      <c r="O141" s="695"/>
      <c r="P141" s="695"/>
      <c r="Q141" s="695"/>
      <c r="R141" s="695"/>
      <c r="S141" s="695"/>
      <c r="T141" s="695"/>
      <c r="U141" s="1033"/>
      <c r="V141" s="1030"/>
      <c r="W141" s="1030"/>
      <c r="X141" s="1030"/>
      <c r="Y141" s="1030"/>
      <c r="Z141" s="1030"/>
      <c r="AA141" s="1030"/>
      <c r="AB141" s="1030"/>
    </row>
    <row r="142" s="50" customFormat="1" spans="1:28">
      <c r="A142" s="1031"/>
      <c r="B142" s="1032"/>
      <c r="C142" s="1032"/>
      <c r="D142" s="1032"/>
      <c r="E142" s="1032"/>
      <c r="F142" s="1032"/>
      <c r="G142" s="1032"/>
      <c r="H142" s="1032"/>
      <c r="I142" s="1033"/>
      <c r="J142" s="1031"/>
      <c r="K142" s="695"/>
      <c r="L142" s="695"/>
      <c r="M142" s="695"/>
      <c r="N142" s="695"/>
      <c r="O142" s="695"/>
      <c r="P142" s="695"/>
      <c r="Q142" s="695"/>
      <c r="R142" s="695"/>
      <c r="S142" s="695"/>
      <c r="T142" s="695"/>
      <c r="U142" s="1033"/>
      <c r="V142" s="1030"/>
      <c r="W142" s="1030"/>
      <c r="X142" s="1030"/>
      <c r="Y142" s="1030"/>
      <c r="Z142" s="1030"/>
      <c r="AA142" s="1030"/>
      <c r="AB142" s="1030"/>
    </row>
    <row r="143" s="50" customFormat="1" spans="1:28">
      <c r="A143" s="1031"/>
      <c r="B143" s="1032"/>
      <c r="C143" s="1032"/>
      <c r="D143" s="1032"/>
      <c r="E143" s="1032"/>
      <c r="F143" s="1032"/>
      <c r="G143" s="1032"/>
      <c r="H143" s="1032"/>
      <c r="I143" s="1033"/>
      <c r="J143" s="1031"/>
      <c r="K143" s="695"/>
      <c r="L143" s="695"/>
      <c r="M143" s="695"/>
      <c r="N143" s="695"/>
      <c r="O143" s="695"/>
      <c r="P143" s="695"/>
      <c r="Q143" s="695"/>
      <c r="R143" s="695"/>
      <c r="S143" s="695"/>
      <c r="T143" s="695"/>
      <c r="U143" s="1033"/>
      <c r="V143" s="1030"/>
      <c r="W143" s="1030"/>
      <c r="X143" s="1030"/>
      <c r="Y143" s="1030"/>
      <c r="Z143" s="1030"/>
      <c r="AA143" s="1030"/>
      <c r="AB143" s="1030"/>
    </row>
    <row r="144" s="50" customFormat="1" spans="1:28">
      <c r="A144" s="1031"/>
      <c r="B144" s="1032"/>
      <c r="C144" s="1032"/>
      <c r="D144" s="1032"/>
      <c r="E144" s="1032"/>
      <c r="F144" s="1032"/>
      <c r="G144" s="1032"/>
      <c r="H144" s="1032"/>
      <c r="I144" s="1033"/>
      <c r="J144" s="1031"/>
      <c r="K144" s="695"/>
      <c r="L144" s="695"/>
      <c r="M144" s="695"/>
      <c r="N144" s="695"/>
      <c r="O144" s="695"/>
      <c r="P144" s="695"/>
      <c r="Q144" s="695"/>
      <c r="R144" s="695"/>
      <c r="S144" s="695"/>
      <c r="T144" s="695"/>
      <c r="U144" s="1033"/>
      <c r="V144" s="1030"/>
      <c r="W144" s="1030"/>
      <c r="X144" s="1030"/>
      <c r="Y144" s="1030"/>
      <c r="Z144" s="1030"/>
      <c r="AA144" s="1030"/>
      <c r="AB144" s="1030"/>
    </row>
    <row r="145" s="50" customFormat="1" spans="1:28">
      <c r="A145" s="1031"/>
      <c r="B145" s="1032"/>
      <c r="C145" s="1032"/>
      <c r="D145" s="1032"/>
      <c r="E145" s="1032"/>
      <c r="F145" s="1032"/>
      <c r="G145" s="1032"/>
      <c r="H145" s="1032"/>
      <c r="I145" s="1033"/>
      <c r="J145" s="1031"/>
      <c r="K145" s="695"/>
      <c r="L145" s="695"/>
      <c r="M145" s="695"/>
      <c r="N145" s="695"/>
      <c r="O145" s="695"/>
      <c r="P145" s="695"/>
      <c r="Q145" s="695"/>
      <c r="R145" s="695"/>
      <c r="S145" s="695"/>
      <c r="T145" s="695"/>
      <c r="U145" s="1033"/>
      <c r="V145" s="1030"/>
      <c r="W145" s="1030"/>
      <c r="X145" s="1030"/>
      <c r="Y145" s="1030"/>
      <c r="Z145" s="1030"/>
      <c r="AA145" s="1030"/>
      <c r="AB145" s="1030"/>
    </row>
    <row r="146" s="50" customFormat="1" spans="1:28">
      <c r="A146" s="1031"/>
      <c r="B146" s="1032"/>
      <c r="C146" s="1032"/>
      <c r="D146" s="1032"/>
      <c r="E146" s="1032"/>
      <c r="F146" s="1032"/>
      <c r="G146" s="1032"/>
      <c r="H146" s="1032"/>
      <c r="I146" s="1033"/>
      <c r="J146" s="1031"/>
      <c r="K146" s="695"/>
      <c r="L146" s="695"/>
      <c r="M146" s="695"/>
      <c r="N146" s="695"/>
      <c r="O146" s="695"/>
      <c r="P146" s="695"/>
      <c r="Q146" s="695"/>
      <c r="R146" s="695"/>
      <c r="S146" s="695"/>
      <c r="T146" s="695"/>
      <c r="U146" s="1033"/>
      <c r="V146" s="1030"/>
      <c r="W146" s="1030"/>
      <c r="X146" s="1030"/>
      <c r="Y146" s="1030"/>
      <c r="Z146" s="1030"/>
      <c r="AA146" s="1030"/>
      <c r="AB146" s="1030"/>
    </row>
    <row r="147" s="50" customFormat="1" spans="1:28">
      <c r="A147" s="1031"/>
      <c r="B147" s="1032"/>
      <c r="C147" s="1032"/>
      <c r="D147" s="1032"/>
      <c r="E147" s="1032"/>
      <c r="F147" s="1032"/>
      <c r="G147" s="1032"/>
      <c r="H147" s="1032"/>
      <c r="I147" s="1033"/>
      <c r="J147" s="1031"/>
      <c r="K147" s="695"/>
      <c r="L147" s="695"/>
      <c r="M147" s="695"/>
      <c r="N147" s="695"/>
      <c r="O147" s="695"/>
      <c r="P147" s="695"/>
      <c r="Q147" s="695"/>
      <c r="R147" s="695"/>
      <c r="S147" s="695"/>
      <c r="T147" s="695"/>
      <c r="U147" s="1033"/>
      <c r="V147" s="1030"/>
      <c r="W147" s="1030"/>
      <c r="X147" s="1030"/>
      <c r="Y147" s="1030"/>
      <c r="Z147" s="1030"/>
      <c r="AA147" s="1030"/>
      <c r="AB147" s="1030"/>
    </row>
    <row r="148" s="50" customFormat="1" spans="1:28">
      <c r="A148" s="1031"/>
      <c r="B148" s="1032"/>
      <c r="C148" s="1032"/>
      <c r="D148" s="1032"/>
      <c r="E148" s="1032"/>
      <c r="F148" s="1032"/>
      <c r="G148" s="1032"/>
      <c r="H148" s="1032"/>
      <c r="I148" s="1033"/>
      <c r="J148" s="1031"/>
      <c r="K148" s="695"/>
      <c r="L148" s="695"/>
      <c r="M148" s="695"/>
      <c r="N148" s="695"/>
      <c r="O148" s="695"/>
      <c r="P148" s="695"/>
      <c r="Q148" s="695"/>
      <c r="R148" s="695"/>
      <c r="S148" s="695"/>
      <c r="T148" s="695"/>
      <c r="U148" s="1033"/>
      <c r="V148" s="1030"/>
      <c r="W148" s="1030"/>
      <c r="X148" s="1030"/>
      <c r="Y148" s="1030"/>
      <c r="Z148" s="1030"/>
      <c r="AA148" s="1030"/>
      <c r="AB148" s="1030"/>
    </row>
    <row r="149" s="50" customFormat="1" spans="1:28">
      <c r="A149" s="1031"/>
      <c r="B149" s="1032"/>
      <c r="C149" s="1032"/>
      <c r="D149" s="1032"/>
      <c r="E149" s="1032"/>
      <c r="F149" s="1032"/>
      <c r="G149" s="1032"/>
      <c r="H149" s="1032"/>
      <c r="I149" s="1033"/>
      <c r="J149" s="1031"/>
      <c r="K149" s="695"/>
      <c r="L149" s="695"/>
      <c r="M149" s="695"/>
      <c r="N149" s="695"/>
      <c r="O149" s="695"/>
      <c r="P149" s="695"/>
      <c r="Q149" s="695"/>
      <c r="R149" s="695"/>
      <c r="S149" s="695"/>
      <c r="T149" s="695"/>
      <c r="U149" s="1033"/>
      <c r="V149" s="1030"/>
      <c r="W149" s="1030"/>
      <c r="X149" s="1030"/>
      <c r="Y149" s="1030"/>
      <c r="Z149" s="1030"/>
      <c r="AA149" s="1030"/>
      <c r="AB149" s="1030"/>
    </row>
    <row r="150" s="50" customFormat="1" spans="1:28">
      <c r="A150" s="1031"/>
      <c r="B150" s="1032"/>
      <c r="C150" s="1032"/>
      <c r="D150" s="1032"/>
      <c r="E150" s="1032"/>
      <c r="F150" s="1032"/>
      <c r="G150" s="1032"/>
      <c r="H150" s="1032"/>
      <c r="I150" s="1033"/>
      <c r="J150" s="1031"/>
      <c r="K150" s="695"/>
      <c r="L150" s="695"/>
      <c r="M150" s="695"/>
      <c r="N150" s="695"/>
      <c r="O150" s="695"/>
      <c r="P150" s="695"/>
      <c r="Q150" s="695"/>
      <c r="R150" s="695"/>
      <c r="S150" s="695"/>
      <c r="T150" s="695"/>
      <c r="U150" s="1033"/>
      <c r="V150" s="1030"/>
      <c r="W150" s="1030"/>
      <c r="X150" s="1030"/>
      <c r="Y150" s="1030"/>
      <c r="Z150" s="1030"/>
      <c r="AA150" s="1030"/>
      <c r="AB150" s="1030"/>
    </row>
    <row r="151" s="50" customFormat="1" spans="1:28">
      <c r="A151" s="1031"/>
      <c r="B151" s="1032"/>
      <c r="C151" s="1032"/>
      <c r="D151" s="1032"/>
      <c r="E151" s="1032"/>
      <c r="F151" s="1032"/>
      <c r="G151" s="1032"/>
      <c r="H151" s="1032"/>
      <c r="I151" s="1033"/>
      <c r="J151" s="1031"/>
      <c r="K151" s="695"/>
      <c r="L151" s="695"/>
      <c r="M151" s="695"/>
      <c r="N151" s="695"/>
      <c r="O151" s="695"/>
      <c r="P151" s="695"/>
      <c r="Q151" s="695"/>
      <c r="R151" s="695"/>
      <c r="S151" s="695"/>
      <c r="T151" s="695"/>
      <c r="U151" s="1033"/>
      <c r="V151" s="1030"/>
      <c r="W151" s="1030"/>
      <c r="X151" s="1030"/>
      <c r="Y151" s="1030"/>
      <c r="Z151" s="1030"/>
      <c r="AA151" s="1030"/>
      <c r="AB151" s="1030"/>
    </row>
    <row r="152" s="50" customFormat="1" ht="14.25" spans="1:28">
      <c r="A152" s="1031"/>
      <c r="B152" s="1032"/>
      <c r="C152" s="1032"/>
      <c r="D152" s="1032"/>
      <c r="E152" s="1032"/>
      <c r="F152" s="1032"/>
      <c r="G152" s="1032"/>
      <c r="H152" s="1032"/>
      <c r="I152" s="1033"/>
      <c r="J152" s="1031"/>
      <c r="K152" s="1032"/>
      <c r="L152" s="1032"/>
      <c r="M152" s="1032"/>
      <c r="N152" s="1032"/>
      <c r="O152" s="1032"/>
      <c r="P152" s="1032"/>
      <c r="Q152" s="1032"/>
      <c r="R152" s="1032"/>
      <c r="S152" s="1032"/>
      <c r="T152" s="1032"/>
      <c r="U152" s="1033"/>
      <c r="V152" s="1030"/>
      <c r="W152" s="1030"/>
      <c r="X152" s="1030"/>
      <c r="Y152" s="1030"/>
      <c r="Z152" s="1030"/>
      <c r="AA152" s="1030"/>
      <c r="AB152" s="1030"/>
    </row>
    <row r="153" spans="1:28">
      <c r="A153" s="1014" t="str">
        <f>_xlfn.DISPIMG("ID_4EFE49717D4743DBA3E4E7C5B24A15D9",1)</f>
        <v>=DISPIMG("ID_4EFE49717D4743DBA3E4E7C5B24A15D9",1)</v>
      </c>
      <c r="B153" s="1015"/>
      <c r="C153" s="1015"/>
      <c r="D153" s="1015"/>
      <c r="E153" s="1015"/>
      <c r="F153" s="1015"/>
      <c r="G153" s="1015"/>
      <c r="H153" s="1015"/>
      <c r="I153" s="1016"/>
      <c r="J153" s="1034" t="str">
        <f>_xlfn.DISPIMG("ID_AAF8D5FBECE746A4A377D11C24D229CA",1)</f>
        <v>=DISPIMG("ID_AAF8D5FBECE746A4A377D11C24D229CA",1)</v>
      </c>
      <c r="K153" s="1015"/>
      <c r="L153" s="1015"/>
      <c r="M153" s="1015"/>
      <c r="N153" s="1015"/>
      <c r="O153" s="1015"/>
      <c r="P153" s="1015"/>
      <c r="Q153" s="1015"/>
      <c r="R153" s="1015"/>
      <c r="S153" s="1015"/>
      <c r="T153" s="1015"/>
      <c r="U153" s="1016"/>
    </row>
    <row r="154" spans="1:28">
      <c r="A154" s="1017"/>
      <c r="B154" s="948"/>
      <c r="C154" s="948"/>
      <c r="D154" s="948"/>
      <c r="E154" s="948"/>
      <c r="F154" s="948"/>
      <c r="G154" s="948"/>
      <c r="H154" s="948"/>
      <c r="I154" s="1018"/>
      <c r="J154" s="1035"/>
      <c r="K154" s="948"/>
      <c r="L154" s="948"/>
      <c r="M154" s="948"/>
      <c r="N154" s="948"/>
      <c r="O154" s="948"/>
      <c r="P154" s="948"/>
      <c r="Q154" s="948"/>
      <c r="R154" s="948"/>
      <c r="S154" s="948"/>
      <c r="T154" s="948"/>
      <c r="U154" s="1018"/>
    </row>
    <row r="155" spans="1:28">
      <c r="A155" s="1017"/>
      <c r="B155" s="948"/>
      <c r="C155" s="948"/>
      <c r="D155" s="948"/>
      <c r="E155" s="948"/>
      <c r="F155" s="948"/>
      <c r="G155" s="948"/>
      <c r="H155" s="948"/>
      <c r="I155" s="1018"/>
      <c r="J155" s="1035"/>
      <c r="K155" s="948"/>
      <c r="L155" s="948"/>
      <c r="M155" s="948"/>
      <c r="N155" s="948"/>
      <c r="O155" s="948"/>
      <c r="P155" s="948"/>
      <c r="Q155" s="948"/>
      <c r="R155" s="948"/>
      <c r="S155" s="948"/>
      <c r="T155" s="948"/>
      <c r="U155" s="1018"/>
    </row>
    <row r="156" spans="1:28">
      <c r="A156" s="1017"/>
      <c r="B156" s="948"/>
      <c r="C156" s="948"/>
      <c r="D156" s="948"/>
      <c r="E156" s="948"/>
      <c r="F156" s="948"/>
      <c r="G156" s="948"/>
      <c r="H156" s="948"/>
      <c r="I156" s="1018"/>
      <c r="J156" s="1035"/>
      <c r="K156" s="948"/>
      <c r="L156" s="948"/>
      <c r="M156" s="948"/>
      <c r="N156" s="948"/>
      <c r="O156" s="948"/>
      <c r="P156" s="948"/>
      <c r="Q156" s="948"/>
      <c r="R156" s="948"/>
      <c r="S156" s="948"/>
      <c r="T156" s="948"/>
      <c r="U156" s="1018"/>
    </row>
    <row r="157" spans="1:28">
      <c r="A157" s="1017"/>
      <c r="B157" s="948"/>
      <c r="C157" s="948"/>
      <c r="D157" s="948"/>
      <c r="E157" s="948"/>
      <c r="F157" s="948"/>
      <c r="G157" s="948"/>
      <c r="H157" s="948"/>
      <c r="I157" s="1018"/>
      <c r="J157" s="1035"/>
      <c r="K157" s="948"/>
      <c r="L157" s="948"/>
      <c r="M157" s="948"/>
      <c r="N157" s="948"/>
      <c r="O157" s="948"/>
      <c r="P157" s="948"/>
      <c r="Q157" s="948"/>
      <c r="R157" s="948"/>
      <c r="S157" s="948"/>
      <c r="T157" s="948"/>
      <c r="U157" s="1018"/>
    </row>
    <row r="158" spans="1:28">
      <c r="A158" s="1017"/>
      <c r="B158" s="948"/>
      <c r="C158" s="948"/>
      <c r="D158" s="948"/>
      <c r="E158" s="948"/>
      <c r="F158" s="948"/>
      <c r="G158" s="948"/>
      <c r="H158" s="948"/>
      <c r="I158" s="1018"/>
      <c r="J158" s="1035"/>
      <c r="K158" s="948"/>
      <c r="L158" s="948"/>
      <c r="M158" s="948"/>
      <c r="N158" s="948"/>
      <c r="O158" s="948"/>
      <c r="P158" s="948"/>
      <c r="Q158" s="948"/>
      <c r="R158" s="948"/>
      <c r="S158" s="948"/>
      <c r="T158" s="948"/>
      <c r="U158" s="1018"/>
    </row>
    <row r="159" spans="1:28">
      <c r="A159" s="1017"/>
      <c r="B159" s="948"/>
      <c r="C159" s="948"/>
      <c r="D159" s="948"/>
      <c r="E159" s="948"/>
      <c r="F159" s="948"/>
      <c r="G159" s="948"/>
      <c r="H159" s="948"/>
      <c r="I159" s="1018"/>
      <c r="J159" s="1035"/>
      <c r="K159" s="948"/>
      <c r="L159" s="948"/>
      <c r="M159" s="948"/>
      <c r="N159" s="948"/>
      <c r="O159" s="948"/>
      <c r="P159" s="948"/>
      <c r="Q159" s="948"/>
      <c r="R159" s="948"/>
      <c r="S159" s="948"/>
      <c r="T159" s="948"/>
      <c r="U159" s="1018"/>
    </row>
    <row r="160" spans="1:28">
      <c r="A160" s="1017"/>
      <c r="B160" s="948"/>
      <c r="C160" s="948"/>
      <c r="D160" s="948"/>
      <c r="E160" s="948"/>
      <c r="F160" s="948"/>
      <c r="G160" s="948"/>
      <c r="H160" s="948"/>
      <c r="I160" s="1018"/>
      <c r="J160" s="1035"/>
      <c r="K160" s="948"/>
      <c r="L160" s="948"/>
      <c r="M160" s="948"/>
      <c r="N160" s="948"/>
      <c r="O160" s="948"/>
      <c r="P160" s="948"/>
      <c r="Q160" s="948"/>
      <c r="R160" s="948"/>
      <c r="S160" s="948"/>
      <c r="T160" s="948"/>
      <c r="U160" s="1018"/>
    </row>
    <row r="161" spans="1:21">
      <c r="A161" s="1017"/>
      <c r="B161" s="948"/>
      <c r="C161" s="948"/>
      <c r="D161" s="948"/>
      <c r="E161" s="948"/>
      <c r="F161" s="948"/>
      <c r="G161" s="948"/>
      <c r="H161" s="948"/>
      <c r="I161" s="1018"/>
      <c r="J161" s="1035"/>
      <c r="K161" s="948"/>
      <c r="L161" s="948"/>
      <c r="M161" s="948"/>
      <c r="N161" s="948"/>
      <c r="O161" s="948"/>
      <c r="P161" s="948"/>
      <c r="Q161" s="948"/>
      <c r="R161" s="948"/>
      <c r="S161" s="948"/>
      <c r="T161" s="948"/>
      <c r="U161" s="1018"/>
    </row>
    <row r="162" spans="1:21">
      <c r="A162" s="1017"/>
      <c r="B162" s="948"/>
      <c r="C162" s="948"/>
      <c r="D162" s="948"/>
      <c r="E162" s="948"/>
      <c r="F162" s="948"/>
      <c r="G162" s="948"/>
      <c r="H162" s="948"/>
      <c r="I162" s="1018"/>
      <c r="J162" s="1035"/>
      <c r="K162" s="948"/>
      <c r="L162" s="948"/>
      <c r="M162" s="948"/>
      <c r="N162" s="948"/>
      <c r="O162" s="948"/>
      <c r="P162" s="948"/>
      <c r="Q162" s="948"/>
      <c r="R162" s="948"/>
      <c r="S162" s="948"/>
      <c r="T162" s="948"/>
      <c r="U162" s="1018"/>
    </row>
    <row r="163" spans="1:21">
      <c r="A163" s="1017"/>
      <c r="B163" s="948"/>
      <c r="C163" s="948"/>
      <c r="D163" s="948"/>
      <c r="E163" s="948"/>
      <c r="F163" s="948"/>
      <c r="G163" s="948"/>
      <c r="H163" s="948"/>
      <c r="I163" s="1018"/>
      <c r="J163" s="1035"/>
      <c r="K163" s="948"/>
      <c r="L163" s="948"/>
      <c r="M163" s="948"/>
      <c r="N163" s="948"/>
      <c r="O163" s="948"/>
      <c r="P163" s="948"/>
      <c r="Q163" s="948"/>
      <c r="R163" s="948"/>
      <c r="S163" s="948"/>
      <c r="T163" s="948"/>
      <c r="U163" s="1018"/>
    </row>
    <row r="164" spans="1:21">
      <c r="A164" s="1017"/>
      <c r="B164" s="948"/>
      <c r="C164" s="948"/>
      <c r="D164" s="948"/>
      <c r="E164" s="948"/>
      <c r="F164" s="948"/>
      <c r="G164" s="948"/>
      <c r="H164" s="948"/>
      <c r="I164" s="1018"/>
      <c r="J164" s="1035"/>
      <c r="K164" s="948"/>
      <c r="L164" s="948"/>
      <c r="M164" s="948"/>
      <c r="N164" s="948"/>
      <c r="O164" s="948"/>
      <c r="P164" s="948"/>
      <c r="Q164" s="948"/>
      <c r="R164" s="948"/>
      <c r="S164" s="948"/>
      <c r="T164" s="948"/>
      <c r="U164" s="1018"/>
    </row>
    <row r="165" spans="1:21">
      <c r="A165" s="1017"/>
      <c r="B165" s="948"/>
      <c r="C165" s="948"/>
      <c r="D165" s="948"/>
      <c r="E165" s="948"/>
      <c r="F165" s="948"/>
      <c r="G165" s="948"/>
      <c r="H165" s="948"/>
      <c r="I165" s="1018"/>
      <c r="J165" s="1035"/>
      <c r="K165" s="948"/>
      <c r="L165" s="948"/>
      <c r="M165" s="948"/>
      <c r="N165" s="948"/>
      <c r="O165" s="948"/>
      <c r="P165" s="948"/>
      <c r="Q165" s="948"/>
      <c r="R165" s="948"/>
      <c r="S165" s="948"/>
      <c r="T165" s="948"/>
      <c r="U165" s="1018"/>
    </row>
    <row r="166" ht="14.25" spans="1:21">
      <c r="A166" s="1021"/>
      <c r="B166" s="1022"/>
      <c r="C166" s="1022"/>
      <c r="D166" s="1022"/>
      <c r="E166" s="1022"/>
      <c r="F166" s="1022"/>
      <c r="G166" s="1022"/>
      <c r="H166" s="1022"/>
      <c r="I166" s="1023"/>
      <c r="J166" s="1036"/>
      <c r="K166" s="1022"/>
      <c r="L166" s="1022"/>
      <c r="M166" s="1022"/>
      <c r="N166" s="1022"/>
      <c r="O166" s="1022"/>
      <c r="P166" s="1022"/>
      <c r="Q166" s="1022"/>
      <c r="R166" s="1022"/>
      <c r="S166" s="1022"/>
      <c r="T166" s="1022"/>
      <c r="U166" s="1023"/>
    </row>
  </sheetData>
  <mergeCells count="32">
    <mergeCell ref="A1:Z1"/>
    <mergeCell ref="A2:U3"/>
    <mergeCell ref="V2:Z21"/>
    <mergeCell ref="A4:P21"/>
    <mergeCell ref="Q4:U21"/>
    <mergeCell ref="AA4:AE21"/>
    <mergeCell ref="AF4:AJ21"/>
    <mergeCell ref="A22:U23"/>
    <mergeCell ref="V22:Z102"/>
    <mergeCell ref="A24:I39"/>
    <mergeCell ref="J24:U39"/>
    <mergeCell ref="A40:I55"/>
    <mergeCell ref="J40:U55"/>
    <mergeCell ref="A56:I71"/>
    <mergeCell ref="J56:U71"/>
    <mergeCell ref="A72:I87"/>
    <mergeCell ref="J72:U87"/>
    <mergeCell ref="A103:U104"/>
    <mergeCell ref="V103:Z137"/>
    <mergeCell ref="A105:I122"/>
    <mergeCell ref="J105:U122"/>
    <mergeCell ref="A123:I137"/>
    <mergeCell ref="J123:U137"/>
    <mergeCell ref="A138:I152"/>
    <mergeCell ref="J138:U152"/>
    <mergeCell ref="V138:AB152"/>
    <mergeCell ref="A88:I102"/>
    <mergeCell ref="J88:U102"/>
    <mergeCell ref="AA2:AE3"/>
    <mergeCell ref="AF2:AJ3"/>
    <mergeCell ref="J153:U166"/>
    <mergeCell ref="A153:I166"/>
  </mergeCells>
  <pageMargins left="0.75" right="0.75" top="1" bottom="1" header="0.5" footer="0.5"/>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41"/>
  <sheetViews>
    <sheetView showGridLines="0" zoomScale="85" zoomScaleNormal="85" workbookViewId="0">
      <selection activeCell="AA6" sqref="AA6"/>
    </sheetView>
  </sheetViews>
  <sheetFormatPr defaultColWidth="9" defaultRowHeight="13.5"/>
  <cols>
    <col min="1" max="12" width="9" style="50"/>
    <col min="13" max="14" width="8.25833333333333" style="50" customWidth="1"/>
    <col min="15" max="24" width="9" style="50"/>
    <col min="25" max="25" width="5.625" style="50" customWidth="1"/>
    <col min="26" max="26" width="47.05" style="50" customWidth="1"/>
    <col min="27" max="16384" width="9" style="50"/>
  </cols>
  <sheetData>
    <row r="1" s="50" customFormat="1" ht="39" customHeight="1" spans="1:26">
      <c r="A1" s="585" t="s">
        <v>23</v>
      </c>
      <c r="B1" s="586"/>
      <c r="C1" s="586"/>
      <c r="D1" s="586"/>
      <c r="E1" s="586"/>
      <c r="F1" s="586"/>
      <c r="G1" s="586"/>
      <c r="H1" s="586"/>
      <c r="I1" s="586"/>
      <c r="J1" s="586"/>
      <c r="K1" s="586"/>
      <c r="L1" s="586"/>
      <c r="M1" s="586"/>
      <c r="N1" s="586"/>
      <c r="O1" s="586"/>
      <c r="P1" s="586"/>
      <c r="Q1" s="586"/>
      <c r="R1" s="586"/>
      <c r="S1" s="586"/>
      <c r="T1" s="586"/>
      <c r="U1" s="586"/>
      <c r="V1" s="586"/>
      <c r="W1" s="586"/>
      <c r="X1" s="944"/>
    </row>
    <row r="2" s="50" customFormat="1" spans="1:26">
      <c r="A2" s="945" t="s">
        <v>24</v>
      </c>
      <c r="B2" s="945"/>
      <c r="C2" s="945"/>
      <c r="D2" s="945"/>
      <c r="E2" s="945"/>
      <c r="F2" s="945"/>
      <c r="G2" s="945"/>
      <c r="H2" s="945"/>
      <c r="I2" s="945"/>
      <c r="J2" s="945"/>
      <c r="K2" s="945"/>
      <c r="L2" s="945"/>
      <c r="M2" s="945" t="s">
        <v>25</v>
      </c>
      <c r="N2" s="945"/>
      <c r="O2" s="945"/>
      <c r="P2" s="945"/>
      <c r="Q2" s="945"/>
      <c r="R2" s="945"/>
      <c r="S2" s="945"/>
      <c r="T2" s="945"/>
      <c r="U2" s="945"/>
      <c r="V2" s="945"/>
      <c r="W2" s="945"/>
      <c r="X2" s="945"/>
      <c r="Y2" s="946" t="s">
        <v>26</v>
      </c>
      <c r="Z2" s="947"/>
    </row>
    <row r="3" s="50" customFormat="1" spans="1:26">
      <c r="A3" s="945"/>
      <c r="B3" s="945"/>
      <c r="C3" s="945"/>
      <c r="D3" s="945"/>
      <c r="E3" s="945"/>
      <c r="F3" s="945"/>
      <c r="G3" s="945"/>
      <c r="H3" s="945"/>
      <c r="I3" s="945"/>
      <c r="J3" s="945"/>
      <c r="K3" s="945"/>
      <c r="L3" s="945"/>
      <c r="M3" s="945"/>
      <c r="N3" s="945"/>
      <c r="O3" s="945"/>
      <c r="P3" s="945"/>
      <c r="Q3" s="945"/>
      <c r="R3" s="945"/>
      <c r="S3" s="945"/>
      <c r="T3" s="945"/>
      <c r="U3" s="945"/>
      <c r="V3" s="945"/>
      <c r="W3" s="945"/>
      <c r="X3" s="945"/>
      <c r="Y3" s="947"/>
      <c r="Z3" s="947"/>
    </row>
    <row r="4" s="50" customFormat="1" spans="1:26">
      <c r="A4" s="948" t="str">
        <f>_xlfn.DISPIMG("ID_F9619A92072A4C75993532A41AEA5F6E",1)</f>
        <v>=DISPIMG("ID_F9619A92072A4C75993532A41AEA5F6E",1)</v>
      </c>
      <c r="B4" s="948"/>
      <c r="C4" s="948"/>
      <c r="D4" s="948"/>
      <c r="E4" s="948"/>
      <c r="F4" s="948"/>
      <c r="G4" s="948"/>
      <c r="H4" s="948"/>
      <c r="I4" s="948"/>
      <c r="J4" s="948"/>
      <c r="K4" s="948"/>
      <c r="L4" s="948"/>
      <c r="M4" s="948" t="str">
        <f>_xlfn.DISPIMG("ID_C0AD6A1E4D34458D8D09C2E5FA55055F",1)</f>
        <v>=DISPIMG("ID_C0AD6A1E4D34458D8D09C2E5FA55055F",1)</v>
      </c>
      <c r="N4" s="948"/>
      <c r="O4" s="948"/>
      <c r="P4" s="948"/>
      <c r="Q4" s="948"/>
      <c r="R4" s="948"/>
      <c r="S4" s="948"/>
      <c r="T4" s="948"/>
      <c r="U4" s="948"/>
      <c r="V4" s="948"/>
      <c r="W4" s="948"/>
      <c r="X4" s="948"/>
      <c r="Y4" s="947"/>
      <c r="Z4" s="947"/>
    </row>
    <row r="5" s="50" customFormat="1" spans="1:26">
      <c r="A5" s="948"/>
      <c r="B5" s="948"/>
      <c r="C5" s="948"/>
      <c r="D5" s="948"/>
      <c r="E5" s="948"/>
      <c r="F5" s="948"/>
      <c r="G5" s="948"/>
      <c r="H5" s="948"/>
      <c r="I5" s="948"/>
      <c r="J5" s="948"/>
      <c r="K5" s="948"/>
      <c r="L5" s="948"/>
      <c r="M5" s="948"/>
      <c r="N5" s="948"/>
      <c r="O5" s="948"/>
      <c r="P5" s="948"/>
      <c r="Q5" s="948"/>
      <c r="R5" s="948"/>
      <c r="S5" s="948"/>
      <c r="T5" s="948"/>
      <c r="U5" s="948"/>
      <c r="V5" s="948"/>
      <c r="W5" s="948"/>
      <c r="X5" s="948"/>
      <c r="Y5" s="947"/>
      <c r="Z5" s="947"/>
    </row>
    <row r="6" s="50" customFormat="1" spans="1:26">
      <c r="A6" s="948"/>
      <c r="B6" s="948"/>
      <c r="C6" s="948"/>
      <c r="D6" s="948"/>
      <c r="E6" s="948"/>
      <c r="F6" s="948"/>
      <c r="G6" s="948"/>
      <c r="H6" s="948"/>
      <c r="I6" s="948"/>
      <c r="J6" s="948"/>
      <c r="K6" s="948"/>
      <c r="L6" s="948"/>
      <c r="M6" s="948"/>
      <c r="N6" s="948"/>
      <c r="O6" s="948"/>
      <c r="P6" s="948"/>
      <c r="Q6" s="948"/>
      <c r="R6" s="948"/>
      <c r="S6" s="948"/>
      <c r="T6" s="948"/>
      <c r="U6" s="948"/>
      <c r="V6" s="948"/>
      <c r="W6" s="948"/>
      <c r="X6" s="948"/>
      <c r="Y6" s="947"/>
      <c r="Z6" s="947"/>
    </row>
    <row r="7" s="50" customFormat="1" spans="1:26">
      <c r="A7" s="948"/>
      <c r="B7" s="948"/>
      <c r="C7" s="948"/>
      <c r="D7" s="948"/>
      <c r="E7" s="948"/>
      <c r="F7" s="948"/>
      <c r="G7" s="948"/>
      <c r="H7" s="948"/>
      <c r="I7" s="948"/>
      <c r="J7" s="948"/>
      <c r="K7" s="948"/>
      <c r="L7" s="948"/>
      <c r="M7" s="948"/>
      <c r="N7" s="948"/>
      <c r="O7" s="948"/>
      <c r="P7" s="948"/>
      <c r="Q7" s="948"/>
      <c r="R7" s="948"/>
      <c r="S7" s="948"/>
      <c r="T7" s="948"/>
      <c r="U7" s="948"/>
      <c r="V7" s="948"/>
      <c r="W7" s="948"/>
      <c r="X7" s="948"/>
      <c r="Y7" s="947"/>
      <c r="Z7" s="947"/>
    </row>
    <row r="8" s="50" customFormat="1" spans="1:26">
      <c r="A8" s="948"/>
      <c r="B8" s="948"/>
      <c r="C8" s="948"/>
      <c r="D8" s="948"/>
      <c r="E8" s="948"/>
      <c r="F8" s="948"/>
      <c r="G8" s="948"/>
      <c r="H8" s="948"/>
      <c r="I8" s="948"/>
      <c r="J8" s="948"/>
      <c r="K8" s="948"/>
      <c r="L8" s="948"/>
      <c r="M8" s="948"/>
      <c r="N8" s="948"/>
      <c r="O8" s="948"/>
      <c r="P8" s="948"/>
      <c r="Q8" s="948"/>
      <c r="R8" s="948"/>
      <c r="S8" s="948"/>
      <c r="T8" s="948"/>
      <c r="U8" s="948"/>
      <c r="V8" s="948"/>
      <c r="W8" s="948"/>
      <c r="X8" s="948"/>
      <c r="Y8" s="947"/>
      <c r="Z8" s="947"/>
    </row>
    <row r="9" s="50" customFormat="1" spans="1:26">
      <c r="A9" s="948"/>
      <c r="B9" s="948"/>
      <c r="C9" s="948"/>
      <c r="D9" s="948"/>
      <c r="E9" s="948"/>
      <c r="F9" s="948"/>
      <c r="G9" s="948"/>
      <c r="H9" s="948"/>
      <c r="I9" s="948"/>
      <c r="J9" s="948"/>
      <c r="K9" s="948"/>
      <c r="L9" s="948"/>
      <c r="M9" s="948"/>
      <c r="N9" s="948"/>
      <c r="O9" s="948"/>
      <c r="P9" s="948"/>
      <c r="Q9" s="948"/>
      <c r="R9" s="948"/>
      <c r="S9" s="948"/>
      <c r="T9" s="948"/>
      <c r="U9" s="948"/>
      <c r="V9" s="948"/>
      <c r="W9" s="948"/>
      <c r="X9" s="948"/>
      <c r="Y9" s="947"/>
      <c r="Z9" s="947"/>
    </row>
    <row r="10" s="50" customFormat="1" spans="1:26">
      <c r="A10" s="948"/>
      <c r="B10" s="948"/>
      <c r="C10" s="948"/>
      <c r="D10" s="948"/>
      <c r="E10" s="948"/>
      <c r="F10" s="948"/>
      <c r="G10" s="948"/>
      <c r="H10" s="948"/>
      <c r="I10" s="948"/>
      <c r="J10" s="948"/>
      <c r="K10" s="948"/>
      <c r="L10" s="948"/>
      <c r="M10" s="948"/>
      <c r="N10" s="948"/>
      <c r="O10" s="948"/>
      <c r="P10" s="948"/>
      <c r="Q10" s="948"/>
      <c r="R10" s="948"/>
      <c r="S10" s="948"/>
      <c r="T10" s="948"/>
      <c r="U10" s="948"/>
      <c r="V10" s="948"/>
      <c r="W10" s="948"/>
      <c r="X10" s="948"/>
      <c r="Y10" s="947"/>
      <c r="Z10" s="947"/>
    </row>
    <row r="11" s="50" customFormat="1" spans="1:26">
      <c r="A11" s="948"/>
      <c r="B11" s="948"/>
      <c r="C11" s="948"/>
      <c r="D11" s="948"/>
      <c r="E11" s="948"/>
      <c r="F11" s="948"/>
      <c r="G11" s="948"/>
      <c r="H11" s="948"/>
      <c r="I11" s="948"/>
      <c r="J11" s="948"/>
      <c r="K11" s="948"/>
      <c r="L11" s="948"/>
      <c r="M11" s="948"/>
      <c r="N11" s="948"/>
      <c r="O11" s="948"/>
      <c r="P11" s="948"/>
      <c r="Q11" s="948"/>
      <c r="R11" s="948"/>
      <c r="S11" s="948"/>
      <c r="T11" s="948"/>
      <c r="U11" s="948"/>
      <c r="V11" s="948"/>
      <c r="W11" s="948"/>
      <c r="X11" s="948"/>
      <c r="Y11" s="947"/>
      <c r="Z11" s="947"/>
    </row>
    <row r="12" s="50" customFormat="1" spans="1:26">
      <c r="A12" s="948"/>
      <c r="B12" s="948"/>
      <c r="C12" s="948"/>
      <c r="D12" s="948"/>
      <c r="E12" s="948"/>
      <c r="F12" s="948"/>
      <c r="G12" s="948"/>
      <c r="H12" s="948"/>
      <c r="I12" s="948"/>
      <c r="J12" s="948"/>
      <c r="K12" s="948"/>
      <c r="L12" s="948"/>
      <c r="M12" s="948"/>
      <c r="N12" s="948"/>
      <c r="O12" s="948"/>
      <c r="P12" s="948"/>
      <c r="Q12" s="948"/>
      <c r="R12" s="948"/>
      <c r="S12" s="948"/>
      <c r="T12" s="948"/>
      <c r="U12" s="948"/>
      <c r="V12" s="948"/>
      <c r="W12" s="948"/>
      <c r="X12" s="948"/>
      <c r="Y12" s="947"/>
      <c r="Z12" s="947"/>
    </row>
    <row r="13" s="50" customFormat="1" spans="1:26">
      <c r="A13" s="948"/>
      <c r="B13" s="948"/>
      <c r="C13" s="948"/>
      <c r="D13" s="948"/>
      <c r="E13" s="948"/>
      <c r="F13" s="948"/>
      <c r="G13" s="948"/>
      <c r="H13" s="948"/>
      <c r="I13" s="948"/>
      <c r="J13" s="948"/>
      <c r="K13" s="948"/>
      <c r="L13" s="948"/>
      <c r="M13" s="948"/>
      <c r="N13" s="948"/>
      <c r="O13" s="948"/>
      <c r="P13" s="948"/>
      <c r="Q13" s="948"/>
      <c r="R13" s="948"/>
      <c r="S13" s="948"/>
      <c r="T13" s="948"/>
      <c r="U13" s="948"/>
      <c r="V13" s="948"/>
      <c r="W13" s="948"/>
      <c r="X13" s="948"/>
      <c r="Y13" s="947"/>
      <c r="Z13" s="947"/>
    </row>
    <row r="14" s="50" customFormat="1" spans="1:26">
      <c r="A14" s="948"/>
      <c r="B14" s="948"/>
      <c r="C14" s="948"/>
      <c r="D14" s="948"/>
      <c r="E14" s="948"/>
      <c r="F14" s="948"/>
      <c r="G14" s="948"/>
      <c r="H14" s="948"/>
      <c r="I14" s="948"/>
      <c r="J14" s="948"/>
      <c r="K14" s="948"/>
      <c r="L14" s="948"/>
      <c r="M14" s="948"/>
      <c r="N14" s="948"/>
      <c r="O14" s="948"/>
      <c r="P14" s="948"/>
      <c r="Q14" s="948"/>
      <c r="R14" s="948"/>
      <c r="S14" s="948"/>
      <c r="T14" s="948"/>
      <c r="U14" s="948"/>
      <c r="V14" s="948"/>
      <c r="W14" s="948"/>
      <c r="X14" s="948"/>
      <c r="Y14" s="947"/>
      <c r="Z14" s="947"/>
    </row>
    <row r="15" s="50" customFormat="1" spans="1:26">
      <c r="A15" s="948"/>
      <c r="B15" s="948"/>
      <c r="C15" s="948"/>
      <c r="D15" s="948"/>
      <c r="E15" s="948"/>
      <c r="F15" s="948"/>
      <c r="G15" s="948"/>
      <c r="H15" s="948"/>
      <c r="I15" s="948"/>
      <c r="J15" s="948"/>
      <c r="K15" s="948"/>
      <c r="L15" s="948"/>
      <c r="M15" s="948"/>
      <c r="N15" s="948"/>
      <c r="O15" s="948"/>
      <c r="P15" s="948"/>
      <c r="Q15" s="948"/>
      <c r="R15" s="948"/>
      <c r="S15" s="948"/>
      <c r="T15" s="948"/>
      <c r="U15" s="948"/>
      <c r="V15" s="948"/>
      <c r="W15" s="948"/>
      <c r="X15" s="948"/>
      <c r="Y15" s="947"/>
      <c r="Z15" s="947"/>
    </row>
    <row r="16" s="50" customFormat="1" spans="1:26">
      <c r="A16" s="948"/>
      <c r="B16" s="948"/>
      <c r="C16" s="948"/>
      <c r="D16" s="948"/>
      <c r="E16" s="948"/>
      <c r="F16" s="948"/>
      <c r="G16" s="948"/>
      <c r="H16" s="948"/>
      <c r="I16" s="948"/>
      <c r="J16" s="948"/>
      <c r="K16" s="948"/>
      <c r="L16" s="948"/>
      <c r="M16" s="948"/>
      <c r="N16" s="948"/>
      <c r="O16" s="948"/>
      <c r="P16" s="948"/>
      <c r="Q16" s="948"/>
      <c r="R16" s="948"/>
      <c r="S16" s="948"/>
      <c r="T16" s="948"/>
      <c r="U16" s="948"/>
      <c r="V16" s="948"/>
      <c r="W16" s="948"/>
      <c r="X16" s="948"/>
      <c r="Y16" s="947"/>
      <c r="Z16" s="947"/>
    </row>
    <row r="17" s="50" customFormat="1" spans="1:30">
      <c r="A17" s="948"/>
      <c r="B17" s="948"/>
      <c r="C17" s="948"/>
      <c r="D17" s="948"/>
      <c r="E17" s="948"/>
      <c r="F17" s="948"/>
      <c r="G17" s="948"/>
      <c r="H17" s="948"/>
      <c r="I17" s="948"/>
      <c r="J17" s="948"/>
      <c r="K17" s="948"/>
      <c r="L17" s="948"/>
      <c r="M17" s="948"/>
      <c r="N17" s="948"/>
      <c r="O17" s="948"/>
      <c r="P17" s="948"/>
      <c r="Q17" s="948"/>
      <c r="R17" s="948"/>
      <c r="S17" s="948"/>
      <c r="T17" s="948"/>
      <c r="U17" s="948"/>
      <c r="V17" s="948"/>
      <c r="W17" s="948"/>
      <c r="X17" s="948"/>
      <c r="Y17" s="947"/>
      <c r="Z17" s="947"/>
    </row>
    <row r="18" s="50" customFormat="1" spans="1:30">
      <c r="A18" s="948"/>
      <c r="B18" s="948"/>
      <c r="C18" s="948"/>
      <c r="D18" s="948"/>
      <c r="E18" s="948"/>
      <c r="F18" s="948"/>
      <c r="G18" s="948"/>
      <c r="H18" s="948"/>
      <c r="I18" s="948"/>
      <c r="J18" s="948"/>
      <c r="K18" s="948"/>
      <c r="L18" s="948"/>
      <c r="M18" s="948"/>
      <c r="N18" s="948"/>
      <c r="O18" s="948"/>
      <c r="P18" s="948"/>
      <c r="Q18" s="948"/>
      <c r="R18" s="948"/>
      <c r="S18" s="948"/>
      <c r="T18" s="948"/>
      <c r="U18" s="948"/>
      <c r="V18" s="948"/>
      <c r="W18" s="948"/>
      <c r="X18" s="948"/>
      <c r="Y18" s="947"/>
      <c r="Z18" s="947"/>
    </row>
    <row r="19" s="50" customFormat="1" spans="1:30">
      <c r="A19" s="948"/>
      <c r="B19" s="948"/>
      <c r="C19" s="948"/>
      <c r="D19" s="948"/>
      <c r="E19" s="948"/>
      <c r="F19" s="948"/>
      <c r="G19" s="948"/>
      <c r="H19" s="948"/>
      <c r="I19" s="948"/>
      <c r="J19" s="948"/>
      <c r="K19" s="948"/>
      <c r="L19" s="948"/>
      <c r="M19" s="948"/>
      <c r="N19" s="948"/>
      <c r="O19" s="948"/>
      <c r="P19" s="948"/>
      <c r="Q19" s="948"/>
      <c r="R19" s="948"/>
      <c r="S19" s="948"/>
      <c r="T19" s="948"/>
      <c r="U19" s="948"/>
      <c r="V19" s="948"/>
      <c r="W19" s="948"/>
      <c r="X19" s="948"/>
      <c r="Y19" s="947"/>
      <c r="Z19" s="947"/>
    </row>
    <row r="20" s="50" customFormat="1" spans="1:30">
      <c r="A20" s="948"/>
      <c r="B20" s="948"/>
      <c r="C20" s="948"/>
      <c r="D20" s="948"/>
      <c r="E20" s="948"/>
      <c r="F20" s="948"/>
      <c r="G20" s="948"/>
      <c r="H20" s="948"/>
      <c r="I20" s="948"/>
      <c r="J20" s="948"/>
      <c r="K20" s="948"/>
      <c r="L20" s="948"/>
      <c r="M20" s="948"/>
      <c r="N20" s="948"/>
      <c r="O20" s="948"/>
      <c r="P20" s="948"/>
      <c r="Q20" s="948"/>
      <c r="R20" s="948"/>
      <c r="S20" s="948"/>
      <c r="T20" s="948"/>
      <c r="U20" s="948"/>
      <c r="V20" s="948"/>
      <c r="W20" s="948"/>
      <c r="X20" s="948"/>
    </row>
    <row r="21" s="50" customFormat="1" spans="1:30">
      <c r="A21" s="948"/>
      <c r="B21" s="948"/>
      <c r="C21" s="948"/>
      <c r="D21" s="948"/>
      <c r="E21" s="948"/>
      <c r="F21" s="948"/>
      <c r="G21" s="948"/>
      <c r="H21" s="948"/>
      <c r="I21" s="948"/>
      <c r="J21" s="948"/>
      <c r="K21" s="948"/>
      <c r="L21" s="948"/>
      <c r="M21" s="948"/>
      <c r="N21" s="948"/>
      <c r="O21" s="948"/>
      <c r="P21" s="948"/>
      <c r="Q21" s="948"/>
      <c r="R21" s="948"/>
      <c r="S21" s="948"/>
      <c r="T21" s="948"/>
      <c r="U21" s="948"/>
      <c r="V21" s="948"/>
      <c r="W21" s="948"/>
      <c r="X21" s="948"/>
    </row>
    <row r="22" s="50" customFormat="1" spans="1:30">
      <c r="A22" s="945" t="s">
        <v>27</v>
      </c>
      <c r="B22" s="945"/>
      <c r="C22" s="945"/>
      <c r="D22" s="945"/>
      <c r="E22" s="945"/>
      <c r="F22" s="945"/>
      <c r="G22" s="945"/>
      <c r="H22" s="945"/>
      <c r="I22" s="945"/>
      <c r="J22" s="945"/>
      <c r="K22" s="945"/>
      <c r="L22" s="945"/>
      <c r="M22" s="945" t="s">
        <v>28</v>
      </c>
      <c r="N22" s="945"/>
      <c r="O22" s="945"/>
      <c r="P22" s="945"/>
      <c r="Q22" s="945"/>
      <c r="R22" s="945"/>
      <c r="S22" s="945"/>
      <c r="T22" s="945"/>
      <c r="U22" s="945"/>
      <c r="V22" s="945"/>
      <c r="W22" s="945"/>
      <c r="X22" s="945"/>
      <c r="Y22" s="949"/>
      <c r="Z22" s="949"/>
      <c r="AA22" s="949"/>
      <c r="AB22" s="949"/>
      <c r="AC22" s="949"/>
      <c r="AD22" s="949"/>
    </row>
    <row r="23" s="50" customFormat="1" spans="1:30">
      <c r="A23" s="945"/>
      <c r="B23" s="945"/>
      <c r="C23" s="945"/>
      <c r="D23" s="945"/>
      <c r="E23" s="945"/>
      <c r="F23" s="945"/>
      <c r="G23" s="945"/>
      <c r="H23" s="945"/>
      <c r="I23" s="945"/>
      <c r="J23" s="945"/>
      <c r="K23" s="945"/>
      <c r="L23" s="945"/>
      <c r="M23" s="945"/>
      <c r="N23" s="945"/>
      <c r="O23" s="945"/>
      <c r="P23" s="945"/>
      <c r="Q23" s="945"/>
      <c r="R23" s="945"/>
      <c r="S23" s="945"/>
      <c r="T23" s="945"/>
      <c r="U23" s="945"/>
      <c r="V23" s="945"/>
      <c r="W23" s="945"/>
      <c r="X23" s="945"/>
      <c r="Y23" s="949"/>
      <c r="Z23" s="949"/>
      <c r="AA23" s="949"/>
      <c r="AB23" s="949"/>
      <c r="AC23" s="949"/>
      <c r="AD23" s="949"/>
    </row>
    <row r="24" s="50" customFormat="1" spans="1:30">
      <c r="A24" s="948" t="str">
        <f>_xlfn.DISPIMG("ID_5324FA46628E444EA879631831BC4079",1)</f>
        <v>=DISPIMG("ID_5324FA46628E444EA879631831BC4079",1)</v>
      </c>
      <c r="B24" s="948"/>
      <c r="C24" s="948"/>
      <c r="D24" s="948"/>
      <c r="E24" s="948"/>
      <c r="F24" s="948"/>
      <c r="G24" s="948"/>
      <c r="H24" s="948"/>
      <c r="I24" s="948"/>
      <c r="J24" s="948"/>
      <c r="K24" s="948"/>
      <c r="L24" s="948"/>
      <c r="M24" s="950" t="s">
        <v>29</v>
      </c>
      <c r="N24" s="951"/>
      <c r="O24" s="951"/>
      <c r="P24" s="951"/>
      <c r="Q24" s="951"/>
      <c r="R24" s="951"/>
      <c r="S24" s="951"/>
      <c r="T24" s="951"/>
      <c r="U24" s="951"/>
      <c r="V24" s="951"/>
      <c r="W24" s="951"/>
      <c r="X24" s="952"/>
      <c r="Y24" s="949"/>
      <c r="Z24" s="949"/>
      <c r="AA24" s="949"/>
      <c r="AB24" s="949"/>
      <c r="AC24" s="949"/>
      <c r="AD24" s="949"/>
    </row>
    <row r="25" s="50" customFormat="1" spans="1:30">
      <c r="A25" s="948"/>
      <c r="B25" s="948"/>
      <c r="C25" s="948"/>
      <c r="D25" s="948"/>
      <c r="E25" s="948"/>
      <c r="F25" s="948"/>
      <c r="G25" s="948"/>
      <c r="H25" s="948"/>
      <c r="I25" s="948"/>
      <c r="J25" s="948"/>
      <c r="K25" s="948"/>
      <c r="L25" s="948"/>
      <c r="M25" s="953"/>
      <c r="N25" s="954"/>
      <c r="O25" s="954"/>
      <c r="P25" s="954"/>
      <c r="Q25" s="954"/>
      <c r="R25" s="954"/>
      <c r="S25" s="954"/>
      <c r="T25" s="954"/>
      <c r="U25" s="954"/>
      <c r="V25" s="954"/>
      <c r="W25" s="954"/>
      <c r="X25" s="955"/>
      <c r="Y25" s="949"/>
      <c r="Z25" s="949"/>
      <c r="AA25" s="949"/>
      <c r="AB25" s="949"/>
      <c r="AC25" s="949"/>
      <c r="AD25" s="949"/>
    </row>
    <row r="26" s="50" customFormat="1" spans="1:30">
      <c r="A26" s="948"/>
      <c r="B26" s="948"/>
      <c r="C26" s="948"/>
      <c r="D26" s="948"/>
      <c r="E26" s="948"/>
      <c r="F26" s="948"/>
      <c r="G26" s="948"/>
      <c r="H26" s="948"/>
      <c r="I26" s="948"/>
      <c r="J26" s="948"/>
      <c r="K26" s="948"/>
      <c r="L26" s="948"/>
      <c r="M26" s="953"/>
      <c r="N26" s="954"/>
      <c r="O26" s="954"/>
      <c r="P26" s="954"/>
      <c r="Q26" s="954"/>
      <c r="R26" s="954"/>
      <c r="S26" s="954"/>
      <c r="T26" s="954"/>
      <c r="U26" s="954"/>
      <c r="V26" s="954"/>
      <c r="W26" s="954"/>
      <c r="X26" s="955"/>
      <c r="Y26" s="949"/>
      <c r="Z26" s="949"/>
      <c r="AA26" s="949"/>
      <c r="AB26" s="949"/>
      <c r="AC26" s="949"/>
      <c r="AD26" s="949"/>
    </row>
    <row r="27" s="50" customFormat="1" spans="1:30">
      <c r="A27" s="948"/>
      <c r="B27" s="948"/>
      <c r="C27" s="948"/>
      <c r="D27" s="948"/>
      <c r="E27" s="948"/>
      <c r="F27" s="948"/>
      <c r="G27" s="948"/>
      <c r="H27" s="948"/>
      <c r="I27" s="948"/>
      <c r="J27" s="948"/>
      <c r="K27" s="948"/>
      <c r="L27" s="948"/>
      <c r="M27" s="953"/>
      <c r="N27" s="954"/>
      <c r="O27" s="954"/>
      <c r="P27" s="954"/>
      <c r="Q27" s="954"/>
      <c r="R27" s="954"/>
      <c r="S27" s="954"/>
      <c r="T27" s="954"/>
      <c r="U27" s="954"/>
      <c r="V27" s="954"/>
      <c r="W27" s="954"/>
      <c r="X27" s="955"/>
      <c r="Y27" s="949"/>
      <c r="Z27" s="949"/>
      <c r="AA27" s="949"/>
      <c r="AB27" s="949"/>
      <c r="AC27" s="949"/>
      <c r="AD27" s="949"/>
    </row>
    <row r="28" s="50" customFormat="1" spans="1:30">
      <c r="A28" s="948"/>
      <c r="B28" s="948"/>
      <c r="C28" s="948"/>
      <c r="D28" s="948"/>
      <c r="E28" s="948"/>
      <c r="F28" s="948"/>
      <c r="G28" s="948"/>
      <c r="H28" s="948"/>
      <c r="I28" s="948"/>
      <c r="J28" s="948"/>
      <c r="K28" s="948"/>
      <c r="L28" s="948"/>
      <c r="M28" s="953"/>
      <c r="N28" s="954"/>
      <c r="O28" s="954"/>
      <c r="P28" s="954"/>
      <c r="Q28" s="954"/>
      <c r="R28" s="954"/>
      <c r="S28" s="954"/>
      <c r="T28" s="954"/>
      <c r="U28" s="954"/>
      <c r="V28" s="954"/>
      <c r="W28" s="954"/>
      <c r="X28" s="955"/>
      <c r="Y28" s="956"/>
      <c r="Z28" s="956"/>
      <c r="AA28" s="956"/>
      <c r="AB28" s="956"/>
      <c r="AC28" s="956"/>
      <c r="AD28" s="956"/>
    </row>
    <row r="29" s="50" customFormat="1" spans="1:30">
      <c r="A29" s="948"/>
      <c r="B29" s="948"/>
      <c r="C29" s="948"/>
      <c r="D29" s="948"/>
      <c r="E29" s="948"/>
      <c r="F29" s="948"/>
      <c r="G29" s="948"/>
      <c r="H29" s="948"/>
      <c r="I29" s="948"/>
      <c r="J29" s="948"/>
      <c r="K29" s="948"/>
      <c r="L29" s="948"/>
      <c r="M29" s="953"/>
      <c r="N29" s="954"/>
      <c r="O29" s="954"/>
      <c r="P29" s="954"/>
      <c r="Q29" s="954"/>
      <c r="R29" s="954"/>
      <c r="S29" s="954"/>
      <c r="T29" s="954"/>
      <c r="U29" s="954"/>
      <c r="V29" s="954"/>
      <c r="W29" s="954"/>
      <c r="X29" s="955"/>
      <c r="Y29" s="956"/>
      <c r="Z29" s="956"/>
      <c r="AA29" s="956"/>
      <c r="AB29" s="956"/>
      <c r="AC29" s="956"/>
      <c r="AD29" s="956"/>
    </row>
    <row r="30" s="50" customFormat="1" spans="1:30">
      <c r="A30" s="948"/>
      <c r="B30" s="948"/>
      <c r="C30" s="948"/>
      <c r="D30" s="948"/>
      <c r="E30" s="948"/>
      <c r="F30" s="948"/>
      <c r="G30" s="948"/>
      <c r="H30" s="948"/>
      <c r="I30" s="948"/>
      <c r="J30" s="948"/>
      <c r="K30" s="948"/>
      <c r="L30" s="948"/>
      <c r="M30" s="953"/>
      <c r="N30" s="954"/>
      <c r="O30" s="954"/>
      <c r="P30" s="954"/>
      <c r="Q30" s="954"/>
      <c r="R30" s="954"/>
      <c r="S30" s="954"/>
      <c r="T30" s="954"/>
      <c r="U30" s="954"/>
      <c r="V30" s="954"/>
      <c r="W30" s="954"/>
      <c r="X30" s="955"/>
      <c r="Y30" s="949"/>
      <c r="Z30" s="949"/>
      <c r="AA30" s="949"/>
      <c r="AB30" s="949"/>
      <c r="AC30" s="949"/>
      <c r="AD30" s="949"/>
    </row>
    <row r="31" s="50" customFormat="1" spans="1:30">
      <c r="A31" s="948"/>
      <c r="B31" s="948"/>
      <c r="C31" s="948"/>
      <c r="D31" s="948"/>
      <c r="E31" s="948"/>
      <c r="F31" s="948"/>
      <c r="G31" s="948"/>
      <c r="H31" s="948"/>
      <c r="I31" s="948"/>
      <c r="J31" s="948"/>
      <c r="K31" s="948"/>
      <c r="L31" s="948"/>
      <c r="M31" s="953"/>
      <c r="N31" s="954"/>
      <c r="O31" s="954"/>
      <c r="P31" s="954"/>
      <c r="Q31" s="954"/>
      <c r="R31" s="954"/>
      <c r="S31" s="954"/>
      <c r="T31" s="954"/>
      <c r="U31" s="954"/>
      <c r="V31" s="954"/>
      <c r="W31" s="954"/>
      <c r="X31" s="955"/>
      <c r="Y31" s="949"/>
      <c r="Z31" s="949"/>
      <c r="AA31" s="949"/>
      <c r="AB31" s="949"/>
      <c r="AC31" s="949"/>
      <c r="AD31" s="949"/>
    </row>
    <row r="32" s="50" customFormat="1" spans="1:30">
      <c r="A32" s="948"/>
      <c r="B32" s="948"/>
      <c r="C32" s="948"/>
      <c r="D32" s="948"/>
      <c r="E32" s="948"/>
      <c r="F32" s="948"/>
      <c r="G32" s="948"/>
      <c r="H32" s="948"/>
      <c r="I32" s="948"/>
      <c r="J32" s="948"/>
      <c r="K32" s="948"/>
      <c r="L32" s="948"/>
      <c r="M32" s="953"/>
      <c r="N32" s="954"/>
      <c r="O32" s="954"/>
      <c r="P32" s="954"/>
      <c r="Q32" s="954"/>
      <c r="R32" s="954"/>
      <c r="S32" s="954"/>
      <c r="T32" s="954"/>
      <c r="U32" s="954"/>
      <c r="V32" s="954"/>
      <c r="W32" s="954"/>
      <c r="X32" s="955"/>
      <c r="Y32" s="949"/>
      <c r="Z32" s="949"/>
      <c r="AA32" s="949"/>
      <c r="AB32" s="949"/>
      <c r="AC32" s="949"/>
      <c r="AD32" s="949"/>
    </row>
    <row r="33" s="50" customFormat="1" spans="1:30">
      <c r="A33" s="948"/>
      <c r="B33" s="948"/>
      <c r="C33" s="948"/>
      <c r="D33" s="948"/>
      <c r="E33" s="948"/>
      <c r="F33" s="948"/>
      <c r="G33" s="948"/>
      <c r="H33" s="948"/>
      <c r="I33" s="948"/>
      <c r="J33" s="948"/>
      <c r="K33" s="948"/>
      <c r="L33" s="948"/>
      <c r="M33" s="953"/>
      <c r="N33" s="954"/>
      <c r="O33" s="954"/>
      <c r="P33" s="954"/>
      <c r="Q33" s="954"/>
      <c r="R33" s="954"/>
      <c r="S33" s="954"/>
      <c r="T33" s="954"/>
      <c r="U33" s="954"/>
      <c r="V33" s="954"/>
      <c r="W33" s="954"/>
      <c r="X33" s="955"/>
      <c r="Y33" s="949"/>
      <c r="Z33" s="949"/>
      <c r="AA33" s="949"/>
      <c r="AB33" s="949"/>
      <c r="AC33" s="949"/>
      <c r="AD33" s="949"/>
    </row>
    <row r="34" s="50" customFormat="1" spans="1:30">
      <c r="A34" s="948"/>
      <c r="B34" s="948"/>
      <c r="C34" s="948"/>
      <c r="D34" s="948"/>
      <c r="E34" s="948"/>
      <c r="F34" s="948"/>
      <c r="G34" s="948"/>
      <c r="H34" s="948"/>
      <c r="I34" s="948"/>
      <c r="J34" s="948"/>
      <c r="K34" s="948"/>
      <c r="L34" s="948"/>
      <c r="M34" s="953"/>
      <c r="N34" s="954"/>
      <c r="O34" s="954"/>
      <c r="P34" s="954"/>
      <c r="Q34" s="954"/>
      <c r="R34" s="954"/>
      <c r="S34" s="954"/>
      <c r="T34" s="954"/>
      <c r="U34" s="954"/>
      <c r="V34" s="954"/>
      <c r="W34" s="954"/>
      <c r="X34" s="955"/>
      <c r="Y34" s="949"/>
      <c r="Z34" s="949"/>
      <c r="AA34" s="949"/>
      <c r="AB34" s="949"/>
      <c r="AC34" s="949"/>
      <c r="AD34" s="949"/>
    </row>
    <row r="35" s="50" customFormat="1" spans="1:30">
      <c r="A35" s="948"/>
      <c r="B35" s="948"/>
      <c r="C35" s="948"/>
      <c r="D35" s="948"/>
      <c r="E35" s="948"/>
      <c r="F35" s="948"/>
      <c r="G35" s="948"/>
      <c r="H35" s="948"/>
      <c r="I35" s="948"/>
      <c r="J35" s="948"/>
      <c r="K35" s="948"/>
      <c r="L35" s="948"/>
      <c r="M35" s="953"/>
      <c r="N35" s="954"/>
      <c r="O35" s="954"/>
      <c r="P35" s="954"/>
      <c r="Q35" s="954"/>
      <c r="R35" s="954"/>
      <c r="S35" s="954"/>
      <c r="T35" s="954"/>
      <c r="U35" s="954"/>
      <c r="V35" s="954"/>
      <c r="W35" s="954"/>
      <c r="X35" s="955"/>
      <c r="Y35" s="949"/>
      <c r="Z35" s="949"/>
      <c r="AA35" s="949"/>
      <c r="AB35" s="949"/>
      <c r="AC35" s="949"/>
      <c r="AD35" s="949"/>
    </row>
    <row r="36" s="50" customFormat="1" spans="1:30">
      <c r="A36" s="948"/>
      <c r="B36" s="948"/>
      <c r="C36" s="948"/>
      <c r="D36" s="948"/>
      <c r="E36" s="948"/>
      <c r="F36" s="948"/>
      <c r="G36" s="948"/>
      <c r="H36" s="948"/>
      <c r="I36" s="948"/>
      <c r="J36" s="948"/>
      <c r="K36" s="948"/>
      <c r="L36" s="948"/>
      <c r="M36" s="953"/>
      <c r="N36" s="954"/>
      <c r="O36" s="954"/>
      <c r="P36" s="954"/>
      <c r="Q36" s="954"/>
      <c r="R36" s="954"/>
      <c r="S36" s="954"/>
      <c r="T36" s="954"/>
      <c r="U36" s="954"/>
      <c r="V36" s="954"/>
      <c r="W36" s="954"/>
      <c r="X36" s="955"/>
      <c r="Y36" s="949"/>
      <c r="Z36" s="949"/>
      <c r="AA36" s="949"/>
      <c r="AB36" s="949"/>
      <c r="AC36" s="949"/>
      <c r="AD36" s="949"/>
    </row>
    <row r="37" s="50" customFormat="1" spans="1:30">
      <c r="A37" s="948"/>
      <c r="B37" s="948"/>
      <c r="C37" s="948"/>
      <c r="D37" s="948"/>
      <c r="E37" s="948"/>
      <c r="F37" s="948"/>
      <c r="G37" s="948"/>
      <c r="H37" s="948"/>
      <c r="I37" s="948"/>
      <c r="J37" s="948"/>
      <c r="K37" s="948"/>
      <c r="L37" s="948"/>
      <c r="M37" s="953"/>
      <c r="N37" s="954"/>
      <c r="O37" s="954"/>
      <c r="P37" s="954"/>
      <c r="Q37" s="954"/>
      <c r="R37" s="954"/>
      <c r="S37" s="954"/>
      <c r="T37" s="954"/>
      <c r="U37" s="954"/>
      <c r="V37" s="954"/>
      <c r="W37" s="954"/>
      <c r="X37" s="955"/>
      <c r="Y37" s="956"/>
      <c r="Z37" s="956"/>
      <c r="AA37" s="956"/>
      <c r="AB37" s="956"/>
      <c r="AC37" s="956"/>
      <c r="AD37" s="956"/>
    </row>
    <row r="38" s="50" customFormat="1" spans="1:30">
      <c r="A38" s="948"/>
      <c r="B38" s="948"/>
      <c r="C38" s="948"/>
      <c r="D38" s="948"/>
      <c r="E38" s="948"/>
      <c r="F38" s="948"/>
      <c r="G38" s="948"/>
      <c r="H38" s="948"/>
      <c r="I38" s="948"/>
      <c r="J38" s="948"/>
      <c r="K38" s="948"/>
      <c r="L38" s="948"/>
      <c r="M38" s="953"/>
      <c r="N38" s="954"/>
      <c r="O38" s="954"/>
      <c r="P38" s="954"/>
      <c r="Q38" s="954"/>
      <c r="R38" s="954"/>
      <c r="S38" s="954"/>
      <c r="T38" s="954"/>
      <c r="U38" s="954"/>
      <c r="V38" s="954"/>
      <c r="W38" s="954"/>
      <c r="X38" s="955"/>
      <c r="Y38" s="956"/>
      <c r="Z38" s="956"/>
      <c r="AA38" s="956"/>
      <c r="AB38" s="956"/>
      <c r="AC38" s="956"/>
      <c r="AD38" s="956"/>
    </row>
    <row r="39" s="50" customFormat="1" spans="1:30">
      <c r="A39" s="948"/>
      <c r="B39" s="948"/>
      <c r="C39" s="948"/>
      <c r="D39" s="948"/>
      <c r="E39" s="948"/>
      <c r="F39" s="948"/>
      <c r="G39" s="948"/>
      <c r="H39" s="948"/>
      <c r="I39" s="948"/>
      <c r="J39" s="948"/>
      <c r="K39" s="948"/>
      <c r="L39" s="948"/>
      <c r="M39" s="953"/>
      <c r="N39" s="954"/>
      <c r="O39" s="954"/>
      <c r="P39" s="954"/>
      <c r="Q39" s="954"/>
      <c r="R39" s="954"/>
      <c r="S39" s="954"/>
      <c r="T39" s="954"/>
      <c r="U39" s="954"/>
      <c r="V39" s="954"/>
      <c r="W39" s="954"/>
      <c r="X39" s="955"/>
    </row>
    <row r="40" s="50" customFormat="1" spans="1:30">
      <c r="A40" s="948"/>
      <c r="B40" s="948"/>
      <c r="C40" s="948"/>
      <c r="D40" s="948"/>
      <c r="E40" s="948"/>
      <c r="F40" s="948"/>
      <c r="G40" s="948"/>
      <c r="H40" s="948"/>
      <c r="I40" s="948"/>
      <c r="J40" s="948"/>
      <c r="K40" s="948"/>
      <c r="L40" s="948"/>
      <c r="M40" s="953"/>
      <c r="N40" s="954"/>
      <c r="O40" s="954"/>
      <c r="P40" s="954"/>
      <c r="Q40" s="954"/>
      <c r="R40" s="954"/>
      <c r="S40" s="954"/>
      <c r="T40" s="954"/>
      <c r="U40" s="954"/>
      <c r="V40" s="954"/>
      <c r="W40" s="954"/>
      <c r="X40" s="955"/>
    </row>
    <row r="41" s="50" customFormat="1" spans="1:30">
      <c r="A41" s="948"/>
      <c r="B41" s="948"/>
      <c r="C41" s="948"/>
      <c r="D41" s="948"/>
      <c r="E41" s="948"/>
      <c r="F41" s="948"/>
      <c r="G41" s="948"/>
      <c r="H41" s="948"/>
      <c r="I41" s="948"/>
      <c r="J41" s="948"/>
      <c r="K41" s="948"/>
      <c r="L41" s="948"/>
      <c r="M41" s="957"/>
      <c r="N41" s="958"/>
      <c r="O41" s="958"/>
      <c r="P41" s="958"/>
      <c r="Q41" s="958"/>
      <c r="R41" s="958"/>
      <c r="S41" s="958"/>
      <c r="T41" s="958"/>
      <c r="U41" s="958"/>
      <c r="V41" s="958"/>
      <c r="W41" s="958"/>
      <c r="X41" s="959"/>
    </row>
  </sheetData>
  <mergeCells count="12">
    <mergeCell ref="A1:X1"/>
    <mergeCell ref="A2:L3"/>
    <mergeCell ref="M2:X3"/>
    <mergeCell ref="Y2:Z19"/>
    <mergeCell ref="A4:L21"/>
    <mergeCell ref="M4:X21"/>
    <mergeCell ref="A22:L23"/>
    <mergeCell ref="M22:X23"/>
    <mergeCell ref="Y22:AD27"/>
    <mergeCell ref="A24:L41"/>
    <mergeCell ref="M24:X41"/>
    <mergeCell ref="Y30:AD36"/>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946"/>
  <sheetViews>
    <sheetView zoomScale="85" zoomScaleNormal="85" workbookViewId="0">
      <pane xSplit="7" ySplit="1" topLeftCell="AF2" activePane="bottomRight" state="frozen"/>
      <selection/>
      <selection pane="topRight"/>
      <selection pane="bottomLeft"/>
      <selection pane="bottomRight" activeCell="AK60" sqref="AK60"/>
    </sheetView>
  </sheetViews>
  <sheetFormatPr defaultColWidth="9" defaultRowHeight="13.5" customHeight="1"/>
  <cols>
    <col min="1" max="1" width="17.75" style="900" customWidth="1"/>
    <col min="2" max="2" width="14.875" style="900" customWidth="1"/>
    <col min="3" max="3" width="7.875" style="900" customWidth="1"/>
    <col min="4" max="4" width="7.875" style="901" customWidth="1"/>
    <col min="5" max="5" width="8.95833333333333" style="901" customWidth="1"/>
    <col min="6" max="7" width="7.875" style="902" customWidth="1"/>
    <col min="8" max="8" width="7.875" style="903" customWidth="1"/>
    <col min="9" max="10" width="8.75" style="900" customWidth="1"/>
    <col min="11" max="11" width="8.75" style="902" customWidth="1"/>
    <col min="12" max="13" width="8.75" style="904" customWidth="1"/>
    <col min="14" max="14" width="8.75" style="905" customWidth="1"/>
    <col min="15" max="15" width="9.35" style="905" customWidth="1"/>
    <col min="16" max="17" width="9.35" style="906" customWidth="1"/>
    <col min="18" max="18" width="9.35" style="907" customWidth="1"/>
    <col min="19" max="19" width="9.35" style="908" customWidth="1"/>
    <col min="20" max="20" width="9.35" style="901" customWidth="1"/>
    <col min="21" max="21" width="9.35" style="902" customWidth="1"/>
    <col min="22" max="30" width="9.35" style="909" customWidth="1"/>
    <col min="31" max="31" width="97.0583333333333" style="141" customWidth="1"/>
    <col min="32" max="32" width="4.25833333333333" style="141" customWidth="1"/>
    <col min="33" max="33" width="27.5" style="141" customWidth="1"/>
    <col min="34" max="34" width="5.125" style="141" customWidth="1"/>
    <col min="35" max="35" width="7.375" style="141" customWidth="1"/>
    <col min="36" max="42" width="9" style="141"/>
    <col min="43" max="43" width="7.375" style="141" customWidth="1"/>
    <col min="44" max="44" width="4.5" style="141" customWidth="1"/>
    <col min="45" max="45" width="5.25833333333333" style="141" customWidth="1"/>
    <col min="46" max="68" width="9" style="141"/>
    <col min="69" max="16380" width="9" style="141" hidden="1" customWidth="1"/>
    <col min="16381" max="16384" width="9" style="141"/>
  </cols>
  <sheetData>
    <row r="1" s="141" customFormat="1" customHeight="1" spans="1:45">
      <c r="A1" s="910" t="s">
        <v>30</v>
      </c>
      <c r="B1" s="911" t="s">
        <v>31</v>
      </c>
      <c r="C1" s="911" t="s">
        <v>32</v>
      </c>
      <c r="D1" s="912" t="s">
        <v>33</v>
      </c>
      <c r="E1" s="912" t="s">
        <v>34</v>
      </c>
      <c r="F1" s="913" t="s">
        <v>35</v>
      </c>
      <c r="G1" s="914" t="s">
        <v>36</v>
      </c>
      <c r="H1" s="915" t="s">
        <v>37</v>
      </c>
      <c r="I1" s="910" t="s">
        <v>38</v>
      </c>
      <c r="J1" s="910" t="s">
        <v>39</v>
      </c>
      <c r="K1" s="913" t="s">
        <v>40</v>
      </c>
      <c r="L1" s="916" t="s">
        <v>41</v>
      </c>
      <c r="M1" s="912" t="s">
        <v>42</v>
      </c>
      <c r="N1" s="917" t="s">
        <v>43</v>
      </c>
      <c r="O1" s="918" t="s">
        <v>44</v>
      </c>
      <c r="P1" s="919" t="s">
        <v>45</v>
      </c>
      <c r="Q1" s="920" t="s">
        <v>46</v>
      </c>
      <c r="R1" s="921" t="s">
        <v>47</v>
      </c>
      <c r="S1" s="914" t="s">
        <v>48</v>
      </c>
      <c r="T1" s="922" t="s">
        <v>49</v>
      </c>
      <c r="U1" s="914" t="s">
        <v>50</v>
      </c>
      <c r="V1" s="923" t="s">
        <v>51</v>
      </c>
      <c r="W1" s="924" t="s">
        <v>52</v>
      </c>
      <c r="X1" s="924" t="s">
        <v>53</v>
      </c>
      <c r="Y1" s="923" t="s">
        <v>54</v>
      </c>
      <c r="Z1" s="924" t="s">
        <v>55</v>
      </c>
      <c r="AA1" s="924" t="s">
        <v>56</v>
      </c>
      <c r="AB1" s="923" t="s">
        <v>57</v>
      </c>
      <c r="AC1" s="924" t="s">
        <v>58</v>
      </c>
      <c r="AD1" s="924" t="s">
        <v>59</v>
      </c>
      <c r="AE1" s="924" t="s">
        <v>60</v>
      </c>
      <c r="AF1" s="925"/>
      <c r="AG1" s="926" t="s">
        <v>61</v>
      </c>
      <c r="AI1" s="927" t="s">
        <v>62</v>
      </c>
      <c r="AJ1" s="927"/>
      <c r="AK1" s="927"/>
      <c r="AL1" s="927"/>
      <c r="AM1" s="927"/>
      <c r="AN1" s="927"/>
      <c r="AO1" s="927"/>
      <c r="AP1" s="927"/>
      <c r="AQ1" s="927"/>
      <c r="AR1" s="927"/>
      <c r="AS1" s="927"/>
    </row>
    <row r="2" s="141" customFormat="1" customHeight="1" spans="1:45">
      <c r="A2" s="14" t="s">
        <v>63</v>
      </c>
      <c r="B2" s="14" t="s">
        <v>64</v>
      </c>
      <c r="C2" s="15" t="s">
        <v>65</v>
      </c>
      <c r="D2" s="928">
        <v>100</v>
      </c>
      <c r="E2" s="929">
        <v>26</v>
      </c>
      <c r="F2" s="929">
        <v>544742</v>
      </c>
      <c r="G2" s="929">
        <v>25929</v>
      </c>
      <c r="H2" s="887">
        <v>0.0476</v>
      </c>
      <c r="I2" s="890">
        <v>1405</v>
      </c>
      <c r="J2" s="890">
        <v>23</v>
      </c>
      <c r="K2" s="929">
        <v>907</v>
      </c>
      <c r="L2" s="930">
        <v>600.6</v>
      </c>
      <c r="M2" s="879">
        <v>358</v>
      </c>
      <c r="N2" s="931">
        <v>0.3395</v>
      </c>
      <c r="O2" s="932">
        <v>0.4131</v>
      </c>
      <c r="P2" s="933" t="s">
        <v>66</v>
      </c>
      <c r="Q2" s="933" t="s">
        <v>67</v>
      </c>
      <c r="R2" s="934" t="s">
        <v>68</v>
      </c>
      <c r="S2" s="929">
        <v>31423</v>
      </c>
      <c r="T2" s="886">
        <v>4.5</v>
      </c>
      <c r="U2" s="935" t="s">
        <v>69</v>
      </c>
      <c r="V2" s="900" t="s">
        <v>70</v>
      </c>
      <c r="W2" s="936">
        <v>0.1415</v>
      </c>
      <c r="X2" s="936">
        <v>0.1677</v>
      </c>
      <c r="Y2" s="900" t="s">
        <v>71</v>
      </c>
      <c r="Z2" s="936">
        <v>0.1033</v>
      </c>
      <c r="AA2" s="936">
        <v>0.1307</v>
      </c>
      <c r="AB2" s="900" t="s">
        <v>72</v>
      </c>
      <c r="AC2" s="936">
        <v>0.0947</v>
      </c>
      <c r="AD2" s="936">
        <v>0.1147</v>
      </c>
      <c r="AE2" s="909" t="s">
        <v>73</v>
      </c>
      <c r="AF2" s="909"/>
      <c r="AG2" s="937">
        <f>F2/K2/30</f>
        <v>20.0199191473723</v>
      </c>
      <c r="AI2" s="927"/>
      <c r="AJ2" s="927"/>
      <c r="AK2" s="927"/>
      <c r="AL2" s="927"/>
      <c r="AM2" s="927"/>
      <c r="AN2" s="927"/>
      <c r="AO2" s="927"/>
      <c r="AP2" s="927"/>
      <c r="AQ2" s="927"/>
      <c r="AR2" s="927"/>
      <c r="AS2" s="927"/>
    </row>
    <row r="3" s="141" customFormat="1" customHeight="1" spans="1:45">
      <c r="A3" s="14" t="s">
        <v>74</v>
      </c>
      <c r="B3" s="14" t="s">
        <v>75</v>
      </c>
      <c r="C3" s="15" t="s">
        <v>76</v>
      </c>
      <c r="D3" s="928">
        <v>31.1</v>
      </c>
      <c r="E3" s="929">
        <v>2062</v>
      </c>
      <c r="F3" s="929">
        <v>79806</v>
      </c>
      <c r="G3" s="929">
        <v>3008</v>
      </c>
      <c r="H3" s="887">
        <v>0.0377</v>
      </c>
      <c r="I3" s="890">
        <v>191</v>
      </c>
      <c r="J3" s="890">
        <v>0</v>
      </c>
      <c r="K3" s="929">
        <v>199</v>
      </c>
      <c r="L3" s="930">
        <v>401.04</v>
      </c>
      <c r="M3" s="879">
        <v>150</v>
      </c>
      <c r="N3" s="931">
        <v>0.4201</v>
      </c>
      <c r="O3" s="932">
        <v>0.5236</v>
      </c>
      <c r="P3" s="933" t="s">
        <v>77</v>
      </c>
      <c r="Q3" s="933" t="s">
        <v>78</v>
      </c>
      <c r="R3" s="934" t="s">
        <v>79</v>
      </c>
      <c r="S3" s="929">
        <v>29484</v>
      </c>
      <c r="T3" s="886">
        <v>4.8</v>
      </c>
      <c r="U3" s="935" t="s">
        <v>69</v>
      </c>
      <c r="V3" s="900" t="s">
        <v>70</v>
      </c>
      <c r="W3" s="936">
        <v>0.208</v>
      </c>
      <c r="X3" s="936">
        <v>0.3184</v>
      </c>
      <c r="Y3" s="900" t="s">
        <v>80</v>
      </c>
      <c r="Z3" s="936">
        <v>0.1119</v>
      </c>
      <c r="AA3" s="936">
        <v>0.1172</v>
      </c>
      <c r="AB3" s="900" t="s">
        <v>81</v>
      </c>
      <c r="AC3" s="936">
        <v>0.1002</v>
      </c>
      <c r="AD3" s="936">
        <v>0.088</v>
      </c>
      <c r="AE3" s="909" t="s">
        <v>82</v>
      </c>
      <c r="AF3" s="909"/>
      <c r="AG3" s="937">
        <f t="shared" ref="AG3:AG12" si="0">F3/K3/30</f>
        <v>13.3678391959799</v>
      </c>
      <c r="AI3" s="300" t="s">
        <v>83</v>
      </c>
      <c r="AJ3" s="938" t="str">
        <f>_xlfn.DISPIMG("ID_EDAB4CACB3CA4B109639FD1D25DAB985",1)</f>
        <v>=DISPIMG("ID_EDAB4CACB3CA4B109639FD1D25DAB985",1)</v>
      </c>
      <c r="AK3" s="938"/>
      <c r="AL3" s="938"/>
      <c r="AM3" s="938"/>
      <c r="AN3" s="938"/>
      <c r="AO3" s="938"/>
      <c r="AP3" s="938"/>
      <c r="AQ3" s="938"/>
      <c r="AR3" s="686" t="s">
        <v>84</v>
      </c>
      <c r="AS3" s="686"/>
    </row>
    <row r="4" s="141" customFormat="1" customHeight="1" spans="1:45">
      <c r="A4" s="14" t="s">
        <v>85</v>
      </c>
      <c r="B4" s="14" t="s">
        <v>86</v>
      </c>
      <c r="C4" s="15" t="s">
        <v>76</v>
      </c>
      <c r="D4" s="928">
        <v>77.8</v>
      </c>
      <c r="E4" s="929">
        <v>2375</v>
      </c>
      <c r="F4" s="929">
        <v>75591</v>
      </c>
      <c r="G4" s="929">
        <v>2532</v>
      </c>
      <c r="H4" s="887">
        <v>0.0335</v>
      </c>
      <c r="I4" s="890">
        <v>181</v>
      </c>
      <c r="J4" s="890">
        <v>2</v>
      </c>
      <c r="K4" s="929">
        <v>903</v>
      </c>
      <c r="L4" s="930">
        <v>83.71</v>
      </c>
      <c r="M4" s="879">
        <v>109</v>
      </c>
      <c r="N4" s="931">
        <v>0.3332</v>
      </c>
      <c r="O4" s="932">
        <v>0.4309</v>
      </c>
      <c r="P4" s="933" t="s">
        <v>87</v>
      </c>
      <c r="Q4" s="933" t="s">
        <v>88</v>
      </c>
      <c r="R4" s="934" t="s">
        <v>68</v>
      </c>
      <c r="S4" s="929">
        <v>31423</v>
      </c>
      <c r="T4" s="886">
        <v>4.5</v>
      </c>
      <c r="U4" s="935" t="s">
        <v>69</v>
      </c>
      <c r="V4" s="900" t="s">
        <v>70</v>
      </c>
      <c r="W4" s="936">
        <v>0.1491</v>
      </c>
      <c r="X4" s="936">
        <v>0.174</v>
      </c>
      <c r="Y4" s="900" t="s">
        <v>71</v>
      </c>
      <c r="Z4" s="936">
        <v>0.1103</v>
      </c>
      <c r="AA4" s="936">
        <v>0.1535</v>
      </c>
      <c r="AB4" s="900" t="s">
        <v>72</v>
      </c>
      <c r="AC4" s="936">
        <v>0.0738</v>
      </c>
      <c r="AD4" s="936">
        <v>0.1034</v>
      </c>
      <c r="AE4" s="909" t="s">
        <v>89</v>
      </c>
      <c r="AF4" s="909"/>
      <c r="AG4" s="937">
        <f t="shared" si="0"/>
        <v>2.79036544850498</v>
      </c>
      <c r="AI4" s="300"/>
      <c r="AJ4" s="938"/>
      <c r="AK4" s="938"/>
      <c r="AL4" s="938"/>
      <c r="AM4" s="938"/>
      <c r="AN4" s="938"/>
      <c r="AO4" s="938"/>
      <c r="AP4" s="938"/>
      <c r="AQ4" s="938"/>
      <c r="AR4" s="686"/>
      <c r="AS4" s="686"/>
    </row>
    <row r="5" s="141" customFormat="1" customHeight="1" spans="1:45">
      <c r="A5" s="14" t="s">
        <v>90</v>
      </c>
      <c r="B5" s="14" t="s">
        <v>91</v>
      </c>
      <c r="C5" s="15" t="s">
        <v>76</v>
      </c>
      <c r="D5" s="928">
        <v>60</v>
      </c>
      <c r="E5" s="929">
        <v>4647</v>
      </c>
      <c r="F5" s="929">
        <v>46613</v>
      </c>
      <c r="G5" s="929">
        <v>2237</v>
      </c>
      <c r="H5" s="887">
        <v>0.048</v>
      </c>
      <c r="I5" s="890">
        <v>119</v>
      </c>
      <c r="J5" s="890">
        <v>12</v>
      </c>
      <c r="K5" s="929">
        <v>108</v>
      </c>
      <c r="L5" s="930">
        <v>431.6</v>
      </c>
      <c r="M5" s="879">
        <v>118</v>
      </c>
      <c r="N5" s="931">
        <v>0.5594</v>
      </c>
      <c r="O5" s="932">
        <v>0.5807</v>
      </c>
      <c r="P5" s="933" t="s">
        <v>92</v>
      </c>
      <c r="Q5" s="933" t="s">
        <v>93</v>
      </c>
      <c r="R5" s="934" t="s">
        <v>79</v>
      </c>
      <c r="S5" s="929">
        <v>33</v>
      </c>
      <c r="T5" s="886">
        <v>4</v>
      </c>
      <c r="U5" s="935" t="s">
        <v>94</v>
      </c>
      <c r="V5" s="900" t="s">
        <v>72</v>
      </c>
      <c r="W5" s="936">
        <v>0.2513</v>
      </c>
      <c r="X5" s="936">
        <v>0.4277</v>
      </c>
      <c r="Y5" s="900" t="s">
        <v>95</v>
      </c>
      <c r="Z5" s="936">
        <v>0.1867</v>
      </c>
      <c r="AA5" s="936">
        <v>0.1281</v>
      </c>
      <c r="AB5" s="900" t="s">
        <v>96</v>
      </c>
      <c r="AC5" s="936">
        <v>0.1215</v>
      </c>
      <c r="AD5" s="936">
        <v>0.0249</v>
      </c>
      <c r="AE5" s="909" t="s">
        <v>97</v>
      </c>
      <c r="AF5" s="909"/>
      <c r="AG5" s="937">
        <f t="shared" si="0"/>
        <v>14.3867283950617</v>
      </c>
      <c r="AI5" s="300"/>
      <c r="AJ5" s="938"/>
      <c r="AK5" s="938"/>
      <c r="AL5" s="938"/>
      <c r="AM5" s="938"/>
      <c r="AN5" s="938"/>
      <c r="AO5" s="938"/>
      <c r="AP5" s="938"/>
      <c r="AQ5" s="938"/>
      <c r="AR5" s="686"/>
      <c r="AS5" s="686"/>
    </row>
    <row r="6" s="141" customFormat="1" customHeight="1" spans="1:45">
      <c r="A6" s="14" t="s">
        <v>98</v>
      </c>
      <c r="B6" s="14" t="s">
        <v>99</v>
      </c>
      <c r="C6" s="15" t="s">
        <v>76</v>
      </c>
      <c r="D6" s="928">
        <v>27.8</v>
      </c>
      <c r="E6" s="929">
        <v>5477</v>
      </c>
      <c r="F6" s="929">
        <v>42052</v>
      </c>
      <c r="G6" s="929">
        <v>1105</v>
      </c>
      <c r="H6" s="887">
        <v>0.0263</v>
      </c>
      <c r="I6" s="890">
        <v>111</v>
      </c>
      <c r="J6" s="890">
        <v>8</v>
      </c>
      <c r="K6" s="929">
        <v>1091</v>
      </c>
      <c r="L6" s="930">
        <v>38.54</v>
      </c>
      <c r="M6" s="879">
        <v>88</v>
      </c>
      <c r="N6" s="931">
        <v>0.321</v>
      </c>
      <c r="O6" s="932">
        <v>0.351</v>
      </c>
      <c r="P6" s="933" t="s">
        <v>100</v>
      </c>
      <c r="Q6" s="933" t="s">
        <v>101</v>
      </c>
      <c r="R6" s="934" t="s">
        <v>102</v>
      </c>
      <c r="S6" s="929">
        <v>8707</v>
      </c>
      <c r="T6" s="886">
        <v>4.5</v>
      </c>
      <c r="U6" s="935" t="s">
        <v>69</v>
      </c>
      <c r="V6" s="900" t="s">
        <v>103</v>
      </c>
      <c r="W6" s="936">
        <v>0.1987</v>
      </c>
      <c r="X6" s="936">
        <v>0.2304</v>
      </c>
      <c r="Y6" s="900" t="s">
        <v>104</v>
      </c>
      <c r="Z6" s="936">
        <v>0.0829</v>
      </c>
      <c r="AA6" s="936">
        <v>0.0891</v>
      </c>
      <c r="AB6" s="900" t="s">
        <v>105</v>
      </c>
      <c r="AC6" s="936">
        <v>0.0395</v>
      </c>
      <c r="AD6" s="936">
        <v>0.0315</v>
      </c>
      <c r="AE6" s="909" t="s">
        <v>106</v>
      </c>
      <c r="AF6" s="909"/>
      <c r="AG6" s="937">
        <f t="shared" si="0"/>
        <v>1.2848151542927</v>
      </c>
      <c r="AI6" s="300"/>
      <c r="AJ6" s="938"/>
      <c r="AK6" s="938"/>
      <c r="AL6" s="938"/>
      <c r="AM6" s="938"/>
      <c r="AN6" s="938"/>
      <c r="AO6" s="938"/>
      <c r="AP6" s="938"/>
      <c r="AQ6" s="938"/>
      <c r="AR6" s="686"/>
      <c r="AS6" s="686"/>
    </row>
    <row r="7" s="141" customFormat="1" customHeight="1" spans="1:45">
      <c r="A7" s="14" t="s">
        <v>107</v>
      </c>
      <c r="B7" s="14" t="s">
        <v>64</v>
      </c>
      <c r="C7" s="15" t="s">
        <v>76</v>
      </c>
      <c r="D7" s="928">
        <v>100</v>
      </c>
      <c r="E7" s="929">
        <v>7490</v>
      </c>
      <c r="F7" s="929">
        <v>32154</v>
      </c>
      <c r="G7" s="929">
        <v>704</v>
      </c>
      <c r="H7" s="887">
        <v>0.022</v>
      </c>
      <c r="I7" s="890">
        <v>90</v>
      </c>
      <c r="J7" s="890">
        <v>0</v>
      </c>
      <c r="K7" s="929">
        <v>1164</v>
      </c>
      <c r="L7" s="930">
        <v>27.62</v>
      </c>
      <c r="M7" s="879">
        <v>132</v>
      </c>
      <c r="N7" s="931">
        <v>0.2657</v>
      </c>
      <c r="O7" s="932">
        <v>0.3498</v>
      </c>
      <c r="P7" s="933" t="s">
        <v>108</v>
      </c>
      <c r="Q7" s="933" t="s">
        <v>109</v>
      </c>
      <c r="R7" s="934" t="s">
        <v>68</v>
      </c>
      <c r="S7" s="929">
        <v>31423</v>
      </c>
      <c r="T7" s="886">
        <v>4.5</v>
      </c>
      <c r="U7" s="935" t="s">
        <v>94</v>
      </c>
      <c r="V7" s="900" t="s">
        <v>70</v>
      </c>
      <c r="W7" s="936">
        <v>0.1225</v>
      </c>
      <c r="X7" s="936">
        <v>0.1718</v>
      </c>
      <c r="Y7" s="900" t="s">
        <v>72</v>
      </c>
      <c r="Z7" s="936">
        <v>0.0726</v>
      </c>
      <c r="AA7" s="936">
        <v>0.0865</v>
      </c>
      <c r="AB7" s="900" t="s">
        <v>71</v>
      </c>
      <c r="AC7" s="936">
        <v>0.0706</v>
      </c>
      <c r="AD7" s="936">
        <v>0.0915</v>
      </c>
      <c r="AE7" s="909" t="s">
        <v>110</v>
      </c>
      <c r="AF7" s="909"/>
      <c r="AG7" s="937">
        <f t="shared" si="0"/>
        <v>0.920790378006873</v>
      </c>
      <c r="AI7" s="300"/>
      <c r="AJ7" s="938"/>
      <c r="AK7" s="938"/>
      <c r="AL7" s="938"/>
      <c r="AM7" s="938"/>
      <c r="AN7" s="938"/>
      <c r="AO7" s="938"/>
      <c r="AP7" s="938"/>
      <c r="AQ7" s="938"/>
      <c r="AR7" s="686"/>
      <c r="AS7" s="686"/>
    </row>
    <row r="8" s="141" customFormat="1" customHeight="1" spans="1:45">
      <c r="A8" s="14" t="s">
        <v>111</v>
      </c>
      <c r="B8" s="14" t="s">
        <v>112</v>
      </c>
      <c r="C8" s="15" t="s">
        <v>76</v>
      </c>
      <c r="D8" s="928">
        <v>27.8</v>
      </c>
      <c r="E8" s="929">
        <v>9340</v>
      </c>
      <c r="F8" s="929">
        <v>28085</v>
      </c>
      <c r="G8" s="929">
        <v>735</v>
      </c>
      <c r="H8" s="887">
        <v>0.0262</v>
      </c>
      <c r="I8" s="890">
        <v>79</v>
      </c>
      <c r="J8" s="890">
        <v>0</v>
      </c>
      <c r="K8" s="929">
        <v>922</v>
      </c>
      <c r="L8" s="930">
        <v>30.46</v>
      </c>
      <c r="M8" s="879">
        <v>73</v>
      </c>
      <c r="N8" s="931">
        <v>0.4237</v>
      </c>
      <c r="O8" s="932">
        <v>0.5197</v>
      </c>
      <c r="P8" s="933" t="s">
        <v>113</v>
      </c>
      <c r="Q8" s="933" t="s">
        <v>114</v>
      </c>
      <c r="R8" s="934" t="s">
        <v>115</v>
      </c>
      <c r="S8" s="929">
        <v>2672</v>
      </c>
      <c r="T8" s="886">
        <v>4.4</v>
      </c>
      <c r="U8" s="935" t="s">
        <v>69</v>
      </c>
      <c r="V8" s="900" t="s">
        <v>103</v>
      </c>
      <c r="W8" s="936">
        <v>0.1808</v>
      </c>
      <c r="X8" s="936">
        <v>0.2178</v>
      </c>
      <c r="Y8" s="900" t="s">
        <v>104</v>
      </c>
      <c r="Z8" s="936">
        <v>0.1222</v>
      </c>
      <c r="AA8" s="936">
        <v>0.1361</v>
      </c>
      <c r="AB8" s="900" t="s">
        <v>116</v>
      </c>
      <c r="AC8" s="936">
        <v>0.1208</v>
      </c>
      <c r="AD8" s="936">
        <v>0.1658</v>
      </c>
      <c r="AE8" s="909" t="s">
        <v>117</v>
      </c>
      <c r="AF8" s="909"/>
      <c r="AG8" s="937">
        <f t="shared" si="0"/>
        <v>1.01536514822849</v>
      </c>
      <c r="AI8" s="300"/>
      <c r="AJ8" s="938"/>
      <c r="AK8" s="938"/>
      <c r="AL8" s="938"/>
      <c r="AM8" s="938"/>
      <c r="AN8" s="938"/>
      <c r="AO8" s="938"/>
      <c r="AP8" s="938"/>
      <c r="AQ8" s="938"/>
      <c r="AR8" s="686"/>
      <c r="AS8" s="686"/>
    </row>
    <row r="9" s="141" customFormat="1" customHeight="1" spans="1:45">
      <c r="A9" s="14" t="s">
        <v>118</v>
      </c>
      <c r="B9" s="14" t="s">
        <v>119</v>
      </c>
      <c r="C9" s="15" t="s">
        <v>76</v>
      </c>
      <c r="D9" s="928">
        <v>57.8</v>
      </c>
      <c r="E9" s="929">
        <v>9626</v>
      </c>
      <c r="F9" s="929">
        <v>27432</v>
      </c>
      <c r="G9" s="929">
        <v>268</v>
      </c>
      <c r="H9" s="887">
        <v>0.0098</v>
      </c>
      <c r="I9" s="890">
        <v>77</v>
      </c>
      <c r="J9" s="890">
        <v>1</v>
      </c>
      <c r="K9" s="929">
        <v>877</v>
      </c>
      <c r="L9" s="930">
        <v>31.28</v>
      </c>
      <c r="M9" s="879">
        <v>5</v>
      </c>
      <c r="N9" s="931">
        <v>0.3273</v>
      </c>
      <c r="O9" s="932">
        <v>0.3452</v>
      </c>
      <c r="P9" s="933" t="s">
        <v>120</v>
      </c>
      <c r="Q9" s="933" t="s">
        <v>121</v>
      </c>
      <c r="R9" s="934" t="s">
        <v>68</v>
      </c>
      <c r="S9" s="929">
        <v>31423</v>
      </c>
      <c r="T9" s="886">
        <v>4.5</v>
      </c>
      <c r="U9" s="935" t="s">
        <v>69</v>
      </c>
      <c r="V9" s="900" t="s">
        <v>70</v>
      </c>
      <c r="W9" s="936">
        <v>0.1512</v>
      </c>
      <c r="X9" s="936">
        <v>0.1706</v>
      </c>
      <c r="Y9" s="900" t="s">
        <v>71</v>
      </c>
      <c r="Z9" s="936">
        <v>0.1113</v>
      </c>
      <c r="AA9" s="936">
        <v>0.123</v>
      </c>
      <c r="AB9" s="900" t="s">
        <v>72</v>
      </c>
      <c r="AC9" s="936">
        <v>0.0649</v>
      </c>
      <c r="AD9" s="936">
        <v>0.0516</v>
      </c>
      <c r="AE9" s="909" t="s">
        <v>122</v>
      </c>
      <c r="AF9" s="909"/>
      <c r="AG9" s="937">
        <f t="shared" si="0"/>
        <v>1.04264538198404</v>
      </c>
      <c r="AI9" s="300" t="s">
        <v>123</v>
      </c>
      <c r="AJ9" s="938" t="str">
        <f>_xlfn.DISPIMG("ID_1FEB0D922E7548DC86E467279BF813E8",1)</f>
        <v>=DISPIMG("ID_1FEB0D922E7548DC86E467279BF813E8",1)</v>
      </c>
      <c r="AK9" s="938"/>
      <c r="AL9" s="938"/>
      <c r="AM9" s="938"/>
      <c r="AN9" s="938"/>
      <c r="AO9" s="938"/>
      <c r="AP9" s="938"/>
      <c r="AQ9" s="938"/>
      <c r="AR9" s="686" t="s">
        <v>124</v>
      </c>
      <c r="AS9" s="686"/>
    </row>
    <row r="10" s="141" customFormat="1" customHeight="1" spans="1:45">
      <c r="A10" s="14" t="s">
        <v>125</v>
      </c>
      <c r="B10" s="14" t="s">
        <v>64</v>
      </c>
      <c r="C10" s="15" t="s">
        <v>65</v>
      </c>
      <c r="D10" s="928">
        <v>54.4</v>
      </c>
      <c r="E10" s="929">
        <v>10784</v>
      </c>
      <c r="F10" s="929">
        <v>25050</v>
      </c>
      <c r="G10" s="929">
        <v>383</v>
      </c>
      <c r="H10" s="887">
        <v>0.0153</v>
      </c>
      <c r="I10" s="890">
        <v>74</v>
      </c>
      <c r="J10" s="890">
        <v>7</v>
      </c>
      <c r="K10" s="929">
        <v>1442</v>
      </c>
      <c r="L10" s="930">
        <v>17.37</v>
      </c>
      <c r="M10" s="879">
        <v>118</v>
      </c>
      <c r="N10" s="931">
        <v>0.3041</v>
      </c>
      <c r="O10" s="932">
        <v>0.322</v>
      </c>
      <c r="P10" s="933" t="s">
        <v>126</v>
      </c>
      <c r="Q10" s="933" t="s">
        <v>127</v>
      </c>
      <c r="R10" s="934" t="s">
        <v>128</v>
      </c>
      <c r="S10" s="929">
        <v>10805</v>
      </c>
      <c r="T10" s="886">
        <v>4.5</v>
      </c>
      <c r="U10" s="935" t="s">
        <v>69</v>
      </c>
      <c r="V10" s="900" t="s">
        <v>103</v>
      </c>
      <c r="W10" s="936">
        <v>0.1285</v>
      </c>
      <c r="X10" s="936">
        <v>0.1158</v>
      </c>
      <c r="Y10" s="900" t="s">
        <v>129</v>
      </c>
      <c r="Z10" s="936">
        <v>0.1056</v>
      </c>
      <c r="AA10" s="936">
        <v>0.1243</v>
      </c>
      <c r="AB10" s="900" t="s">
        <v>130</v>
      </c>
      <c r="AC10" s="936">
        <v>0.07</v>
      </c>
      <c r="AD10" s="936">
        <v>0.0819</v>
      </c>
      <c r="AE10" s="909" t="s">
        <v>131</v>
      </c>
      <c r="AF10" s="909"/>
      <c r="AG10" s="937">
        <f t="shared" si="0"/>
        <v>0.579056865464633</v>
      </c>
      <c r="AI10" s="300"/>
      <c r="AJ10" s="938"/>
      <c r="AK10" s="938"/>
      <c r="AL10" s="938"/>
      <c r="AM10" s="938"/>
      <c r="AN10" s="938"/>
      <c r="AO10" s="938"/>
      <c r="AP10" s="938"/>
      <c r="AQ10" s="938"/>
      <c r="AR10" s="686"/>
      <c r="AS10" s="686"/>
    </row>
    <row r="11" s="141" customFormat="1" customHeight="1" spans="1:45">
      <c r="A11" s="14" t="s">
        <v>132</v>
      </c>
      <c r="B11" s="14" t="s">
        <v>64</v>
      </c>
      <c r="C11" s="15" t="s">
        <v>65</v>
      </c>
      <c r="D11" s="928">
        <v>71.1</v>
      </c>
      <c r="E11" s="929">
        <v>12518</v>
      </c>
      <c r="F11" s="929">
        <v>22277</v>
      </c>
      <c r="G11" s="929">
        <v>1374</v>
      </c>
      <c r="H11" s="887">
        <v>0.0617</v>
      </c>
      <c r="I11" s="890">
        <v>66</v>
      </c>
      <c r="J11" s="890">
        <v>0</v>
      </c>
      <c r="K11" s="929">
        <v>905</v>
      </c>
      <c r="L11" s="930">
        <v>24.62</v>
      </c>
      <c r="M11" s="879">
        <v>12</v>
      </c>
      <c r="N11" s="931">
        <v>0.3758</v>
      </c>
      <c r="O11" s="932">
        <v>0.4976</v>
      </c>
      <c r="P11" s="933" t="s">
        <v>133</v>
      </c>
      <c r="Q11" s="933" t="s">
        <v>134</v>
      </c>
      <c r="R11" s="934" t="s">
        <v>68</v>
      </c>
      <c r="S11" s="929">
        <v>31423</v>
      </c>
      <c r="T11" s="886">
        <v>4.5</v>
      </c>
      <c r="U11" s="935" t="s">
        <v>69</v>
      </c>
      <c r="V11" s="900" t="s">
        <v>70</v>
      </c>
      <c r="W11" s="936">
        <v>0.1563</v>
      </c>
      <c r="X11" s="936">
        <v>0.2126</v>
      </c>
      <c r="Y11" s="900" t="s">
        <v>71</v>
      </c>
      <c r="Z11" s="936">
        <v>0.1114</v>
      </c>
      <c r="AA11" s="936">
        <v>0.1546</v>
      </c>
      <c r="AB11" s="900" t="s">
        <v>72</v>
      </c>
      <c r="AC11" s="936">
        <v>0.1081</v>
      </c>
      <c r="AD11" s="936">
        <v>0.1304</v>
      </c>
      <c r="AE11" s="909" t="s">
        <v>135</v>
      </c>
      <c r="AF11" s="909"/>
      <c r="AG11" s="937">
        <f t="shared" si="0"/>
        <v>0.820515653775322</v>
      </c>
      <c r="AI11" s="300"/>
      <c r="AJ11" s="938"/>
      <c r="AK11" s="938"/>
      <c r="AL11" s="938"/>
      <c r="AM11" s="938"/>
      <c r="AN11" s="938"/>
      <c r="AO11" s="938"/>
      <c r="AP11" s="938"/>
      <c r="AQ11" s="938"/>
      <c r="AR11" s="686"/>
      <c r="AS11" s="686"/>
    </row>
    <row r="12" s="141" customFormat="1" customHeight="1" spans="1:45">
      <c r="A12" s="14" t="s">
        <v>136</v>
      </c>
      <c r="B12" s="14" t="s">
        <v>137</v>
      </c>
      <c r="C12" s="15" t="s">
        <v>76</v>
      </c>
      <c r="D12" s="928">
        <v>37.8</v>
      </c>
      <c r="E12" s="929">
        <v>15764</v>
      </c>
      <c r="F12" s="929">
        <v>18814</v>
      </c>
      <c r="G12" s="929">
        <v>882</v>
      </c>
      <c r="H12" s="887">
        <v>0.0469</v>
      </c>
      <c r="I12" s="890">
        <v>75</v>
      </c>
      <c r="J12" s="890">
        <v>1</v>
      </c>
      <c r="K12" s="929">
        <v>150</v>
      </c>
      <c r="L12" s="930">
        <v>125.43</v>
      </c>
      <c r="M12" s="879">
        <v>85</v>
      </c>
      <c r="N12" s="931">
        <v>0.3504</v>
      </c>
      <c r="O12" s="932">
        <v>0.3523</v>
      </c>
      <c r="P12" s="933" t="s">
        <v>100</v>
      </c>
      <c r="Q12" s="933" t="s">
        <v>138</v>
      </c>
      <c r="R12" s="934" t="s">
        <v>128</v>
      </c>
      <c r="S12" s="929">
        <v>59209</v>
      </c>
      <c r="T12" s="886">
        <v>4.5</v>
      </c>
      <c r="U12" s="935" t="s">
        <v>69</v>
      </c>
      <c r="V12" s="900" t="s">
        <v>139</v>
      </c>
      <c r="W12" s="936">
        <v>0.1765</v>
      </c>
      <c r="X12" s="936">
        <v>0.1676</v>
      </c>
      <c r="Y12" s="900" t="s">
        <v>129</v>
      </c>
      <c r="Z12" s="936">
        <v>0.0938</v>
      </c>
      <c r="AA12" s="936">
        <v>0.081</v>
      </c>
      <c r="AB12" s="900" t="s">
        <v>140</v>
      </c>
      <c r="AC12" s="936">
        <v>0.0801</v>
      </c>
      <c r="AD12" s="936">
        <v>0.1037</v>
      </c>
      <c r="AE12" s="909" t="s">
        <v>141</v>
      </c>
      <c r="AF12" s="909"/>
      <c r="AG12" s="937">
        <f t="shared" si="0"/>
        <v>4.18088888888889</v>
      </c>
      <c r="AI12" s="300"/>
      <c r="AJ12" s="938"/>
      <c r="AK12" s="938"/>
      <c r="AL12" s="938"/>
      <c r="AM12" s="938"/>
      <c r="AN12" s="938"/>
      <c r="AO12" s="938"/>
      <c r="AP12" s="938"/>
      <c r="AQ12" s="938"/>
      <c r="AR12" s="686"/>
      <c r="AS12" s="686"/>
    </row>
    <row r="13" s="141" customFormat="1" customHeight="1" spans="1:45">
      <c r="A13" s="14" t="s">
        <v>142</v>
      </c>
      <c r="B13" s="14" t="s">
        <v>143</v>
      </c>
      <c r="C13" s="15" t="s">
        <v>76</v>
      </c>
      <c r="D13" s="928">
        <v>28.9</v>
      </c>
      <c r="E13" s="929">
        <v>19648</v>
      </c>
      <c r="F13" s="929">
        <v>15661</v>
      </c>
      <c r="G13" s="929">
        <v>231</v>
      </c>
      <c r="H13" s="887">
        <v>0.0148</v>
      </c>
      <c r="I13" s="890">
        <v>63</v>
      </c>
      <c r="J13" s="890">
        <v>0</v>
      </c>
      <c r="K13" s="929">
        <v>116</v>
      </c>
      <c r="L13" s="930">
        <v>135.01</v>
      </c>
      <c r="M13" s="879">
        <v>24</v>
      </c>
      <c r="N13" s="931">
        <v>0.3785</v>
      </c>
      <c r="O13" s="932">
        <v>0.3948</v>
      </c>
      <c r="P13" s="933" t="s">
        <v>144</v>
      </c>
      <c r="Q13" s="933" t="s">
        <v>145</v>
      </c>
      <c r="R13" s="934" t="s">
        <v>146</v>
      </c>
      <c r="S13" s="929">
        <v>7103</v>
      </c>
      <c r="T13" s="886">
        <v>4.4</v>
      </c>
      <c r="U13" s="935" t="s">
        <v>69</v>
      </c>
      <c r="V13" s="900" t="s">
        <v>147</v>
      </c>
      <c r="W13" s="936">
        <v>0.1684</v>
      </c>
      <c r="X13" s="936">
        <v>0.2201</v>
      </c>
      <c r="Y13" s="900" t="s">
        <v>148</v>
      </c>
      <c r="Z13" s="936">
        <v>0.118</v>
      </c>
      <c r="AA13" s="936">
        <v>0.1456</v>
      </c>
      <c r="AB13" s="900" t="s">
        <v>149</v>
      </c>
      <c r="AC13" s="936">
        <v>0.0921</v>
      </c>
      <c r="AD13" s="936">
        <v>0.0291</v>
      </c>
      <c r="AE13" s="909" t="s">
        <v>150</v>
      </c>
      <c r="AF13" s="909"/>
      <c r="AG13" s="939"/>
      <c r="AI13" s="300"/>
      <c r="AJ13" s="938"/>
      <c r="AK13" s="938"/>
      <c r="AL13" s="938"/>
      <c r="AM13" s="938"/>
      <c r="AN13" s="938"/>
      <c r="AO13" s="938"/>
      <c r="AP13" s="938"/>
      <c r="AQ13" s="938"/>
      <c r="AR13" s="686"/>
      <c r="AS13" s="686"/>
    </row>
    <row r="14" s="141" customFormat="1" customHeight="1" spans="1:45">
      <c r="A14" s="14" t="s">
        <v>151</v>
      </c>
      <c r="B14" s="14" t="s">
        <v>152</v>
      </c>
      <c r="C14" s="15" t="s">
        <v>76</v>
      </c>
      <c r="D14" s="928">
        <v>46.7</v>
      </c>
      <c r="E14" s="929">
        <v>20708</v>
      </c>
      <c r="F14" s="929">
        <v>15173</v>
      </c>
      <c r="G14" s="929">
        <v>465</v>
      </c>
      <c r="H14" s="887">
        <v>0.0307</v>
      </c>
      <c r="I14" s="890">
        <v>61</v>
      </c>
      <c r="J14" s="890">
        <v>0</v>
      </c>
      <c r="K14" s="929">
        <v>908</v>
      </c>
      <c r="L14" s="930">
        <v>16.71</v>
      </c>
      <c r="M14" s="879">
        <v>34</v>
      </c>
      <c r="N14" s="931">
        <v>0.4196</v>
      </c>
      <c r="O14" s="932">
        <v>0.4425</v>
      </c>
      <c r="P14" s="933" t="s">
        <v>120</v>
      </c>
      <c r="Q14" s="933" t="s">
        <v>153</v>
      </c>
      <c r="R14" s="934" t="s">
        <v>154</v>
      </c>
      <c r="S14" s="929">
        <v>20843</v>
      </c>
      <c r="T14" s="886">
        <v>4.5</v>
      </c>
      <c r="U14" s="935" t="s">
        <v>69</v>
      </c>
      <c r="V14" s="900" t="s">
        <v>71</v>
      </c>
      <c r="W14" s="936">
        <v>0.217</v>
      </c>
      <c r="X14" s="936">
        <v>0.2508</v>
      </c>
      <c r="Y14" s="900" t="s">
        <v>155</v>
      </c>
      <c r="Z14" s="936">
        <v>0.1327</v>
      </c>
      <c r="AA14" s="936">
        <v>0.131</v>
      </c>
      <c r="AB14" s="900" t="s">
        <v>156</v>
      </c>
      <c r="AC14" s="936">
        <v>0.07</v>
      </c>
      <c r="AD14" s="936">
        <v>0.0607</v>
      </c>
      <c r="AE14" s="909" t="s">
        <v>157</v>
      </c>
      <c r="AF14" s="909"/>
      <c r="AG14" s="940" t="s">
        <v>158</v>
      </c>
      <c r="AI14" s="300"/>
      <c r="AJ14" s="938"/>
      <c r="AK14" s="938"/>
      <c r="AL14" s="938"/>
      <c r="AM14" s="938"/>
      <c r="AN14" s="938"/>
      <c r="AO14" s="938"/>
      <c r="AP14" s="938"/>
      <c r="AQ14" s="938"/>
      <c r="AR14" s="686"/>
      <c r="AS14" s="686"/>
    </row>
    <row r="15" s="141" customFormat="1" customHeight="1" spans="1:45">
      <c r="A15" s="14" t="s">
        <v>159</v>
      </c>
      <c r="B15" s="14" t="s">
        <v>160</v>
      </c>
      <c r="C15" s="15" t="s">
        <v>76</v>
      </c>
      <c r="D15" s="928">
        <v>27.8</v>
      </c>
      <c r="E15" s="929">
        <v>24228</v>
      </c>
      <c r="F15" s="929">
        <v>12954</v>
      </c>
      <c r="G15" s="929">
        <v>396</v>
      </c>
      <c r="H15" s="887">
        <v>0.0306</v>
      </c>
      <c r="I15" s="890">
        <v>52</v>
      </c>
      <c r="J15" s="890">
        <v>3</v>
      </c>
      <c r="K15" s="929">
        <v>274</v>
      </c>
      <c r="L15" s="930">
        <v>47.28</v>
      </c>
      <c r="M15" s="879">
        <v>22</v>
      </c>
      <c r="N15" s="931">
        <v>0.4925</v>
      </c>
      <c r="O15" s="932">
        <v>0.5754</v>
      </c>
      <c r="P15" s="933" t="s">
        <v>126</v>
      </c>
      <c r="Q15" s="933" t="s">
        <v>161</v>
      </c>
      <c r="R15" s="934" t="s">
        <v>162</v>
      </c>
      <c r="S15" s="929">
        <v>5900</v>
      </c>
      <c r="T15" s="886">
        <v>4</v>
      </c>
      <c r="U15" s="935" t="s">
        <v>69</v>
      </c>
      <c r="V15" s="900" t="s">
        <v>71</v>
      </c>
      <c r="W15" s="936">
        <v>0.251</v>
      </c>
      <c r="X15" s="936">
        <v>0.3317</v>
      </c>
      <c r="Y15" s="900" t="s">
        <v>163</v>
      </c>
      <c r="Z15" s="936">
        <v>0.1301</v>
      </c>
      <c r="AA15" s="936">
        <v>0.1457</v>
      </c>
      <c r="AB15" s="900" t="s">
        <v>164</v>
      </c>
      <c r="AC15" s="936">
        <v>0.1115</v>
      </c>
      <c r="AD15" s="936">
        <v>0.098</v>
      </c>
      <c r="AE15" s="909" t="s">
        <v>165</v>
      </c>
      <c r="AF15" s="909"/>
      <c r="AG15" s="940"/>
      <c r="AI15" s="300"/>
      <c r="AJ15" s="938"/>
      <c r="AK15" s="938"/>
      <c r="AL15" s="938"/>
      <c r="AM15" s="938"/>
      <c r="AN15" s="938"/>
      <c r="AO15" s="938"/>
      <c r="AP15" s="938"/>
      <c r="AQ15" s="938"/>
      <c r="AR15" s="686"/>
      <c r="AS15" s="686"/>
    </row>
    <row r="16" s="141" customFormat="1" customHeight="1" spans="1:45">
      <c r="A16" s="14" t="s">
        <v>166</v>
      </c>
      <c r="B16" s="14" t="s">
        <v>167</v>
      </c>
      <c r="C16" s="15" t="s">
        <v>76</v>
      </c>
      <c r="D16" s="928">
        <v>26.7</v>
      </c>
      <c r="E16" s="929">
        <v>25621</v>
      </c>
      <c r="F16" s="929">
        <v>12554</v>
      </c>
      <c r="G16" s="929">
        <v>71</v>
      </c>
      <c r="H16" s="887">
        <v>0.0057</v>
      </c>
      <c r="I16" s="890">
        <v>50</v>
      </c>
      <c r="J16" s="890">
        <v>1</v>
      </c>
      <c r="K16" s="929">
        <v>919</v>
      </c>
      <c r="L16" s="930">
        <v>13.66</v>
      </c>
      <c r="M16" s="879">
        <v>79</v>
      </c>
      <c r="N16" s="931">
        <v>0.4183</v>
      </c>
      <c r="O16" s="932">
        <v>0.4519</v>
      </c>
      <c r="P16" s="933" t="s">
        <v>168</v>
      </c>
      <c r="Q16" s="933" t="s">
        <v>169</v>
      </c>
      <c r="R16" s="934" t="s">
        <v>170</v>
      </c>
      <c r="S16" s="929">
        <v>2672</v>
      </c>
      <c r="T16" s="886">
        <v>4.5</v>
      </c>
      <c r="U16" s="935" t="s">
        <v>69</v>
      </c>
      <c r="V16" s="900" t="s">
        <v>103</v>
      </c>
      <c r="W16" s="936">
        <v>0.2266</v>
      </c>
      <c r="X16" s="936">
        <v>0.2692</v>
      </c>
      <c r="Y16" s="900" t="s">
        <v>71</v>
      </c>
      <c r="Z16" s="936">
        <v>0.1393</v>
      </c>
      <c r="AA16" s="936">
        <v>0.1058</v>
      </c>
      <c r="AB16" s="900" t="s">
        <v>171</v>
      </c>
      <c r="AC16" s="936">
        <v>0.0525</v>
      </c>
      <c r="AD16" s="936">
        <v>0.0769</v>
      </c>
      <c r="AE16" s="909" t="s">
        <v>172</v>
      </c>
      <c r="AF16" s="909"/>
      <c r="AG16" s="940"/>
      <c r="AI16" s="300"/>
      <c r="AJ16" s="938"/>
      <c r="AK16" s="938"/>
      <c r="AL16" s="938"/>
      <c r="AM16" s="938"/>
      <c r="AN16" s="938"/>
      <c r="AO16" s="938"/>
      <c r="AP16" s="938"/>
      <c r="AQ16" s="938"/>
      <c r="AR16" s="686"/>
      <c r="AS16" s="686"/>
    </row>
    <row r="17" s="141" customFormat="1" customHeight="1" spans="1:45">
      <c r="A17" s="14" t="s">
        <v>173</v>
      </c>
      <c r="B17" s="14" t="s">
        <v>174</v>
      </c>
      <c r="C17" s="15" t="s">
        <v>76</v>
      </c>
      <c r="D17" s="928">
        <v>47.8</v>
      </c>
      <c r="E17" s="929">
        <v>27674</v>
      </c>
      <c r="F17" s="929">
        <v>11989</v>
      </c>
      <c r="G17" s="929">
        <v>209</v>
      </c>
      <c r="H17" s="887">
        <v>0.0175</v>
      </c>
      <c r="I17" s="890">
        <v>48</v>
      </c>
      <c r="J17" s="890">
        <v>0</v>
      </c>
      <c r="K17" s="929">
        <v>2713</v>
      </c>
      <c r="L17" s="930">
        <v>4.42</v>
      </c>
      <c r="M17" s="879">
        <v>106</v>
      </c>
      <c r="N17" s="931">
        <v>0.3458</v>
      </c>
      <c r="O17" s="932">
        <v>0.3145</v>
      </c>
      <c r="P17" s="933" t="s">
        <v>175</v>
      </c>
      <c r="Q17" s="933" t="s">
        <v>176</v>
      </c>
      <c r="R17" s="934" t="s">
        <v>128</v>
      </c>
      <c r="S17" s="929">
        <v>6111</v>
      </c>
      <c r="T17" s="886">
        <v>4.5</v>
      </c>
      <c r="U17" s="935" t="s">
        <v>177</v>
      </c>
      <c r="V17" s="900" t="s">
        <v>178</v>
      </c>
      <c r="W17" s="936">
        <v>0.1382</v>
      </c>
      <c r="X17" s="936">
        <v>0.1408</v>
      </c>
      <c r="Y17" s="900" t="s">
        <v>129</v>
      </c>
      <c r="Z17" s="936">
        <v>0.1097</v>
      </c>
      <c r="AA17" s="936">
        <v>0.1033</v>
      </c>
      <c r="AB17" s="900" t="s">
        <v>80</v>
      </c>
      <c r="AC17" s="936">
        <v>0.0981</v>
      </c>
      <c r="AD17" s="936">
        <v>0.0704</v>
      </c>
      <c r="AE17" s="909" t="s">
        <v>179</v>
      </c>
      <c r="AF17" s="909"/>
      <c r="AG17" s="940"/>
      <c r="AI17" s="300" t="s">
        <v>180</v>
      </c>
      <c r="AJ17" s="938" t="str">
        <f>_xlfn.DISPIMG("ID_C50D465A344F49BA8899C4B3096ECD50",1)</f>
        <v>=DISPIMG("ID_C50D465A344F49BA8899C4B3096ECD50",1)</v>
      </c>
      <c r="AK17" s="938"/>
      <c r="AL17" s="938"/>
      <c r="AM17" s="938"/>
      <c r="AN17" s="938"/>
      <c r="AO17" s="938"/>
      <c r="AP17" s="938"/>
      <c r="AQ17" s="938"/>
      <c r="AR17" s="686" t="s">
        <v>181</v>
      </c>
      <c r="AS17" s="686"/>
    </row>
    <row r="18" s="141" customFormat="1" customHeight="1" spans="1:45">
      <c r="A18" s="14" t="s">
        <v>182</v>
      </c>
      <c r="B18" s="14" t="s">
        <v>183</v>
      </c>
      <c r="C18" s="15" t="s">
        <v>76</v>
      </c>
      <c r="D18" s="928">
        <v>34.4</v>
      </c>
      <c r="E18" s="929">
        <v>38188</v>
      </c>
      <c r="F18" s="929">
        <v>8383</v>
      </c>
      <c r="G18" s="929">
        <v>290</v>
      </c>
      <c r="H18" s="887">
        <v>0.0346</v>
      </c>
      <c r="I18" s="890">
        <v>47</v>
      </c>
      <c r="J18" s="890">
        <v>0</v>
      </c>
      <c r="K18" s="929">
        <v>163</v>
      </c>
      <c r="L18" s="930">
        <v>51.43</v>
      </c>
      <c r="M18" s="879">
        <v>5</v>
      </c>
      <c r="N18" s="931">
        <v>0.5174</v>
      </c>
      <c r="O18" s="932">
        <v>0.6351</v>
      </c>
      <c r="P18" s="933" t="s">
        <v>184</v>
      </c>
      <c r="Q18" s="933" t="s">
        <v>185</v>
      </c>
      <c r="R18" s="934" t="s">
        <v>79</v>
      </c>
      <c r="S18" s="929">
        <v>15940</v>
      </c>
      <c r="T18" s="886">
        <v>4.5</v>
      </c>
      <c r="U18" s="935" t="s">
        <v>69</v>
      </c>
      <c r="V18" s="900" t="s">
        <v>186</v>
      </c>
      <c r="W18" s="936">
        <v>0.2526</v>
      </c>
      <c r="X18" s="936">
        <v>0.3139</v>
      </c>
      <c r="Y18" s="900" t="s">
        <v>80</v>
      </c>
      <c r="Z18" s="936">
        <v>0.1335</v>
      </c>
      <c r="AA18" s="936">
        <v>0.1825</v>
      </c>
      <c r="AB18" s="900" t="s">
        <v>187</v>
      </c>
      <c r="AC18" s="936">
        <v>0.1313</v>
      </c>
      <c r="AD18" s="936">
        <v>0.1387</v>
      </c>
      <c r="AE18" s="909" t="s">
        <v>188</v>
      </c>
      <c r="AF18" s="909"/>
      <c r="AG18" s="940"/>
      <c r="AI18" s="300"/>
      <c r="AJ18" s="938"/>
      <c r="AK18" s="938"/>
      <c r="AL18" s="938"/>
      <c r="AM18" s="938"/>
      <c r="AN18" s="938"/>
      <c r="AO18" s="938"/>
      <c r="AP18" s="938"/>
      <c r="AQ18" s="938"/>
      <c r="AR18" s="686"/>
      <c r="AS18" s="686"/>
    </row>
    <row r="19" s="141" customFormat="1" customHeight="1" spans="1:45">
      <c r="A19" s="14" t="s">
        <v>189</v>
      </c>
      <c r="B19" s="14" t="s">
        <v>190</v>
      </c>
      <c r="C19" s="15" t="s">
        <v>76</v>
      </c>
      <c r="D19" s="928">
        <v>28.9</v>
      </c>
      <c r="E19" s="929">
        <v>45511</v>
      </c>
      <c r="F19" s="929">
        <v>7201</v>
      </c>
      <c r="G19" s="929">
        <v>369</v>
      </c>
      <c r="H19" s="887">
        <v>0.0513</v>
      </c>
      <c r="I19" s="890">
        <v>41</v>
      </c>
      <c r="J19" s="890">
        <v>0</v>
      </c>
      <c r="K19" s="929">
        <v>536</v>
      </c>
      <c r="L19" s="930">
        <v>13.43</v>
      </c>
      <c r="M19" s="879">
        <v>38</v>
      </c>
      <c r="N19" s="931">
        <v>0.3989</v>
      </c>
      <c r="O19" s="932">
        <v>0.5</v>
      </c>
      <c r="P19" s="933" t="s">
        <v>191</v>
      </c>
      <c r="Q19" s="933" t="s">
        <v>192</v>
      </c>
      <c r="R19" s="934" t="s">
        <v>68</v>
      </c>
      <c r="S19" s="929">
        <v>31423</v>
      </c>
      <c r="T19" s="886">
        <v>4.5</v>
      </c>
      <c r="U19" s="935" t="s">
        <v>69</v>
      </c>
      <c r="V19" s="900" t="s">
        <v>70</v>
      </c>
      <c r="W19" s="936">
        <v>0.1646</v>
      </c>
      <c r="X19" s="936">
        <v>0.2448</v>
      </c>
      <c r="Y19" s="900" t="s">
        <v>72</v>
      </c>
      <c r="Z19" s="936">
        <v>0.1516</v>
      </c>
      <c r="AA19" s="936">
        <v>0.1875</v>
      </c>
      <c r="AB19" s="900" t="s">
        <v>193</v>
      </c>
      <c r="AC19" s="936">
        <v>0.0828</v>
      </c>
      <c r="AD19" s="936">
        <v>0.0677</v>
      </c>
      <c r="AE19" s="909" t="s">
        <v>194</v>
      </c>
      <c r="AF19" s="909"/>
      <c r="AG19" s="940"/>
      <c r="AI19" s="300"/>
      <c r="AJ19" s="938"/>
      <c r="AK19" s="938"/>
      <c r="AL19" s="938"/>
      <c r="AM19" s="938"/>
      <c r="AN19" s="938"/>
      <c r="AO19" s="938"/>
      <c r="AP19" s="938"/>
      <c r="AQ19" s="938"/>
      <c r="AR19" s="686"/>
      <c r="AS19" s="686"/>
    </row>
    <row r="20" s="141" customFormat="1" customHeight="1" spans="1:45">
      <c r="A20" s="14" t="s">
        <v>195</v>
      </c>
      <c r="B20" s="14" t="s">
        <v>196</v>
      </c>
      <c r="C20" s="15" t="s">
        <v>65</v>
      </c>
      <c r="D20" s="928">
        <v>63.3</v>
      </c>
      <c r="E20" s="929">
        <v>50071</v>
      </c>
      <c r="F20" s="929">
        <v>6732</v>
      </c>
      <c r="G20" s="929">
        <v>140</v>
      </c>
      <c r="H20" s="887">
        <v>0.0208</v>
      </c>
      <c r="I20" s="890">
        <v>38</v>
      </c>
      <c r="J20" s="890">
        <v>0</v>
      </c>
      <c r="K20" s="929">
        <v>901</v>
      </c>
      <c r="L20" s="930">
        <v>7.47</v>
      </c>
      <c r="M20" s="879">
        <v>82</v>
      </c>
      <c r="N20" s="931">
        <v>0.2951</v>
      </c>
      <c r="O20" s="932">
        <v>0.4043</v>
      </c>
      <c r="P20" s="933" t="s">
        <v>197</v>
      </c>
      <c r="Q20" s="933" t="s">
        <v>198</v>
      </c>
      <c r="R20" s="934" t="s">
        <v>199</v>
      </c>
      <c r="S20" s="929">
        <v>18300</v>
      </c>
      <c r="T20" s="886">
        <v>4.5</v>
      </c>
      <c r="U20" s="935" t="s">
        <v>69</v>
      </c>
      <c r="V20" s="900" t="s">
        <v>71</v>
      </c>
      <c r="W20" s="936">
        <v>0.1256</v>
      </c>
      <c r="X20" s="936">
        <v>0.1915</v>
      </c>
      <c r="Y20" s="900" t="s">
        <v>200</v>
      </c>
      <c r="Z20" s="936">
        <v>0.0932</v>
      </c>
      <c r="AA20" s="936">
        <v>0.1596</v>
      </c>
      <c r="AB20" s="900" t="s">
        <v>155</v>
      </c>
      <c r="AC20" s="936">
        <v>0.0763</v>
      </c>
      <c r="AD20" s="936">
        <v>0.0532</v>
      </c>
      <c r="AE20" s="909" t="s">
        <v>201</v>
      </c>
      <c r="AF20" s="909"/>
      <c r="AG20" s="940"/>
      <c r="AI20" s="300"/>
      <c r="AJ20" s="938"/>
      <c r="AK20" s="938"/>
      <c r="AL20" s="938"/>
      <c r="AM20" s="938"/>
      <c r="AN20" s="938"/>
      <c r="AO20" s="938"/>
      <c r="AP20" s="938"/>
      <c r="AQ20" s="938"/>
      <c r="AR20" s="686"/>
      <c r="AS20" s="686"/>
    </row>
    <row r="21" s="141" customFormat="1" customHeight="1" spans="1:45">
      <c r="A21" s="14" t="s">
        <v>202</v>
      </c>
      <c r="B21" s="14" t="s">
        <v>203</v>
      </c>
      <c r="C21" s="15" t="s">
        <v>76</v>
      </c>
      <c r="D21" s="928">
        <v>57.8</v>
      </c>
      <c r="E21" s="929">
        <v>62508</v>
      </c>
      <c r="F21" s="929">
        <v>5372</v>
      </c>
      <c r="G21" s="929">
        <v>213</v>
      </c>
      <c r="H21" s="887">
        <v>0.0397</v>
      </c>
      <c r="I21" s="890">
        <v>32</v>
      </c>
      <c r="J21" s="890">
        <v>0</v>
      </c>
      <c r="K21" s="929">
        <v>1165</v>
      </c>
      <c r="L21" s="930">
        <v>4.61</v>
      </c>
      <c r="M21" s="879">
        <v>112</v>
      </c>
      <c r="N21" s="931">
        <v>0.5917</v>
      </c>
      <c r="O21" s="932">
        <v>0.687</v>
      </c>
      <c r="P21" s="933" t="s">
        <v>204</v>
      </c>
      <c r="Q21" s="933" t="s">
        <v>205</v>
      </c>
      <c r="R21" s="934" t="s">
        <v>68</v>
      </c>
      <c r="S21" s="929">
        <v>31423</v>
      </c>
      <c r="T21" s="886">
        <v>4.8</v>
      </c>
      <c r="U21" s="935" t="s">
        <v>69</v>
      </c>
      <c r="V21" s="900" t="s">
        <v>70</v>
      </c>
      <c r="W21" s="936">
        <v>0.2596</v>
      </c>
      <c r="X21" s="936">
        <v>0.287</v>
      </c>
      <c r="Y21" s="900" t="s">
        <v>206</v>
      </c>
      <c r="Z21" s="936">
        <v>0.2367</v>
      </c>
      <c r="AA21" s="936">
        <v>0.3304</v>
      </c>
      <c r="AB21" s="900" t="s">
        <v>72</v>
      </c>
      <c r="AC21" s="936">
        <v>0.0956</v>
      </c>
      <c r="AD21" s="936">
        <v>0.0696</v>
      </c>
      <c r="AE21" s="909" t="s">
        <v>207</v>
      </c>
      <c r="AF21" s="909"/>
      <c r="AG21" s="940"/>
      <c r="AI21" s="300"/>
      <c r="AJ21" s="938"/>
      <c r="AK21" s="938"/>
      <c r="AL21" s="938"/>
      <c r="AM21" s="938"/>
      <c r="AN21" s="938"/>
      <c r="AO21" s="938"/>
      <c r="AP21" s="938"/>
      <c r="AQ21" s="938"/>
      <c r="AR21" s="686"/>
      <c r="AS21" s="686"/>
    </row>
    <row r="22" s="141" customFormat="1" customHeight="1" spans="1:45">
      <c r="A22" s="14" t="s">
        <v>208</v>
      </c>
      <c r="B22" s="14" t="s">
        <v>209</v>
      </c>
      <c r="C22" s="15" t="s">
        <v>76</v>
      </c>
      <c r="D22" s="928">
        <v>42.2</v>
      </c>
      <c r="E22" s="929">
        <v>67212</v>
      </c>
      <c r="F22" s="929">
        <v>5016</v>
      </c>
      <c r="G22" s="929">
        <v>180</v>
      </c>
      <c r="H22" s="887">
        <v>0.0359</v>
      </c>
      <c r="I22" s="890">
        <v>37</v>
      </c>
      <c r="J22" s="890">
        <v>0</v>
      </c>
      <c r="K22" s="929">
        <v>467</v>
      </c>
      <c r="L22" s="930">
        <v>10.74</v>
      </c>
      <c r="M22" s="879">
        <v>73</v>
      </c>
      <c r="N22" s="931">
        <v>0.4532</v>
      </c>
      <c r="O22" s="932">
        <v>0.625</v>
      </c>
      <c r="P22" s="933" t="s">
        <v>210</v>
      </c>
      <c r="Q22" s="933" t="s">
        <v>211</v>
      </c>
      <c r="R22" s="934" t="s">
        <v>68</v>
      </c>
      <c r="S22" s="929">
        <v>31423</v>
      </c>
      <c r="T22" s="886">
        <v>4.5</v>
      </c>
      <c r="U22" s="935" t="s">
        <v>177</v>
      </c>
      <c r="V22" s="900" t="s">
        <v>70</v>
      </c>
      <c r="W22" s="936">
        <v>0.2204</v>
      </c>
      <c r="X22" s="936">
        <v>0.2875</v>
      </c>
      <c r="Y22" s="900" t="s">
        <v>72</v>
      </c>
      <c r="Z22" s="936">
        <v>0.1556</v>
      </c>
      <c r="AA22" s="936">
        <v>0.2375</v>
      </c>
      <c r="AB22" s="900" t="s">
        <v>71</v>
      </c>
      <c r="AC22" s="936">
        <v>0.0773</v>
      </c>
      <c r="AD22" s="936">
        <v>0.1</v>
      </c>
      <c r="AE22" s="909" t="s">
        <v>212</v>
      </c>
      <c r="AF22" s="909"/>
      <c r="AG22" s="940"/>
      <c r="AI22" s="300"/>
      <c r="AJ22" s="938"/>
      <c r="AK22" s="938"/>
      <c r="AL22" s="938"/>
      <c r="AM22" s="938"/>
      <c r="AN22" s="938"/>
      <c r="AO22" s="938"/>
      <c r="AP22" s="938"/>
      <c r="AQ22" s="938"/>
      <c r="AR22" s="686"/>
      <c r="AS22" s="686"/>
    </row>
    <row r="23" s="141" customFormat="1" customHeight="1" spans="1:45">
      <c r="A23" s="14" t="s">
        <v>213</v>
      </c>
      <c r="B23" s="14" t="s">
        <v>214</v>
      </c>
      <c r="C23" s="15" t="s">
        <v>76</v>
      </c>
      <c r="D23" s="928">
        <v>44.4</v>
      </c>
      <c r="E23" s="929">
        <v>79477</v>
      </c>
      <c r="F23" s="929">
        <v>4463</v>
      </c>
      <c r="G23" s="929">
        <v>139</v>
      </c>
      <c r="H23" s="887">
        <v>0.0313</v>
      </c>
      <c r="I23" s="890">
        <v>33</v>
      </c>
      <c r="J23" s="890">
        <v>0</v>
      </c>
      <c r="K23" s="929">
        <v>911</v>
      </c>
      <c r="L23" s="930">
        <v>4.9</v>
      </c>
      <c r="M23" s="879">
        <v>6</v>
      </c>
      <c r="N23" s="931">
        <v>0.5554</v>
      </c>
      <c r="O23" s="932">
        <v>0.575</v>
      </c>
      <c r="P23" s="933" t="s">
        <v>215</v>
      </c>
      <c r="Q23" s="933" t="s">
        <v>216</v>
      </c>
      <c r="R23" s="934" t="s">
        <v>154</v>
      </c>
      <c r="S23" s="929">
        <v>20843</v>
      </c>
      <c r="T23" s="886">
        <v>4.5</v>
      </c>
      <c r="U23" s="935" t="s">
        <v>217</v>
      </c>
      <c r="V23" s="900" t="s">
        <v>71</v>
      </c>
      <c r="W23" s="936">
        <v>0.253</v>
      </c>
      <c r="X23" s="936">
        <v>0.2875</v>
      </c>
      <c r="Y23" s="900" t="s">
        <v>155</v>
      </c>
      <c r="Z23" s="936">
        <v>0.1687</v>
      </c>
      <c r="AA23" s="936">
        <v>0.225</v>
      </c>
      <c r="AB23" s="900" t="s">
        <v>156</v>
      </c>
      <c r="AC23" s="936">
        <v>0.1339</v>
      </c>
      <c r="AD23" s="936">
        <v>0.0625</v>
      </c>
      <c r="AE23" s="909" t="s">
        <v>218</v>
      </c>
      <c r="AF23" s="909"/>
      <c r="AG23" s="940"/>
      <c r="AI23" s="300"/>
      <c r="AJ23" s="938"/>
      <c r="AK23" s="938"/>
      <c r="AL23" s="938"/>
      <c r="AM23" s="938"/>
      <c r="AN23" s="938"/>
      <c r="AO23" s="938"/>
      <c r="AP23" s="938"/>
      <c r="AQ23" s="938"/>
      <c r="AR23" s="686"/>
      <c r="AS23" s="686"/>
    </row>
    <row r="24" s="141" customFormat="1" customHeight="1" spans="1:45">
      <c r="A24" s="14" t="s">
        <v>219</v>
      </c>
      <c r="B24" s="14" t="s">
        <v>220</v>
      </c>
      <c r="C24" s="15" t="s">
        <v>76</v>
      </c>
      <c r="D24" s="928">
        <v>26.7</v>
      </c>
      <c r="E24" s="929">
        <v>80482</v>
      </c>
      <c r="F24" s="929">
        <v>4378</v>
      </c>
      <c r="G24" s="929">
        <v>455</v>
      </c>
      <c r="H24" s="887">
        <v>0.104</v>
      </c>
      <c r="I24" s="890">
        <v>32</v>
      </c>
      <c r="J24" s="890">
        <v>18</v>
      </c>
      <c r="K24" s="929">
        <v>2965</v>
      </c>
      <c r="L24" s="930">
        <v>1.48</v>
      </c>
      <c r="M24" s="879">
        <v>308</v>
      </c>
      <c r="N24" s="931">
        <v>0.4665</v>
      </c>
      <c r="O24" s="932">
        <v>0.4815</v>
      </c>
      <c r="P24" s="933" t="s">
        <v>221</v>
      </c>
      <c r="Q24" s="933" t="s">
        <v>222</v>
      </c>
      <c r="R24" s="934" t="s">
        <v>223</v>
      </c>
      <c r="S24" s="929">
        <v>8334</v>
      </c>
      <c r="T24" s="886">
        <v>4.5</v>
      </c>
      <c r="U24" s="935" t="s">
        <v>69</v>
      </c>
      <c r="V24" s="900" t="s">
        <v>224</v>
      </c>
      <c r="W24" s="936">
        <v>0.2483</v>
      </c>
      <c r="X24" s="936">
        <v>0.2993</v>
      </c>
      <c r="Y24" s="900" t="s">
        <v>225</v>
      </c>
      <c r="Z24" s="936">
        <v>0.1199</v>
      </c>
      <c r="AA24" s="936">
        <v>0.0672</v>
      </c>
      <c r="AB24" s="900" t="s">
        <v>226</v>
      </c>
      <c r="AC24" s="936">
        <v>0.0983</v>
      </c>
      <c r="AD24" s="936">
        <v>0.115</v>
      </c>
      <c r="AE24" s="909" t="s">
        <v>227</v>
      </c>
      <c r="AF24" s="909"/>
      <c r="AG24" s="940"/>
      <c r="AI24" s="300"/>
      <c r="AJ24" s="938"/>
      <c r="AK24" s="938"/>
      <c r="AL24" s="938"/>
      <c r="AM24" s="938"/>
      <c r="AN24" s="938"/>
      <c r="AO24" s="938"/>
      <c r="AP24" s="938"/>
      <c r="AQ24" s="938"/>
      <c r="AR24" s="686"/>
      <c r="AS24" s="686"/>
    </row>
    <row r="25" s="141" customFormat="1" customHeight="1" spans="1:45">
      <c r="A25" s="14" t="s">
        <v>228</v>
      </c>
      <c r="B25" s="14" t="s">
        <v>229</v>
      </c>
      <c r="C25" s="15" t="s">
        <v>65</v>
      </c>
      <c r="D25" s="928">
        <v>31.1</v>
      </c>
      <c r="E25" s="929">
        <v>89048</v>
      </c>
      <c r="F25" s="929">
        <v>3929</v>
      </c>
      <c r="G25" s="929">
        <v>130</v>
      </c>
      <c r="H25" s="887">
        <v>0.0331</v>
      </c>
      <c r="I25" s="890">
        <v>29</v>
      </c>
      <c r="J25" s="890">
        <v>0</v>
      </c>
      <c r="K25" s="929">
        <v>212</v>
      </c>
      <c r="L25" s="930">
        <v>18.53</v>
      </c>
      <c r="M25" s="879">
        <v>48</v>
      </c>
      <c r="N25" s="931">
        <v>0.321</v>
      </c>
      <c r="O25" s="932">
        <v>0.4274</v>
      </c>
      <c r="P25" s="933"/>
      <c r="Q25" s="933" t="s">
        <v>230</v>
      </c>
      <c r="R25" s="934" t="s">
        <v>231</v>
      </c>
      <c r="S25" s="929">
        <v>18278</v>
      </c>
      <c r="T25" s="886">
        <v>4.5</v>
      </c>
      <c r="U25" s="935" t="s">
        <v>69</v>
      </c>
      <c r="V25" s="900" t="s">
        <v>71</v>
      </c>
      <c r="W25" s="936">
        <v>0.1165</v>
      </c>
      <c r="X25" s="936">
        <v>0.1455</v>
      </c>
      <c r="Y25" s="900" t="s">
        <v>193</v>
      </c>
      <c r="Z25" s="936">
        <v>0.1143</v>
      </c>
      <c r="AA25" s="936">
        <v>0.1455</v>
      </c>
      <c r="AB25" s="900" t="s">
        <v>232</v>
      </c>
      <c r="AC25" s="936">
        <v>0.0903</v>
      </c>
      <c r="AD25" s="936">
        <v>0.1364</v>
      </c>
      <c r="AE25" s="909" t="s">
        <v>233</v>
      </c>
      <c r="AF25" s="909"/>
      <c r="AG25" s="940"/>
    </row>
    <row r="26" s="141" customFormat="1" customHeight="1" spans="1:45">
      <c r="A26" s="14" t="s">
        <v>234</v>
      </c>
      <c r="B26" s="14" t="s">
        <v>235</v>
      </c>
      <c r="C26" s="15" t="s">
        <v>76</v>
      </c>
      <c r="D26" s="928">
        <v>33.3</v>
      </c>
      <c r="E26" s="929">
        <v>103099</v>
      </c>
      <c r="F26" s="929">
        <v>3426</v>
      </c>
      <c r="G26" s="929">
        <v>257</v>
      </c>
      <c r="H26" s="887">
        <v>0.0753</v>
      </c>
      <c r="I26" s="890">
        <v>30</v>
      </c>
      <c r="J26" s="890">
        <v>5</v>
      </c>
      <c r="K26" s="929">
        <v>335</v>
      </c>
      <c r="L26" s="930">
        <v>10.23</v>
      </c>
      <c r="M26" s="879">
        <v>85</v>
      </c>
      <c r="N26" s="931">
        <v>0.5569</v>
      </c>
      <c r="O26" s="932">
        <v>0.6809</v>
      </c>
      <c r="P26" s="933" t="s">
        <v>236</v>
      </c>
      <c r="Q26" s="933" t="s">
        <v>237</v>
      </c>
      <c r="R26" s="934" t="s">
        <v>199</v>
      </c>
      <c r="S26" s="929">
        <v>18300</v>
      </c>
      <c r="T26" s="886">
        <v>4.5</v>
      </c>
      <c r="U26" s="935" t="s">
        <v>69</v>
      </c>
      <c r="V26" s="900" t="s">
        <v>71</v>
      </c>
      <c r="W26" s="936">
        <v>0.3547</v>
      </c>
      <c r="X26" s="936">
        <v>0.4043</v>
      </c>
      <c r="Y26" s="900" t="s">
        <v>155</v>
      </c>
      <c r="Z26" s="936">
        <v>0.1059</v>
      </c>
      <c r="AA26" s="936">
        <v>0.0638</v>
      </c>
      <c r="AB26" s="900" t="s">
        <v>238</v>
      </c>
      <c r="AC26" s="936">
        <v>0.0963</v>
      </c>
      <c r="AD26" s="936">
        <v>0.2128</v>
      </c>
      <c r="AE26" s="909" t="s">
        <v>239</v>
      </c>
      <c r="AF26" s="909"/>
      <c r="AG26" s="940"/>
    </row>
    <row r="27" s="141" customFormat="1" customHeight="1" spans="1:45">
      <c r="A27" s="14" t="s">
        <v>240</v>
      </c>
      <c r="B27" s="14" t="s">
        <v>241</v>
      </c>
      <c r="C27" s="15" t="s">
        <v>76</v>
      </c>
      <c r="D27" s="928">
        <v>34.4</v>
      </c>
      <c r="E27" s="929">
        <v>108078</v>
      </c>
      <c r="F27" s="929">
        <v>3293</v>
      </c>
      <c r="G27" s="929">
        <v>170</v>
      </c>
      <c r="H27" s="887">
        <v>0.0518</v>
      </c>
      <c r="I27" s="890">
        <v>29</v>
      </c>
      <c r="J27" s="890">
        <v>0</v>
      </c>
      <c r="K27" s="929">
        <v>881</v>
      </c>
      <c r="L27" s="930">
        <v>3.74</v>
      </c>
      <c r="M27" s="879">
        <v>42</v>
      </c>
      <c r="N27" s="931">
        <v>0.6258</v>
      </c>
      <c r="O27" s="932">
        <v>0.626</v>
      </c>
      <c r="P27" s="933" t="s">
        <v>242</v>
      </c>
      <c r="Q27" s="933" t="s">
        <v>243</v>
      </c>
      <c r="R27" s="934" t="s">
        <v>244</v>
      </c>
      <c r="S27" s="929">
        <v>18286</v>
      </c>
      <c r="T27" s="886">
        <v>4.5</v>
      </c>
      <c r="U27" s="935" t="s">
        <v>69</v>
      </c>
      <c r="V27" s="900" t="s">
        <v>129</v>
      </c>
      <c r="W27" s="936">
        <v>0.2932</v>
      </c>
      <c r="X27" s="936">
        <v>0.2519</v>
      </c>
      <c r="Y27" s="900" t="s">
        <v>71</v>
      </c>
      <c r="Z27" s="936">
        <v>0.176</v>
      </c>
      <c r="AA27" s="936">
        <v>0.2672</v>
      </c>
      <c r="AB27" s="900" t="s">
        <v>245</v>
      </c>
      <c r="AC27" s="936">
        <v>0.1567</v>
      </c>
      <c r="AD27" s="936">
        <v>0.1069</v>
      </c>
      <c r="AE27" s="909" t="s">
        <v>246</v>
      </c>
      <c r="AF27" s="909"/>
      <c r="AG27" s="940"/>
      <c r="AI27" s="589" t="s">
        <v>247</v>
      </c>
      <c r="AJ27" s="941"/>
      <c r="AK27" s="942"/>
      <c r="AL27" s="942"/>
      <c r="AM27" s="942"/>
      <c r="AN27" s="942"/>
      <c r="AO27" s="942"/>
      <c r="AP27" s="942"/>
      <c r="AQ27" s="942"/>
      <c r="AR27" s="942"/>
      <c r="AS27" s="942"/>
    </row>
    <row r="28" s="141" customFormat="1" customHeight="1" spans="1:45">
      <c r="A28" s="14" t="s">
        <v>248</v>
      </c>
      <c r="B28" s="14" t="s">
        <v>249</v>
      </c>
      <c r="C28" s="15" t="s">
        <v>65</v>
      </c>
      <c r="D28" s="928">
        <v>45.6</v>
      </c>
      <c r="E28" s="929">
        <v>117182</v>
      </c>
      <c r="F28" s="929">
        <v>3121</v>
      </c>
      <c r="G28" s="929">
        <v>58</v>
      </c>
      <c r="H28" s="887">
        <v>0.0186</v>
      </c>
      <c r="I28" s="890">
        <v>33</v>
      </c>
      <c r="J28" s="890">
        <v>0</v>
      </c>
      <c r="K28" s="929">
        <v>1163</v>
      </c>
      <c r="L28" s="930">
        <v>2.68</v>
      </c>
      <c r="M28" s="879">
        <v>15</v>
      </c>
      <c r="N28" s="931">
        <v>0.5572</v>
      </c>
      <c r="O28" s="932">
        <v>0.7119</v>
      </c>
      <c r="P28" s="933" t="s">
        <v>250</v>
      </c>
      <c r="Q28" s="933" t="s">
        <v>251</v>
      </c>
      <c r="R28" s="934" t="s">
        <v>68</v>
      </c>
      <c r="S28" s="929">
        <v>31423</v>
      </c>
      <c r="T28" s="886">
        <v>4.5</v>
      </c>
      <c r="U28" s="935" t="s">
        <v>69</v>
      </c>
      <c r="V28" s="900" t="s">
        <v>70</v>
      </c>
      <c r="W28" s="936">
        <v>0.2186</v>
      </c>
      <c r="X28" s="936">
        <v>0.2458</v>
      </c>
      <c r="Y28" s="900" t="s">
        <v>71</v>
      </c>
      <c r="Z28" s="936">
        <v>0.1867</v>
      </c>
      <c r="AA28" s="936">
        <v>0.2797</v>
      </c>
      <c r="AB28" s="900" t="s">
        <v>72</v>
      </c>
      <c r="AC28" s="936">
        <v>0.1519</v>
      </c>
      <c r="AD28" s="936">
        <v>0.1864</v>
      </c>
      <c r="AE28" s="909" t="s">
        <v>252</v>
      </c>
      <c r="AF28" s="909"/>
      <c r="AG28" s="940"/>
      <c r="AI28" s="589"/>
      <c r="AJ28" s="942"/>
      <c r="AK28" s="942"/>
      <c r="AL28" s="942"/>
      <c r="AM28" s="942"/>
      <c r="AN28" s="942"/>
      <c r="AO28" s="942"/>
      <c r="AP28" s="942"/>
      <c r="AQ28" s="942"/>
      <c r="AR28" s="942"/>
      <c r="AS28" s="942"/>
    </row>
    <row r="29" s="141" customFormat="1" customHeight="1" spans="1:45">
      <c r="A29" s="14" t="s">
        <v>253</v>
      </c>
      <c r="B29" s="14" t="s">
        <v>254</v>
      </c>
      <c r="C29" s="15" t="s">
        <v>76</v>
      </c>
      <c r="D29" s="928">
        <v>30</v>
      </c>
      <c r="E29" s="929">
        <v>113103</v>
      </c>
      <c r="F29" s="929">
        <v>3054</v>
      </c>
      <c r="G29" s="929">
        <v>242</v>
      </c>
      <c r="H29" s="887">
        <v>0.0793</v>
      </c>
      <c r="I29" s="890">
        <v>32</v>
      </c>
      <c r="J29" s="890">
        <v>0</v>
      </c>
      <c r="K29" s="929">
        <v>101</v>
      </c>
      <c r="L29" s="930">
        <v>30.24</v>
      </c>
      <c r="M29" s="879">
        <v>48</v>
      </c>
      <c r="N29" s="931">
        <v>0.6535</v>
      </c>
      <c r="O29" s="932">
        <v>0.7017</v>
      </c>
      <c r="P29" s="933" t="s">
        <v>255</v>
      </c>
      <c r="Q29" s="933" t="s">
        <v>256</v>
      </c>
      <c r="R29" s="934" t="s">
        <v>79</v>
      </c>
      <c r="S29" s="929">
        <v>31357</v>
      </c>
      <c r="T29" s="886">
        <v>4.5</v>
      </c>
      <c r="U29" s="935" t="s">
        <v>94</v>
      </c>
      <c r="V29" s="900" t="s">
        <v>72</v>
      </c>
      <c r="W29" s="936">
        <v>0.4438</v>
      </c>
      <c r="X29" s="936">
        <v>0.5263</v>
      </c>
      <c r="Y29" s="900" t="s">
        <v>95</v>
      </c>
      <c r="Z29" s="936">
        <v>0.1176</v>
      </c>
      <c r="AA29" s="936">
        <v>0.0877</v>
      </c>
      <c r="AB29" s="900" t="s">
        <v>257</v>
      </c>
      <c r="AC29" s="936">
        <v>0.0922</v>
      </c>
      <c r="AD29" s="936">
        <v>0.0877</v>
      </c>
      <c r="AE29" s="909" t="s">
        <v>258</v>
      </c>
      <c r="AF29" s="909"/>
      <c r="AG29" s="940"/>
      <c r="AI29" s="589"/>
      <c r="AJ29" s="942"/>
      <c r="AK29" s="942"/>
      <c r="AL29" s="942"/>
      <c r="AM29" s="942"/>
      <c r="AN29" s="942"/>
      <c r="AO29" s="942"/>
      <c r="AP29" s="942"/>
      <c r="AQ29" s="942"/>
      <c r="AR29" s="942"/>
      <c r="AS29" s="942"/>
    </row>
    <row r="30" s="141" customFormat="1" customHeight="1" spans="1:45">
      <c r="A30" s="14" t="s">
        <v>259</v>
      </c>
      <c r="B30" s="14" t="s">
        <v>260</v>
      </c>
      <c r="C30" s="15" t="s">
        <v>76</v>
      </c>
      <c r="D30" s="928">
        <v>28.9</v>
      </c>
      <c r="E30" s="929">
        <v>121662</v>
      </c>
      <c r="F30" s="929">
        <v>2958</v>
      </c>
      <c r="G30" s="929">
        <v>51</v>
      </c>
      <c r="H30" s="887">
        <v>0.0175</v>
      </c>
      <c r="I30" s="890">
        <v>31</v>
      </c>
      <c r="J30" s="890">
        <v>1</v>
      </c>
      <c r="K30" s="929">
        <v>1324</v>
      </c>
      <c r="L30" s="930">
        <v>2.23</v>
      </c>
      <c r="M30" s="879">
        <v>4</v>
      </c>
      <c r="N30" s="931">
        <v>0.3698</v>
      </c>
      <c r="O30" s="932">
        <v>0.3728</v>
      </c>
      <c r="P30" s="933" t="s">
        <v>261</v>
      </c>
      <c r="Q30" s="933" t="s">
        <v>262</v>
      </c>
      <c r="R30" s="934" t="s">
        <v>79</v>
      </c>
      <c r="S30" s="929">
        <v>6111</v>
      </c>
      <c r="T30" s="886">
        <v>4.5</v>
      </c>
      <c r="U30" s="935" t="s">
        <v>69</v>
      </c>
      <c r="V30" s="900" t="s">
        <v>80</v>
      </c>
      <c r="W30" s="936">
        <v>0.1371</v>
      </c>
      <c r="X30" s="936">
        <v>0.1186</v>
      </c>
      <c r="Y30" s="900" t="s">
        <v>178</v>
      </c>
      <c r="Z30" s="936">
        <v>0.1341</v>
      </c>
      <c r="AA30" s="936">
        <v>0.1186</v>
      </c>
      <c r="AB30" s="900" t="s">
        <v>263</v>
      </c>
      <c r="AC30" s="936">
        <v>0.0986</v>
      </c>
      <c r="AD30" s="936">
        <v>0.1356</v>
      </c>
      <c r="AE30" s="909" t="s">
        <v>264</v>
      </c>
      <c r="AF30" s="909"/>
      <c r="AG30" s="940"/>
      <c r="AI30" s="589"/>
      <c r="AJ30" s="942"/>
      <c r="AK30" s="942"/>
      <c r="AL30" s="942"/>
      <c r="AM30" s="942"/>
      <c r="AN30" s="942"/>
      <c r="AO30" s="942"/>
      <c r="AP30" s="942"/>
      <c r="AQ30" s="942"/>
      <c r="AR30" s="942"/>
      <c r="AS30" s="942"/>
    </row>
    <row r="31" s="141" customFormat="1" customHeight="1" spans="1:45">
      <c r="A31" s="14" t="s">
        <v>265</v>
      </c>
      <c r="B31" s="14" t="s">
        <v>266</v>
      </c>
      <c r="C31" s="15" t="s">
        <v>65</v>
      </c>
      <c r="D31" s="928">
        <v>24.4</v>
      </c>
      <c r="E31" s="929">
        <v>124422</v>
      </c>
      <c r="F31" s="929">
        <v>2888</v>
      </c>
      <c r="G31" s="929">
        <v>65</v>
      </c>
      <c r="H31" s="887">
        <v>0.0228</v>
      </c>
      <c r="I31" s="890">
        <v>30</v>
      </c>
      <c r="J31" s="890">
        <v>2</v>
      </c>
      <c r="K31" s="929">
        <v>144</v>
      </c>
      <c r="L31" s="930">
        <v>20.06</v>
      </c>
      <c r="M31" s="879">
        <v>26</v>
      </c>
      <c r="N31" s="931">
        <v>0.6603</v>
      </c>
      <c r="O31" s="932">
        <v>0.5862</v>
      </c>
      <c r="P31" s="933" t="s">
        <v>267</v>
      </c>
      <c r="Q31" s="933" t="s">
        <v>268</v>
      </c>
      <c r="R31" s="934" t="s">
        <v>269</v>
      </c>
      <c r="S31" s="929">
        <v>1063</v>
      </c>
      <c r="T31" s="886">
        <v>4.4</v>
      </c>
      <c r="U31" s="935" t="s">
        <v>69</v>
      </c>
      <c r="V31" s="900" t="s">
        <v>270</v>
      </c>
      <c r="W31" s="936">
        <v>0.4174</v>
      </c>
      <c r="X31" s="936">
        <v>0.4483</v>
      </c>
      <c r="Y31" s="900" t="s">
        <v>271</v>
      </c>
      <c r="Z31" s="936">
        <v>0.1435</v>
      </c>
      <c r="AA31" s="936">
        <v>0.0345</v>
      </c>
      <c r="AB31" s="900" t="s">
        <v>272</v>
      </c>
      <c r="AC31" s="936">
        <v>0.0995</v>
      </c>
      <c r="AD31" s="936">
        <v>0.1034</v>
      </c>
      <c r="AE31" s="909" t="s">
        <v>273</v>
      </c>
      <c r="AF31" s="909"/>
      <c r="AG31" s="940"/>
      <c r="AI31" s="589"/>
      <c r="AJ31" s="942"/>
      <c r="AK31" s="942"/>
      <c r="AL31" s="942"/>
      <c r="AM31" s="942"/>
      <c r="AN31" s="942"/>
      <c r="AO31" s="942"/>
      <c r="AP31" s="942"/>
      <c r="AQ31" s="942"/>
      <c r="AR31" s="942"/>
      <c r="AS31" s="942"/>
    </row>
    <row r="32" s="141" customFormat="1" customHeight="1" spans="1:45">
      <c r="A32" s="14" t="s">
        <v>274</v>
      </c>
      <c r="B32" s="14" t="s">
        <v>275</v>
      </c>
      <c r="C32" s="15" t="s">
        <v>76</v>
      </c>
      <c r="D32" s="928">
        <v>24.4</v>
      </c>
      <c r="E32" s="929">
        <v>141323</v>
      </c>
      <c r="F32" s="929">
        <v>2523</v>
      </c>
      <c r="G32" s="929">
        <v>35</v>
      </c>
      <c r="H32" s="887">
        <v>0.0142</v>
      </c>
      <c r="I32" s="890">
        <v>27</v>
      </c>
      <c r="J32" s="890">
        <v>0</v>
      </c>
      <c r="K32" s="929">
        <v>105</v>
      </c>
      <c r="L32" s="930">
        <v>24.03</v>
      </c>
      <c r="M32" s="879">
        <v>5</v>
      </c>
      <c r="N32" s="931">
        <v>0.5216</v>
      </c>
      <c r="O32" s="932">
        <v>0.6316</v>
      </c>
      <c r="P32" s="933" t="s">
        <v>276</v>
      </c>
      <c r="Q32" s="933" t="s">
        <v>277</v>
      </c>
      <c r="R32" s="934" t="s">
        <v>278</v>
      </c>
      <c r="S32" s="929">
        <v>177</v>
      </c>
      <c r="T32" s="886">
        <v>4.5</v>
      </c>
      <c r="U32" s="935" t="s">
        <v>69</v>
      </c>
      <c r="V32" s="900" t="s">
        <v>279</v>
      </c>
      <c r="W32" s="936">
        <v>0.1993</v>
      </c>
      <c r="X32" s="936">
        <v>0.4211</v>
      </c>
      <c r="Y32" s="900" t="s">
        <v>280</v>
      </c>
      <c r="Z32" s="936">
        <v>0.1617</v>
      </c>
      <c r="AA32" s="936">
        <v>0</v>
      </c>
      <c r="AB32" s="900" t="s">
        <v>281</v>
      </c>
      <c r="AC32" s="936">
        <v>0.1606</v>
      </c>
      <c r="AD32" s="936">
        <v>0.2105</v>
      </c>
      <c r="AE32" s="909" t="s">
        <v>282</v>
      </c>
      <c r="AF32" s="909"/>
      <c r="AG32" s="940"/>
      <c r="AI32" s="589"/>
      <c r="AJ32" s="942"/>
      <c r="AK32" s="942"/>
      <c r="AL32" s="942"/>
      <c r="AM32" s="942"/>
      <c r="AN32" s="942"/>
      <c r="AO32" s="942"/>
      <c r="AP32" s="942"/>
      <c r="AQ32" s="942"/>
      <c r="AR32" s="942"/>
      <c r="AS32" s="942"/>
    </row>
    <row r="33" s="141" customFormat="1" customHeight="1" spans="1:45">
      <c r="A33" s="14" t="s">
        <v>283</v>
      </c>
      <c r="B33" s="14" t="s">
        <v>64</v>
      </c>
      <c r="C33" s="15" t="s">
        <v>76</v>
      </c>
      <c r="D33" s="928">
        <v>32.2</v>
      </c>
      <c r="E33" s="929">
        <v>150451</v>
      </c>
      <c r="F33" s="929">
        <v>2414</v>
      </c>
      <c r="G33" s="929">
        <v>18</v>
      </c>
      <c r="H33" s="887">
        <v>0.0076</v>
      </c>
      <c r="I33" s="890">
        <v>29</v>
      </c>
      <c r="J33" s="890">
        <v>0</v>
      </c>
      <c r="K33" s="929">
        <v>1222</v>
      </c>
      <c r="L33" s="930">
        <v>1.98</v>
      </c>
      <c r="M33" s="879">
        <v>19</v>
      </c>
      <c r="N33" s="931">
        <v>0.305</v>
      </c>
      <c r="O33" s="932">
        <v>0.3846</v>
      </c>
      <c r="P33" s="933" t="s">
        <v>276</v>
      </c>
      <c r="Q33" s="933" t="s">
        <v>284</v>
      </c>
      <c r="R33" s="934" t="s">
        <v>285</v>
      </c>
      <c r="S33" s="929">
        <v>10805</v>
      </c>
      <c r="T33" s="886">
        <v>4.5</v>
      </c>
      <c r="U33" s="935" t="s">
        <v>177</v>
      </c>
      <c r="V33" s="900" t="s">
        <v>130</v>
      </c>
      <c r="W33" s="936">
        <v>0.1693</v>
      </c>
      <c r="X33" s="936">
        <v>0.2308</v>
      </c>
      <c r="Y33" s="900" t="s">
        <v>286</v>
      </c>
      <c r="Z33" s="936">
        <v>0.0751</v>
      </c>
      <c r="AA33" s="936">
        <v>0</v>
      </c>
      <c r="AB33" s="900" t="s">
        <v>71</v>
      </c>
      <c r="AC33" s="936">
        <v>0.0607</v>
      </c>
      <c r="AD33" s="936">
        <v>0.1538</v>
      </c>
      <c r="AE33" s="909" t="s">
        <v>287</v>
      </c>
      <c r="AF33" s="909"/>
      <c r="AG33" s="940"/>
      <c r="AI33" s="589"/>
      <c r="AJ33" s="942"/>
      <c r="AK33" s="942"/>
      <c r="AL33" s="942"/>
      <c r="AM33" s="942"/>
      <c r="AN33" s="942"/>
      <c r="AO33" s="942"/>
      <c r="AP33" s="942"/>
      <c r="AQ33" s="942"/>
      <c r="AR33" s="942"/>
      <c r="AS33" s="942"/>
    </row>
    <row r="34" s="141" customFormat="1" customHeight="1" spans="1:45">
      <c r="A34" s="14" t="s">
        <v>288</v>
      </c>
      <c r="B34" s="14" t="s">
        <v>289</v>
      </c>
      <c r="C34" s="15" t="s">
        <v>76</v>
      </c>
      <c r="D34" s="928">
        <v>26.7</v>
      </c>
      <c r="E34" s="929">
        <v>155384</v>
      </c>
      <c r="F34" s="929">
        <v>2356</v>
      </c>
      <c r="G34" s="929">
        <v>32</v>
      </c>
      <c r="H34" s="887">
        <v>0.0137</v>
      </c>
      <c r="I34" s="890">
        <v>29</v>
      </c>
      <c r="J34" s="890">
        <v>0</v>
      </c>
      <c r="K34" s="929">
        <v>51</v>
      </c>
      <c r="L34" s="930">
        <v>46.2</v>
      </c>
      <c r="M34" s="879">
        <v>15</v>
      </c>
      <c r="N34" s="931">
        <v>0.7063</v>
      </c>
      <c r="O34" s="932">
        <v>0.7</v>
      </c>
      <c r="P34" s="933" t="s">
        <v>77</v>
      </c>
      <c r="Q34" s="933" t="s">
        <v>290</v>
      </c>
      <c r="R34" s="934" t="s">
        <v>269</v>
      </c>
      <c r="S34" s="929">
        <v>10443</v>
      </c>
      <c r="T34" s="886">
        <v>4.5</v>
      </c>
      <c r="U34" s="935" t="s">
        <v>94</v>
      </c>
      <c r="V34" s="900" t="s">
        <v>291</v>
      </c>
      <c r="W34" s="936">
        <v>0.3491</v>
      </c>
      <c r="X34" s="936">
        <v>0</v>
      </c>
      <c r="Y34" s="900" t="s">
        <v>292</v>
      </c>
      <c r="Z34" s="936">
        <v>0.2464</v>
      </c>
      <c r="AA34" s="936">
        <v>0.7</v>
      </c>
      <c r="AB34" s="900" t="s">
        <v>270</v>
      </c>
      <c r="AC34" s="936">
        <v>0.1109</v>
      </c>
      <c r="AD34" s="936">
        <v>0</v>
      </c>
      <c r="AE34" s="909" t="s">
        <v>293</v>
      </c>
      <c r="AF34" s="909"/>
      <c r="AG34" s="940"/>
      <c r="AI34" s="589"/>
      <c r="AJ34" s="942"/>
      <c r="AK34" s="942"/>
      <c r="AL34" s="942"/>
      <c r="AM34" s="942"/>
      <c r="AN34" s="942"/>
      <c r="AO34" s="942"/>
      <c r="AP34" s="942"/>
      <c r="AQ34" s="942"/>
      <c r="AR34" s="942"/>
      <c r="AS34" s="942"/>
    </row>
    <row r="35" s="141" customFormat="1" customHeight="1" spans="1:45">
      <c r="A35" s="14" t="s">
        <v>294</v>
      </c>
      <c r="B35" s="14" t="s">
        <v>295</v>
      </c>
      <c r="C35" s="15" t="s">
        <v>76</v>
      </c>
      <c r="D35" s="928">
        <v>33.3</v>
      </c>
      <c r="E35" s="929">
        <v>173611</v>
      </c>
      <c r="F35" s="929">
        <v>2133</v>
      </c>
      <c r="G35" s="929">
        <v>39</v>
      </c>
      <c r="H35" s="887">
        <v>0.0184</v>
      </c>
      <c r="I35" s="890">
        <v>29</v>
      </c>
      <c r="J35" s="890">
        <v>0</v>
      </c>
      <c r="K35" s="929">
        <v>518</v>
      </c>
      <c r="L35" s="930">
        <v>4.12</v>
      </c>
      <c r="M35" s="879">
        <v>23</v>
      </c>
      <c r="N35" s="931">
        <v>0.4081</v>
      </c>
      <c r="O35" s="932">
        <v>0.3784</v>
      </c>
      <c r="P35" s="933" t="s">
        <v>296</v>
      </c>
      <c r="Q35" s="933" t="s">
        <v>297</v>
      </c>
      <c r="R35" s="934" t="s">
        <v>79</v>
      </c>
      <c r="S35" s="929">
        <v>5163</v>
      </c>
      <c r="T35" s="886">
        <v>4.5</v>
      </c>
      <c r="U35" s="935" t="s">
        <v>69</v>
      </c>
      <c r="V35" s="900" t="s">
        <v>147</v>
      </c>
      <c r="W35" s="936">
        <v>0.153</v>
      </c>
      <c r="X35" s="936">
        <v>0.2162</v>
      </c>
      <c r="Y35" s="900" t="s">
        <v>298</v>
      </c>
      <c r="Z35" s="936">
        <v>0.1376</v>
      </c>
      <c r="AA35" s="936">
        <v>0.0811</v>
      </c>
      <c r="AB35" s="900" t="s">
        <v>80</v>
      </c>
      <c r="AC35" s="936">
        <v>0.1175</v>
      </c>
      <c r="AD35" s="936">
        <v>0.0811</v>
      </c>
      <c r="AE35" s="909" t="s">
        <v>299</v>
      </c>
      <c r="AF35" s="909"/>
      <c r="AG35" s="940"/>
      <c r="AI35" s="589"/>
      <c r="AJ35" s="942"/>
      <c r="AK35" s="942"/>
      <c r="AL35" s="942"/>
      <c r="AM35" s="942"/>
      <c r="AN35" s="942"/>
      <c r="AO35" s="942"/>
      <c r="AP35" s="942"/>
      <c r="AQ35" s="942"/>
      <c r="AR35" s="942"/>
      <c r="AS35" s="942"/>
    </row>
    <row r="36" s="141" customFormat="1" customHeight="1" spans="1:45">
      <c r="A36" s="14" t="s">
        <v>300</v>
      </c>
      <c r="B36" s="14" t="s">
        <v>301</v>
      </c>
      <c r="C36" s="15" t="s">
        <v>76</v>
      </c>
      <c r="D36" s="928">
        <v>24.4</v>
      </c>
      <c r="E36" s="929">
        <v>169987</v>
      </c>
      <c r="F36" s="929">
        <v>2108</v>
      </c>
      <c r="G36" s="929">
        <v>53</v>
      </c>
      <c r="H36" s="887">
        <v>0.0252</v>
      </c>
      <c r="I36" s="890">
        <v>29</v>
      </c>
      <c r="J36" s="890">
        <v>1</v>
      </c>
      <c r="K36" s="929">
        <v>69</v>
      </c>
      <c r="L36" s="930">
        <v>30.55</v>
      </c>
      <c r="M36" s="879">
        <v>67</v>
      </c>
      <c r="N36" s="931">
        <v>0.6592</v>
      </c>
      <c r="O36" s="932">
        <v>0.6487</v>
      </c>
      <c r="P36" s="933" t="s">
        <v>267</v>
      </c>
      <c r="Q36" s="933" t="s">
        <v>302</v>
      </c>
      <c r="R36" s="934" t="s">
        <v>303</v>
      </c>
      <c r="S36" s="929">
        <v>5163</v>
      </c>
      <c r="T36" s="886">
        <v>4.8</v>
      </c>
      <c r="U36" s="935" t="s">
        <v>69</v>
      </c>
      <c r="V36" s="900" t="s">
        <v>80</v>
      </c>
      <c r="W36" s="936">
        <v>0.2642</v>
      </c>
      <c r="X36" s="936">
        <v>0.2613</v>
      </c>
      <c r="Y36" s="900" t="s">
        <v>304</v>
      </c>
      <c r="Z36" s="936">
        <v>0.2008</v>
      </c>
      <c r="AA36" s="936">
        <v>0.1982</v>
      </c>
      <c r="AB36" s="900" t="s">
        <v>305</v>
      </c>
      <c r="AC36" s="936">
        <v>0.1942</v>
      </c>
      <c r="AD36" s="936">
        <v>0.1892</v>
      </c>
      <c r="AE36" s="909" t="s">
        <v>306</v>
      </c>
      <c r="AF36" s="909"/>
      <c r="AG36" s="940"/>
      <c r="AI36" s="589"/>
      <c r="AJ36" s="942"/>
      <c r="AK36" s="942"/>
      <c r="AL36" s="942"/>
      <c r="AM36" s="942"/>
      <c r="AN36" s="942"/>
      <c r="AO36" s="942"/>
      <c r="AP36" s="942"/>
      <c r="AQ36" s="942"/>
      <c r="AR36" s="942"/>
      <c r="AS36" s="942"/>
    </row>
    <row r="37" s="141" customFormat="1" customHeight="1" spans="1:45">
      <c r="A37" s="14" t="s">
        <v>307</v>
      </c>
      <c r="B37" s="14" t="s">
        <v>308</v>
      </c>
      <c r="C37" s="15" t="s">
        <v>76</v>
      </c>
      <c r="D37" s="928">
        <v>28.9</v>
      </c>
      <c r="E37" s="929">
        <v>177627</v>
      </c>
      <c r="F37" s="929">
        <v>2097</v>
      </c>
      <c r="G37" s="929">
        <v>86</v>
      </c>
      <c r="H37" s="887">
        <v>0.0412</v>
      </c>
      <c r="I37" s="890">
        <v>29</v>
      </c>
      <c r="J37" s="890">
        <v>2</v>
      </c>
      <c r="K37" s="929">
        <v>446</v>
      </c>
      <c r="L37" s="930">
        <v>4.7</v>
      </c>
      <c r="M37" s="879">
        <v>27</v>
      </c>
      <c r="N37" s="931">
        <v>0.6039</v>
      </c>
      <c r="O37" s="932">
        <v>0.6667</v>
      </c>
      <c r="P37" s="933" t="s">
        <v>309</v>
      </c>
      <c r="Q37" s="933" t="s">
        <v>310</v>
      </c>
      <c r="R37" s="934" t="s">
        <v>311</v>
      </c>
      <c r="S37" s="929">
        <v>18278</v>
      </c>
      <c r="T37" s="886">
        <v>4.5</v>
      </c>
      <c r="U37" s="935" t="s">
        <v>69</v>
      </c>
      <c r="V37" s="900" t="s">
        <v>129</v>
      </c>
      <c r="W37" s="936">
        <v>0.332</v>
      </c>
      <c r="X37" s="936">
        <v>0.2917</v>
      </c>
      <c r="Y37" s="900" t="s">
        <v>71</v>
      </c>
      <c r="Z37" s="936">
        <v>0.1695</v>
      </c>
      <c r="AA37" s="936">
        <v>0.2222</v>
      </c>
      <c r="AB37" s="900" t="s">
        <v>312</v>
      </c>
      <c r="AC37" s="936">
        <v>0.1025</v>
      </c>
      <c r="AD37" s="936">
        <v>0.1528</v>
      </c>
      <c r="AE37" s="909" t="s">
        <v>313</v>
      </c>
      <c r="AF37" s="909"/>
      <c r="AG37" s="940"/>
    </row>
    <row r="38" s="141" customFormat="1" customHeight="1" spans="1:45">
      <c r="A38" s="14" t="s">
        <v>314</v>
      </c>
      <c r="B38" s="14" t="s">
        <v>315</v>
      </c>
      <c r="C38" s="15" t="s">
        <v>76</v>
      </c>
      <c r="D38" s="928">
        <v>26.7</v>
      </c>
      <c r="E38" s="929">
        <v>170413</v>
      </c>
      <c r="F38" s="929">
        <v>2081</v>
      </c>
      <c r="G38" s="929">
        <v>12</v>
      </c>
      <c r="H38" s="887">
        <v>0.0062</v>
      </c>
      <c r="I38" s="890">
        <v>29</v>
      </c>
      <c r="J38" s="890">
        <v>0</v>
      </c>
      <c r="K38" s="929">
        <v>138</v>
      </c>
      <c r="L38" s="930">
        <v>15.08</v>
      </c>
      <c r="M38" s="879">
        <v>11</v>
      </c>
      <c r="N38" s="931">
        <v>0.7476</v>
      </c>
      <c r="O38" s="932">
        <v>0.8282</v>
      </c>
      <c r="P38" s="933" t="s">
        <v>316</v>
      </c>
      <c r="Q38" s="933" t="s">
        <v>317</v>
      </c>
      <c r="R38" s="934" t="s">
        <v>318</v>
      </c>
      <c r="S38" s="929">
        <v>3215</v>
      </c>
      <c r="T38" s="886">
        <v>4.5</v>
      </c>
      <c r="U38" s="935" t="s">
        <v>69</v>
      </c>
      <c r="V38" s="900" t="s">
        <v>292</v>
      </c>
      <c r="W38" s="936">
        <v>0.3331</v>
      </c>
      <c r="X38" s="936">
        <v>0.3438</v>
      </c>
      <c r="Y38" s="900" t="s">
        <v>291</v>
      </c>
      <c r="Z38" s="936">
        <v>0.2546</v>
      </c>
      <c r="AA38" s="936">
        <v>0.3125</v>
      </c>
      <c r="AB38" s="900" t="s">
        <v>319</v>
      </c>
      <c r="AC38" s="936">
        <v>0.1601</v>
      </c>
      <c r="AD38" s="936">
        <v>0.1719</v>
      </c>
      <c r="AE38" s="909" t="s">
        <v>320</v>
      </c>
      <c r="AF38" s="909"/>
      <c r="AG38" s="940"/>
    </row>
    <row r="39" s="141" customFormat="1" customHeight="1" spans="1:45">
      <c r="A39" s="14" t="s">
        <v>321</v>
      </c>
      <c r="B39" s="14" t="s">
        <v>322</v>
      </c>
      <c r="C39" s="15" t="s">
        <v>76</v>
      </c>
      <c r="D39" s="928">
        <v>28.9</v>
      </c>
      <c r="E39" s="929">
        <v>178479</v>
      </c>
      <c r="F39" s="929">
        <v>2036</v>
      </c>
      <c r="G39" s="929">
        <v>37</v>
      </c>
      <c r="H39" s="887">
        <v>0.0186</v>
      </c>
      <c r="I39" s="890">
        <v>28</v>
      </c>
      <c r="J39" s="890">
        <v>0</v>
      </c>
      <c r="K39" s="929">
        <v>377</v>
      </c>
      <c r="L39" s="930">
        <v>5.4</v>
      </c>
      <c r="M39" s="879">
        <v>8</v>
      </c>
      <c r="N39" s="931">
        <v>0.3977</v>
      </c>
      <c r="O39" s="932">
        <v>0.5882</v>
      </c>
      <c r="P39" s="933" t="s">
        <v>323</v>
      </c>
      <c r="Q39" s="933" t="s">
        <v>324</v>
      </c>
      <c r="R39" s="934" t="s">
        <v>68</v>
      </c>
      <c r="S39" s="929">
        <v>32831</v>
      </c>
      <c r="T39" s="886">
        <v>4.5</v>
      </c>
      <c r="U39" s="935" t="s">
        <v>69</v>
      </c>
      <c r="V39" s="900" t="s">
        <v>232</v>
      </c>
      <c r="W39" s="936">
        <v>0.1519</v>
      </c>
      <c r="X39" s="936">
        <v>0.2941</v>
      </c>
      <c r="Y39" s="900" t="s">
        <v>155</v>
      </c>
      <c r="Z39" s="936">
        <v>0.1312</v>
      </c>
      <c r="AA39" s="936">
        <v>0.1176</v>
      </c>
      <c r="AB39" s="900" t="s">
        <v>70</v>
      </c>
      <c r="AC39" s="936">
        <v>0.1146</v>
      </c>
      <c r="AD39" s="936">
        <v>0.1765</v>
      </c>
      <c r="AE39" s="909" t="s">
        <v>325</v>
      </c>
      <c r="AF39" s="909"/>
      <c r="AG39" s="940"/>
    </row>
    <row r="40" s="141" customFormat="1" customHeight="1" spans="1:45">
      <c r="A40" s="14" t="s">
        <v>326</v>
      </c>
      <c r="B40" s="14" t="s">
        <v>327</v>
      </c>
      <c r="C40" s="15" t="s">
        <v>76</v>
      </c>
      <c r="D40" s="928">
        <v>30</v>
      </c>
      <c r="E40" s="929">
        <v>184842</v>
      </c>
      <c r="F40" s="929">
        <v>1992</v>
      </c>
      <c r="G40" s="929">
        <v>135</v>
      </c>
      <c r="H40" s="887">
        <v>0.068</v>
      </c>
      <c r="I40" s="890">
        <v>27</v>
      </c>
      <c r="J40" s="890">
        <v>0</v>
      </c>
      <c r="K40" s="929">
        <v>302</v>
      </c>
      <c r="L40" s="930">
        <v>6.6</v>
      </c>
      <c r="M40" s="879">
        <v>41</v>
      </c>
      <c r="N40" s="931">
        <v>0.5741</v>
      </c>
      <c r="O40" s="932">
        <v>0.5977</v>
      </c>
      <c r="P40" s="933" t="s">
        <v>328</v>
      </c>
      <c r="Q40" s="933" t="s">
        <v>329</v>
      </c>
      <c r="R40" s="934" t="s">
        <v>154</v>
      </c>
      <c r="S40" s="929">
        <v>20843</v>
      </c>
      <c r="T40" s="886">
        <v>4.5</v>
      </c>
      <c r="U40" s="935" t="s">
        <v>69</v>
      </c>
      <c r="V40" s="900" t="s">
        <v>71</v>
      </c>
      <c r="W40" s="936">
        <v>0.3215</v>
      </c>
      <c r="X40" s="936">
        <v>0.3659</v>
      </c>
      <c r="Y40" s="900" t="s">
        <v>155</v>
      </c>
      <c r="Z40" s="936">
        <v>0.163</v>
      </c>
      <c r="AA40" s="936">
        <v>0.122</v>
      </c>
      <c r="AB40" s="900" t="s">
        <v>156</v>
      </c>
      <c r="AC40" s="936">
        <v>0.0896</v>
      </c>
      <c r="AD40" s="936">
        <v>0.1098</v>
      </c>
      <c r="AE40" s="909" t="s">
        <v>330</v>
      </c>
      <c r="AF40" s="909"/>
      <c r="AG40" s="940"/>
    </row>
    <row r="41" s="141" customFormat="1" customHeight="1" spans="1:45">
      <c r="A41" s="14" t="s">
        <v>331</v>
      </c>
      <c r="B41" s="14" t="s">
        <v>332</v>
      </c>
      <c r="C41" s="15" t="s">
        <v>76</v>
      </c>
      <c r="D41" s="928">
        <v>28.9</v>
      </c>
      <c r="E41" s="929">
        <v>192764</v>
      </c>
      <c r="F41" s="929">
        <v>1868</v>
      </c>
      <c r="G41" s="929">
        <v>131</v>
      </c>
      <c r="H41" s="887">
        <v>0.0702</v>
      </c>
      <c r="I41" s="890">
        <v>29</v>
      </c>
      <c r="J41" s="890">
        <v>0</v>
      </c>
      <c r="K41" s="929">
        <v>33</v>
      </c>
      <c r="L41" s="930">
        <v>56.61</v>
      </c>
      <c r="M41" s="879">
        <v>10</v>
      </c>
      <c r="N41" s="931">
        <v>0.7997</v>
      </c>
      <c r="O41" s="932">
        <v>0.8191</v>
      </c>
      <c r="P41" s="933"/>
      <c r="Q41" s="933" t="s">
        <v>230</v>
      </c>
      <c r="R41" s="934" t="s">
        <v>333</v>
      </c>
      <c r="S41" s="929">
        <v>31423</v>
      </c>
      <c r="T41" s="886">
        <v>4.5</v>
      </c>
      <c r="U41" s="935" t="s">
        <v>69</v>
      </c>
      <c r="V41" s="900" t="s">
        <v>334</v>
      </c>
      <c r="W41" s="936">
        <v>0.4524</v>
      </c>
      <c r="X41" s="936">
        <v>0.4043</v>
      </c>
      <c r="Y41" s="900" t="s">
        <v>72</v>
      </c>
      <c r="Z41" s="936">
        <v>0.2503</v>
      </c>
      <c r="AA41" s="936">
        <v>0.3191</v>
      </c>
      <c r="AB41" s="900" t="s">
        <v>257</v>
      </c>
      <c r="AC41" s="936">
        <v>0.0972</v>
      </c>
      <c r="AD41" s="936">
        <v>0.0957</v>
      </c>
      <c r="AE41" s="909" t="s">
        <v>335</v>
      </c>
      <c r="AF41" s="909"/>
      <c r="AG41" s="940"/>
    </row>
    <row r="42" s="141" customFormat="1" hidden="1" customHeight="1" spans="1:45">
      <c r="A42" s="14" t="s">
        <v>336</v>
      </c>
      <c r="B42" s="14" t="s">
        <v>337</v>
      </c>
      <c r="C42" s="15" t="s">
        <v>76</v>
      </c>
      <c r="D42" s="928">
        <v>36.7</v>
      </c>
      <c r="E42" s="929">
        <v>209941</v>
      </c>
      <c r="F42" s="929">
        <v>1803</v>
      </c>
      <c r="G42" s="929">
        <v>125</v>
      </c>
      <c r="H42" s="887">
        <v>0.0696</v>
      </c>
      <c r="I42" s="890">
        <v>28</v>
      </c>
      <c r="J42" s="890">
        <v>0</v>
      </c>
      <c r="K42" s="929">
        <v>1178</v>
      </c>
      <c r="L42" s="930">
        <v>1.53</v>
      </c>
      <c r="M42" s="879">
        <v>46</v>
      </c>
      <c r="N42" s="931">
        <v>0.5091</v>
      </c>
      <c r="O42" s="932">
        <v>0.5218</v>
      </c>
      <c r="P42" s="933" t="s">
        <v>204</v>
      </c>
      <c r="Q42" s="933" t="s">
        <v>338</v>
      </c>
      <c r="R42" s="934" t="s">
        <v>303</v>
      </c>
      <c r="S42" s="929">
        <v>6111</v>
      </c>
      <c r="T42" s="886">
        <v>4.8</v>
      </c>
      <c r="U42" s="935" t="s">
        <v>69</v>
      </c>
      <c r="V42" s="900" t="s">
        <v>178</v>
      </c>
      <c r="W42" s="936">
        <v>0.2627</v>
      </c>
      <c r="X42" s="936">
        <v>0.2174</v>
      </c>
      <c r="Y42" s="900" t="s">
        <v>80</v>
      </c>
      <c r="Z42" s="936">
        <v>0.1528</v>
      </c>
      <c r="AA42" s="936">
        <v>0.2609</v>
      </c>
      <c r="AB42" s="900" t="s">
        <v>304</v>
      </c>
      <c r="AC42" s="936">
        <v>0.0938</v>
      </c>
      <c r="AD42" s="936">
        <v>0.0435</v>
      </c>
      <c r="AE42" s="909" t="s">
        <v>339</v>
      </c>
      <c r="AF42" s="909"/>
    </row>
    <row r="43" s="141" customFormat="1" hidden="1" customHeight="1" spans="1:45">
      <c r="A43" s="14" t="s">
        <v>340</v>
      </c>
      <c r="B43" s="14" t="s">
        <v>341</v>
      </c>
      <c r="C43" s="15" t="s">
        <v>76</v>
      </c>
      <c r="D43" s="928">
        <v>44.4</v>
      </c>
      <c r="E43" s="929">
        <v>215811</v>
      </c>
      <c r="F43" s="929">
        <v>1792</v>
      </c>
      <c r="G43" s="929">
        <v>38</v>
      </c>
      <c r="H43" s="887">
        <v>0.0215</v>
      </c>
      <c r="I43" s="890">
        <v>28</v>
      </c>
      <c r="J43" s="890">
        <v>21</v>
      </c>
      <c r="K43" s="929">
        <v>1703</v>
      </c>
      <c r="L43" s="930">
        <v>1.05</v>
      </c>
      <c r="M43" s="879">
        <v>39</v>
      </c>
      <c r="N43" s="931">
        <v>0.483</v>
      </c>
      <c r="O43" s="932">
        <v>0.5769</v>
      </c>
      <c r="P43" s="933" t="s">
        <v>342</v>
      </c>
      <c r="Q43" s="933" t="s">
        <v>343</v>
      </c>
      <c r="R43" s="934" t="s">
        <v>68</v>
      </c>
      <c r="S43" s="929">
        <v>42703</v>
      </c>
      <c r="T43" s="886">
        <v>4.5</v>
      </c>
      <c r="U43" s="935" t="s">
        <v>344</v>
      </c>
      <c r="V43" s="900" t="s">
        <v>70</v>
      </c>
      <c r="W43" s="936">
        <v>0.3021</v>
      </c>
      <c r="X43" s="936">
        <v>0.2308</v>
      </c>
      <c r="Y43" s="900" t="s">
        <v>71</v>
      </c>
      <c r="Z43" s="936">
        <v>0.1149</v>
      </c>
      <c r="AA43" s="936">
        <v>0.1923</v>
      </c>
      <c r="AB43" s="900" t="s">
        <v>129</v>
      </c>
      <c r="AC43" s="936">
        <v>0.066</v>
      </c>
      <c r="AD43" s="936">
        <v>0.1538</v>
      </c>
      <c r="AE43" s="909" t="s">
        <v>345</v>
      </c>
      <c r="AF43" s="909"/>
    </row>
    <row r="44" s="141" customFormat="1" hidden="1" customHeight="1" spans="1:45">
      <c r="A44" s="14" t="s">
        <v>346</v>
      </c>
      <c r="B44" s="14" t="s">
        <v>347</v>
      </c>
      <c r="C44" s="15" t="s">
        <v>76</v>
      </c>
      <c r="D44" s="928">
        <v>28.9</v>
      </c>
      <c r="E44" s="929">
        <v>199752</v>
      </c>
      <c r="F44" s="929">
        <v>1764</v>
      </c>
      <c r="G44" s="929">
        <v>164</v>
      </c>
      <c r="H44" s="887">
        <v>0.0935</v>
      </c>
      <c r="I44" s="890">
        <v>27</v>
      </c>
      <c r="J44" s="890">
        <v>5</v>
      </c>
      <c r="K44" s="929">
        <v>82</v>
      </c>
      <c r="L44" s="930">
        <v>21.51</v>
      </c>
      <c r="M44" s="879">
        <v>13</v>
      </c>
      <c r="N44" s="931">
        <v>0.6118</v>
      </c>
      <c r="O44" s="932">
        <v>0.5807</v>
      </c>
      <c r="P44" s="933" t="s">
        <v>348</v>
      </c>
      <c r="Q44" s="933" t="s">
        <v>349</v>
      </c>
      <c r="R44" s="934" t="s">
        <v>350</v>
      </c>
      <c r="S44" s="929">
        <v>40554</v>
      </c>
      <c r="T44" s="886">
        <v>4.5</v>
      </c>
      <c r="U44" s="935" t="s">
        <v>69</v>
      </c>
      <c r="V44" s="900" t="s">
        <v>351</v>
      </c>
      <c r="W44" s="936">
        <v>0.2417</v>
      </c>
      <c r="X44" s="936">
        <v>0.2581</v>
      </c>
      <c r="Y44" s="900" t="s">
        <v>352</v>
      </c>
      <c r="Z44" s="936">
        <v>0.1863</v>
      </c>
      <c r="AA44" s="936">
        <v>0.1452</v>
      </c>
      <c r="AB44" s="900" t="s">
        <v>353</v>
      </c>
      <c r="AC44" s="936">
        <v>0.184</v>
      </c>
      <c r="AD44" s="936">
        <v>0.1774</v>
      </c>
      <c r="AE44" s="909" t="s">
        <v>354</v>
      </c>
      <c r="AF44" s="909"/>
    </row>
    <row r="45" s="141" customFormat="1" hidden="1" customHeight="1" spans="1:45">
      <c r="A45" s="14" t="s">
        <v>355</v>
      </c>
      <c r="B45" s="14" t="s">
        <v>356</v>
      </c>
      <c r="C45" s="15" t="s">
        <v>76</v>
      </c>
      <c r="D45" s="928">
        <v>24.4</v>
      </c>
      <c r="E45" s="929">
        <v>223529</v>
      </c>
      <c r="F45" s="929">
        <v>1706</v>
      </c>
      <c r="G45" s="929">
        <v>50</v>
      </c>
      <c r="H45" s="887">
        <v>0.0296</v>
      </c>
      <c r="I45" s="890">
        <v>29</v>
      </c>
      <c r="J45" s="890">
        <v>0</v>
      </c>
      <c r="K45" s="929">
        <v>141</v>
      </c>
      <c r="L45" s="930">
        <v>12.1</v>
      </c>
      <c r="M45" s="879">
        <v>26</v>
      </c>
      <c r="N45" s="931">
        <v>0.5874</v>
      </c>
      <c r="O45" s="932">
        <v>0.4615</v>
      </c>
      <c r="P45" s="933" t="s">
        <v>357</v>
      </c>
      <c r="Q45" s="933" t="s">
        <v>358</v>
      </c>
      <c r="R45" s="934" t="s">
        <v>359</v>
      </c>
      <c r="S45" s="929">
        <v>12672</v>
      </c>
      <c r="T45" s="886">
        <v>4.5</v>
      </c>
      <c r="U45" s="935" t="s">
        <v>69</v>
      </c>
      <c r="V45" s="900" t="s">
        <v>186</v>
      </c>
      <c r="W45" s="936">
        <v>0.3021</v>
      </c>
      <c r="X45" s="936">
        <v>0.3846</v>
      </c>
      <c r="Y45" s="900" t="s">
        <v>360</v>
      </c>
      <c r="Z45" s="936">
        <v>0.1504</v>
      </c>
      <c r="AA45" s="936">
        <v>0.0513</v>
      </c>
      <c r="AB45" s="900" t="s">
        <v>361</v>
      </c>
      <c r="AC45" s="936">
        <v>0.135</v>
      </c>
      <c r="AD45" s="936">
        <v>0.0256</v>
      </c>
      <c r="AE45" s="909" t="s">
        <v>362</v>
      </c>
      <c r="AF45" s="909"/>
    </row>
    <row r="46" s="141" customFormat="1" hidden="1" customHeight="1" spans="1:45">
      <c r="A46" s="14" t="s">
        <v>363</v>
      </c>
      <c r="B46" s="14" t="s">
        <v>364</v>
      </c>
      <c r="C46" s="15" t="s">
        <v>65</v>
      </c>
      <c r="D46" s="928">
        <v>50</v>
      </c>
      <c r="E46" s="929">
        <v>243216</v>
      </c>
      <c r="F46" s="929">
        <v>1602</v>
      </c>
      <c r="G46" s="929">
        <v>105</v>
      </c>
      <c r="H46" s="887">
        <v>0.0657</v>
      </c>
      <c r="I46" s="890">
        <v>27</v>
      </c>
      <c r="J46" s="890">
        <v>0</v>
      </c>
      <c r="K46" s="929">
        <v>909</v>
      </c>
      <c r="L46" s="930">
        <v>1.76</v>
      </c>
      <c r="M46" s="879">
        <v>20</v>
      </c>
      <c r="N46" s="931">
        <v>0.4049</v>
      </c>
      <c r="O46" s="932">
        <v>0.4</v>
      </c>
      <c r="P46" s="933"/>
      <c r="Q46" s="933" t="s">
        <v>230</v>
      </c>
      <c r="R46" s="934" t="s">
        <v>365</v>
      </c>
      <c r="S46" s="929">
        <v>31425</v>
      </c>
      <c r="T46" s="886">
        <v>4.5</v>
      </c>
      <c r="U46" s="935" t="s">
        <v>69</v>
      </c>
      <c r="V46" s="900" t="s">
        <v>70</v>
      </c>
      <c r="W46" s="936">
        <v>0.1728</v>
      </c>
      <c r="X46" s="936">
        <v>0.1</v>
      </c>
      <c r="Y46" s="900" t="s">
        <v>366</v>
      </c>
      <c r="Z46" s="936">
        <v>0.1185</v>
      </c>
      <c r="AA46" s="936">
        <v>0.3</v>
      </c>
      <c r="AB46" s="900" t="s">
        <v>178</v>
      </c>
      <c r="AC46" s="936">
        <v>0.1136</v>
      </c>
      <c r="AD46" s="936">
        <v>0</v>
      </c>
      <c r="AE46" s="909" t="s">
        <v>367</v>
      </c>
      <c r="AF46" s="909"/>
    </row>
    <row r="47" s="141" customFormat="1" hidden="1" customHeight="1" spans="1:45">
      <c r="A47" s="14" t="s">
        <v>368</v>
      </c>
      <c r="B47" s="14" t="s">
        <v>369</v>
      </c>
      <c r="C47" s="15" t="s">
        <v>76</v>
      </c>
      <c r="D47" s="928">
        <v>27.8</v>
      </c>
      <c r="E47" s="929">
        <v>264477</v>
      </c>
      <c r="F47" s="929">
        <v>1476</v>
      </c>
      <c r="G47" s="929">
        <v>15</v>
      </c>
      <c r="H47" s="887">
        <v>0.0103</v>
      </c>
      <c r="I47" s="890">
        <v>27</v>
      </c>
      <c r="J47" s="890">
        <v>0</v>
      </c>
      <c r="K47" s="929">
        <v>154</v>
      </c>
      <c r="L47" s="930">
        <v>9.58</v>
      </c>
      <c r="M47" s="879">
        <v>10</v>
      </c>
      <c r="N47" s="931">
        <v>0.6021</v>
      </c>
      <c r="O47" s="932">
        <v>0.7143</v>
      </c>
      <c r="P47" s="933" t="s">
        <v>267</v>
      </c>
      <c r="Q47" s="933" t="s">
        <v>370</v>
      </c>
      <c r="R47" s="934" t="s">
        <v>79</v>
      </c>
      <c r="S47" s="929">
        <v>17723</v>
      </c>
      <c r="T47" s="886">
        <v>4.8</v>
      </c>
      <c r="U47" s="935" t="s">
        <v>69</v>
      </c>
      <c r="V47" s="900" t="s">
        <v>70</v>
      </c>
      <c r="W47" s="936">
        <v>0.3669</v>
      </c>
      <c r="X47" s="936">
        <v>0.5714</v>
      </c>
      <c r="Y47" s="900" t="s">
        <v>80</v>
      </c>
      <c r="Z47" s="936">
        <v>0.1192</v>
      </c>
      <c r="AA47" s="936">
        <v>0.1429</v>
      </c>
      <c r="AB47" s="900" t="s">
        <v>304</v>
      </c>
      <c r="AC47" s="936">
        <v>0.1161</v>
      </c>
      <c r="AD47" s="936">
        <v>0</v>
      </c>
      <c r="AE47" s="909" t="s">
        <v>371</v>
      </c>
      <c r="AF47" s="909"/>
    </row>
    <row r="48" s="141" customFormat="1" hidden="1" customHeight="1" spans="1:45">
      <c r="A48" s="14" t="s">
        <v>64</v>
      </c>
      <c r="B48" s="14" t="s">
        <v>64</v>
      </c>
      <c r="C48" s="15" t="s">
        <v>76</v>
      </c>
      <c r="D48" s="928">
        <v>37.8</v>
      </c>
      <c r="E48" s="929">
        <v>254665</v>
      </c>
      <c r="F48" s="929">
        <v>1423</v>
      </c>
      <c r="G48" s="929">
        <v>171</v>
      </c>
      <c r="H48" s="887">
        <v>0.1203</v>
      </c>
      <c r="I48" s="890">
        <v>29</v>
      </c>
      <c r="J48" s="890">
        <v>0</v>
      </c>
      <c r="K48" s="929">
        <v>77</v>
      </c>
      <c r="L48" s="930">
        <v>18.48</v>
      </c>
      <c r="M48" s="879">
        <v>47</v>
      </c>
      <c r="N48" s="931">
        <v>0.5576</v>
      </c>
      <c r="O48" s="932">
        <v>0.6667</v>
      </c>
      <c r="P48" s="933" t="s">
        <v>372</v>
      </c>
      <c r="Q48" s="933" t="s">
        <v>373</v>
      </c>
      <c r="R48" s="934" t="s">
        <v>68</v>
      </c>
      <c r="S48" s="929">
        <v>31423</v>
      </c>
      <c r="T48" s="886">
        <v>4.5</v>
      </c>
      <c r="U48" s="935" t="s">
        <v>69</v>
      </c>
      <c r="V48" s="900" t="s">
        <v>71</v>
      </c>
      <c r="W48" s="936">
        <v>0.3497</v>
      </c>
      <c r="X48" s="936">
        <v>0.5455</v>
      </c>
      <c r="Y48" s="900" t="s">
        <v>72</v>
      </c>
      <c r="Z48" s="936">
        <v>0.1267</v>
      </c>
      <c r="AA48" s="936">
        <v>0.0303</v>
      </c>
      <c r="AB48" s="900" t="s">
        <v>70</v>
      </c>
      <c r="AC48" s="936">
        <v>0.0813</v>
      </c>
      <c r="AD48" s="936">
        <v>0.0909</v>
      </c>
      <c r="AE48" s="909" t="s">
        <v>374</v>
      </c>
      <c r="AF48" s="909"/>
    </row>
    <row r="49" s="141" customFormat="1" hidden="1" customHeight="1" spans="1:33">
      <c r="A49" s="14" t="s">
        <v>375</v>
      </c>
      <c r="B49" s="14" t="s">
        <v>64</v>
      </c>
      <c r="C49" s="15" t="s">
        <v>65</v>
      </c>
      <c r="D49" s="928">
        <v>51.1</v>
      </c>
      <c r="E49" s="929">
        <v>290482</v>
      </c>
      <c r="F49" s="929">
        <v>1377</v>
      </c>
      <c r="G49" s="929">
        <v>37</v>
      </c>
      <c r="H49" s="887">
        <v>0.0274</v>
      </c>
      <c r="I49" s="890">
        <v>28</v>
      </c>
      <c r="J49" s="890">
        <v>0</v>
      </c>
      <c r="K49" s="929">
        <v>923</v>
      </c>
      <c r="L49" s="930">
        <v>1.49</v>
      </c>
      <c r="M49" s="879">
        <v>24</v>
      </c>
      <c r="N49" s="931">
        <v>0.6571</v>
      </c>
      <c r="O49" s="932">
        <v>0.7273</v>
      </c>
      <c r="P49" s="933" t="s">
        <v>357</v>
      </c>
      <c r="Q49" s="933" t="s">
        <v>376</v>
      </c>
      <c r="R49" s="934" t="s">
        <v>68</v>
      </c>
      <c r="S49" s="929">
        <v>31423</v>
      </c>
      <c r="T49" s="886">
        <v>4.5</v>
      </c>
      <c r="U49" s="935" t="s">
        <v>69</v>
      </c>
      <c r="V49" s="900" t="s">
        <v>70</v>
      </c>
      <c r="W49" s="936">
        <v>0.2543</v>
      </c>
      <c r="X49" s="936">
        <v>0.2955</v>
      </c>
      <c r="Y49" s="900" t="s">
        <v>71</v>
      </c>
      <c r="Z49" s="936">
        <v>0.2155</v>
      </c>
      <c r="AA49" s="936">
        <v>0.1591</v>
      </c>
      <c r="AB49" s="900" t="s">
        <v>72</v>
      </c>
      <c r="AC49" s="936">
        <v>0.1875</v>
      </c>
      <c r="AD49" s="936">
        <v>0.2727</v>
      </c>
      <c r="AE49" s="909" t="s">
        <v>377</v>
      </c>
      <c r="AF49" s="909"/>
    </row>
    <row r="50" s="141" customFormat="1" customHeight="1" spans="1:33">
      <c r="A50" s="14" t="s">
        <v>378</v>
      </c>
      <c r="B50" s="14" t="s">
        <v>379</v>
      </c>
      <c r="C50" s="15" t="s">
        <v>76</v>
      </c>
      <c r="D50" s="928">
        <v>50</v>
      </c>
      <c r="E50" s="929">
        <v>286194</v>
      </c>
      <c r="F50" s="929">
        <v>1374</v>
      </c>
      <c r="G50" s="929">
        <v>73</v>
      </c>
      <c r="H50" s="887">
        <v>0.0535</v>
      </c>
      <c r="I50" s="890">
        <v>28</v>
      </c>
      <c r="J50" s="890">
        <v>0</v>
      </c>
      <c r="K50" s="929">
        <v>722</v>
      </c>
      <c r="L50" s="930">
        <v>1.9</v>
      </c>
      <c r="M50" s="879">
        <v>36</v>
      </c>
      <c r="N50" s="931">
        <v>0.5429</v>
      </c>
      <c r="O50" s="932">
        <v>0.5</v>
      </c>
      <c r="P50" s="933" t="s">
        <v>380</v>
      </c>
      <c r="Q50" s="933" t="s">
        <v>381</v>
      </c>
      <c r="R50" s="934" t="s">
        <v>231</v>
      </c>
      <c r="S50" s="929">
        <v>20843</v>
      </c>
      <c r="T50" s="886">
        <v>4.5</v>
      </c>
      <c r="U50" s="935" t="s">
        <v>69</v>
      </c>
      <c r="V50" s="900" t="s">
        <v>70</v>
      </c>
      <c r="W50" s="936">
        <v>0.3286</v>
      </c>
      <c r="X50" s="936">
        <v>0.5</v>
      </c>
      <c r="Y50" s="900" t="s">
        <v>193</v>
      </c>
      <c r="Z50" s="936">
        <v>0.1286</v>
      </c>
      <c r="AA50" s="936">
        <v>0</v>
      </c>
      <c r="AB50" s="900" t="s">
        <v>155</v>
      </c>
      <c r="AC50" s="936">
        <v>0.0857</v>
      </c>
      <c r="AD50" s="936">
        <v>0</v>
      </c>
      <c r="AE50" s="909" t="s">
        <v>382</v>
      </c>
      <c r="AF50" s="909"/>
      <c r="AG50" s="940" t="s">
        <v>383</v>
      </c>
    </row>
    <row r="51" s="141" customFormat="1" customHeight="1" spans="1:33">
      <c r="A51" s="14" t="s">
        <v>384</v>
      </c>
      <c r="B51" s="14" t="s">
        <v>385</v>
      </c>
      <c r="C51" s="15" t="s">
        <v>76</v>
      </c>
      <c r="D51" s="928">
        <v>40</v>
      </c>
      <c r="E51" s="929">
        <v>279327</v>
      </c>
      <c r="F51" s="929">
        <v>1344</v>
      </c>
      <c r="G51" s="929">
        <v>51</v>
      </c>
      <c r="H51" s="887">
        <v>0.0381</v>
      </c>
      <c r="I51" s="890">
        <v>27</v>
      </c>
      <c r="J51" s="890">
        <v>0</v>
      </c>
      <c r="K51" s="929">
        <v>1425</v>
      </c>
      <c r="L51" s="930">
        <v>0.94</v>
      </c>
      <c r="M51" s="879">
        <v>113</v>
      </c>
      <c r="N51" s="931">
        <v>0.5601</v>
      </c>
      <c r="O51" s="932">
        <v>0.5218</v>
      </c>
      <c r="P51" s="933" t="s">
        <v>175</v>
      </c>
      <c r="Q51" s="933" t="s">
        <v>386</v>
      </c>
      <c r="R51" s="934" t="s">
        <v>128</v>
      </c>
      <c r="S51" s="929">
        <v>6111</v>
      </c>
      <c r="T51" s="886">
        <v>4.5</v>
      </c>
      <c r="U51" s="935" t="s">
        <v>69</v>
      </c>
      <c r="V51" s="900" t="s">
        <v>129</v>
      </c>
      <c r="W51" s="936">
        <v>0.2186</v>
      </c>
      <c r="X51" s="936">
        <v>0.2174</v>
      </c>
      <c r="Y51" s="900" t="s">
        <v>178</v>
      </c>
      <c r="Z51" s="936">
        <v>0.1803</v>
      </c>
      <c r="AA51" s="936">
        <v>0.2174</v>
      </c>
      <c r="AB51" s="900" t="s">
        <v>80</v>
      </c>
      <c r="AC51" s="936">
        <v>0.1612</v>
      </c>
      <c r="AD51" s="936">
        <v>0.087</v>
      </c>
      <c r="AE51" s="909" t="s">
        <v>387</v>
      </c>
      <c r="AF51" s="909"/>
      <c r="AG51" s="943"/>
    </row>
    <row r="52" s="141" customFormat="1" customHeight="1" spans="1:33">
      <c r="A52" s="14" t="s">
        <v>388</v>
      </c>
      <c r="B52" s="14" t="s">
        <v>64</v>
      </c>
      <c r="C52" s="15" t="s">
        <v>76</v>
      </c>
      <c r="D52" s="928">
        <v>33.3</v>
      </c>
      <c r="E52" s="929">
        <v>283479</v>
      </c>
      <c r="F52" s="929">
        <v>1284</v>
      </c>
      <c r="G52" s="929">
        <v>59</v>
      </c>
      <c r="H52" s="887">
        <v>0.0461</v>
      </c>
      <c r="I52" s="890">
        <v>28</v>
      </c>
      <c r="J52" s="890">
        <v>0</v>
      </c>
      <c r="K52" s="929">
        <v>1109</v>
      </c>
      <c r="L52" s="930">
        <v>1.16</v>
      </c>
      <c r="M52" s="879">
        <v>5</v>
      </c>
      <c r="N52" s="931">
        <v>0.4704</v>
      </c>
      <c r="O52" s="932">
        <v>0.5</v>
      </c>
      <c r="P52" s="933" t="s">
        <v>389</v>
      </c>
      <c r="Q52" s="933" t="s">
        <v>390</v>
      </c>
      <c r="R52" s="934" t="s">
        <v>68</v>
      </c>
      <c r="S52" s="929">
        <v>8346</v>
      </c>
      <c r="T52" s="886">
        <v>4.5</v>
      </c>
      <c r="U52" s="935" t="s">
        <v>69</v>
      </c>
      <c r="V52" s="900" t="s">
        <v>70</v>
      </c>
      <c r="W52" s="936">
        <v>0.2419</v>
      </c>
      <c r="X52" s="936">
        <v>0.3125</v>
      </c>
      <c r="Y52" s="900" t="s">
        <v>178</v>
      </c>
      <c r="Z52" s="936">
        <v>0.1183</v>
      </c>
      <c r="AA52" s="936">
        <v>0.125</v>
      </c>
      <c r="AB52" s="900" t="s">
        <v>193</v>
      </c>
      <c r="AC52" s="936">
        <v>0.1102</v>
      </c>
      <c r="AD52" s="936">
        <v>0.0625</v>
      </c>
      <c r="AE52" s="909" t="s">
        <v>391</v>
      </c>
      <c r="AF52" s="909"/>
      <c r="AG52" s="943"/>
    </row>
    <row r="53" s="141" customFormat="1" customHeight="1" spans="1:33">
      <c r="A53" s="14" t="s">
        <v>392</v>
      </c>
      <c r="B53" s="14" t="s">
        <v>393</v>
      </c>
      <c r="C53" s="15" t="s">
        <v>76</v>
      </c>
      <c r="D53" s="928">
        <v>34.4</v>
      </c>
      <c r="E53" s="929">
        <v>306950</v>
      </c>
      <c r="F53" s="929">
        <v>1252</v>
      </c>
      <c r="G53" s="929">
        <v>68</v>
      </c>
      <c r="H53" s="887">
        <v>0.0548</v>
      </c>
      <c r="I53" s="890">
        <v>29</v>
      </c>
      <c r="J53" s="890">
        <v>3</v>
      </c>
      <c r="K53" s="929">
        <v>646</v>
      </c>
      <c r="L53" s="930">
        <v>1.94</v>
      </c>
      <c r="M53" s="879">
        <v>26</v>
      </c>
      <c r="N53" s="931">
        <v>0.5199</v>
      </c>
      <c r="O53" s="932">
        <v>0.4375</v>
      </c>
      <c r="P53" s="933" t="s">
        <v>348</v>
      </c>
      <c r="Q53" s="933" t="s">
        <v>394</v>
      </c>
      <c r="R53" s="934" t="s">
        <v>231</v>
      </c>
      <c r="S53" s="929">
        <v>8346</v>
      </c>
      <c r="T53" s="886">
        <v>4.5</v>
      </c>
      <c r="U53" s="935" t="s">
        <v>69</v>
      </c>
      <c r="V53" s="900" t="s">
        <v>232</v>
      </c>
      <c r="W53" s="936">
        <v>0.3564</v>
      </c>
      <c r="X53" s="936">
        <v>0.3125</v>
      </c>
      <c r="Y53" s="900" t="s">
        <v>193</v>
      </c>
      <c r="Z53" s="936">
        <v>0.0909</v>
      </c>
      <c r="AA53" s="936">
        <v>0</v>
      </c>
      <c r="AB53" s="900" t="s">
        <v>395</v>
      </c>
      <c r="AC53" s="936">
        <v>0.0727</v>
      </c>
      <c r="AD53" s="936">
        <v>0.125</v>
      </c>
      <c r="AE53" s="909" t="s">
        <v>396</v>
      </c>
      <c r="AF53" s="909"/>
      <c r="AG53" s="943"/>
    </row>
    <row r="54" s="141" customFormat="1" customHeight="1" spans="1:33">
      <c r="A54" s="14" t="s">
        <v>397</v>
      </c>
      <c r="B54" s="14" t="s">
        <v>398</v>
      </c>
      <c r="C54" s="15" t="s">
        <v>76</v>
      </c>
      <c r="D54" s="928">
        <v>36.7</v>
      </c>
      <c r="E54" s="929">
        <v>311186</v>
      </c>
      <c r="F54" s="929">
        <v>1245</v>
      </c>
      <c r="G54" s="929">
        <v>48</v>
      </c>
      <c r="H54" s="887">
        <v>0.0386</v>
      </c>
      <c r="I54" s="890">
        <v>29</v>
      </c>
      <c r="J54" s="890">
        <v>1</v>
      </c>
      <c r="K54" s="929">
        <v>1588</v>
      </c>
      <c r="L54" s="930">
        <v>0.78</v>
      </c>
      <c r="M54" s="879">
        <v>101</v>
      </c>
      <c r="N54" s="931">
        <v>0.5012</v>
      </c>
      <c r="O54" s="932">
        <v>0.65</v>
      </c>
      <c r="P54" s="933" t="s">
        <v>184</v>
      </c>
      <c r="Q54" s="933" t="s">
        <v>399</v>
      </c>
      <c r="R54" s="934" t="s">
        <v>400</v>
      </c>
      <c r="S54" s="929">
        <v>5163</v>
      </c>
      <c r="T54" s="886">
        <v>4.4</v>
      </c>
      <c r="U54" s="935" t="s">
        <v>94</v>
      </c>
      <c r="V54" s="900" t="s">
        <v>178</v>
      </c>
      <c r="W54" s="936">
        <v>0.1849</v>
      </c>
      <c r="X54" s="936">
        <v>0.2</v>
      </c>
      <c r="Y54" s="900" t="s">
        <v>80</v>
      </c>
      <c r="Z54" s="936">
        <v>0.163</v>
      </c>
      <c r="AA54" s="936">
        <v>0.25</v>
      </c>
      <c r="AB54" s="900" t="s">
        <v>401</v>
      </c>
      <c r="AC54" s="936">
        <v>0.1533</v>
      </c>
      <c r="AD54" s="936">
        <v>0.2</v>
      </c>
      <c r="AE54" s="909" t="s">
        <v>402</v>
      </c>
      <c r="AF54" s="909"/>
      <c r="AG54" s="943"/>
    </row>
    <row r="55" s="141" customFormat="1" customHeight="1" spans="1:33">
      <c r="A55" s="14" t="s">
        <v>403</v>
      </c>
      <c r="B55" s="14" t="s">
        <v>404</v>
      </c>
      <c r="C55" s="15" t="s">
        <v>65</v>
      </c>
      <c r="D55" s="928">
        <v>27.8</v>
      </c>
      <c r="E55" s="929">
        <v>348122</v>
      </c>
      <c r="F55" s="929">
        <v>1140</v>
      </c>
      <c r="G55" s="929">
        <v>63</v>
      </c>
      <c r="H55" s="887">
        <v>0.0553</v>
      </c>
      <c r="I55" s="890">
        <v>27</v>
      </c>
      <c r="J55" s="890">
        <v>0</v>
      </c>
      <c r="K55" s="929">
        <v>876</v>
      </c>
      <c r="L55" s="930">
        <v>1.3</v>
      </c>
      <c r="M55" s="879">
        <v>52</v>
      </c>
      <c r="N55" s="931">
        <v>0.6236</v>
      </c>
      <c r="O55" s="932">
        <v>0.6667</v>
      </c>
      <c r="P55" s="933" t="s">
        <v>405</v>
      </c>
      <c r="Q55" s="933" t="s">
        <v>406</v>
      </c>
      <c r="R55" s="934" t="s">
        <v>162</v>
      </c>
      <c r="S55" s="929">
        <v>5900</v>
      </c>
      <c r="T55" s="886">
        <v>4</v>
      </c>
      <c r="U55" s="935" t="s">
        <v>69</v>
      </c>
      <c r="V55" s="900" t="s">
        <v>164</v>
      </c>
      <c r="W55" s="936">
        <v>0.2669</v>
      </c>
      <c r="X55" s="936">
        <v>0.1667</v>
      </c>
      <c r="Y55" s="900" t="s">
        <v>163</v>
      </c>
      <c r="Z55" s="936">
        <v>0.2556</v>
      </c>
      <c r="AA55" s="936">
        <v>0.4667</v>
      </c>
      <c r="AB55" s="900" t="s">
        <v>71</v>
      </c>
      <c r="AC55" s="936">
        <v>0.1011</v>
      </c>
      <c r="AD55" s="936">
        <v>0.0333</v>
      </c>
      <c r="AE55" s="909" t="s">
        <v>407</v>
      </c>
      <c r="AF55" s="909"/>
      <c r="AG55" s="943"/>
    </row>
    <row r="56" s="141" customFormat="1" customHeight="1" spans="1:33">
      <c r="A56" s="14" t="s">
        <v>408</v>
      </c>
      <c r="B56" s="14" t="s">
        <v>86</v>
      </c>
      <c r="C56" s="15" t="s">
        <v>76</v>
      </c>
      <c r="D56" s="928">
        <v>42.2</v>
      </c>
      <c r="E56" s="929">
        <v>321165</v>
      </c>
      <c r="F56" s="929">
        <v>1133</v>
      </c>
      <c r="G56" s="929">
        <v>112</v>
      </c>
      <c r="H56" s="887">
        <v>0.0996</v>
      </c>
      <c r="I56" s="890">
        <v>27</v>
      </c>
      <c r="J56" s="890">
        <v>0</v>
      </c>
      <c r="K56" s="929">
        <v>1083</v>
      </c>
      <c r="L56" s="930">
        <v>1.05</v>
      </c>
      <c r="M56" s="879">
        <v>4</v>
      </c>
      <c r="N56" s="931">
        <v>0.4783</v>
      </c>
      <c r="O56" s="932">
        <v>0.4667</v>
      </c>
      <c r="P56" s="933" t="s">
        <v>409</v>
      </c>
      <c r="Q56" s="933" t="s">
        <v>410</v>
      </c>
      <c r="R56" s="934" t="s">
        <v>68</v>
      </c>
      <c r="S56" s="929">
        <v>18278</v>
      </c>
      <c r="T56" s="886">
        <v>4.8</v>
      </c>
      <c r="U56" s="935" t="s">
        <v>69</v>
      </c>
      <c r="V56" s="900" t="s">
        <v>70</v>
      </c>
      <c r="W56" s="936">
        <v>0.2745</v>
      </c>
      <c r="X56" s="936">
        <v>0.3333</v>
      </c>
      <c r="Y56" s="900" t="s">
        <v>71</v>
      </c>
      <c r="Z56" s="936">
        <v>0.1333</v>
      </c>
      <c r="AA56" s="936">
        <v>0.0667</v>
      </c>
      <c r="AB56" s="900" t="s">
        <v>304</v>
      </c>
      <c r="AC56" s="936">
        <v>0.0706</v>
      </c>
      <c r="AD56" s="936">
        <v>0.0667</v>
      </c>
      <c r="AE56" s="909" t="s">
        <v>411</v>
      </c>
      <c r="AF56" s="909"/>
      <c r="AG56" s="943"/>
    </row>
    <row r="57" s="141" customFormat="1" customHeight="1" spans="1:33">
      <c r="A57" s="14" t="s">
        <v>412</v>
      </c>
      <c r="B57" s="14" t="s">
        <v>413</v>
      </c>
      <c r="C57" s="15" t="s">
        <v>76</v>
      </c>
      <c r="D57" s="928">
        <v>28.9</v>
      </c>
      <c r="E57" s="929">
        <v>380892</v>
      </c>
      <c r="F57" s="929">
        <v>921</v>
      </c>
      <c r="G57" s="929">
        <v>39</v>
      </c>
      <c r="H57" s="887">
        <v>0.0425</v>
      </c>
      <c r="I57" s="890">
        <v>26</v>
      </c>
      <c r="J57" s="890">
        <v>0</v>
      </c>
      <c r="K57" s="929">
        <v>77</v>
      </c>
      <c r="L57" s="930">
        <v>11.96</v>
      </c>
      <c r="M57" s="879">
        <v>4</v>
      </c>
      <c r="N57" s="931">
        <v>0.8881</v>
      </c>
      <c r="O57" s="932">
        <v>0.9615</v>
      </c>
      <c r="P57" s="933" t="s">
        <v>414</v>
      </c>
      <c r="Q57" s="933" t="s">
        <v>415</v>
      </c>
      <c r="R57" s="934" t="s">
        <v>416</v>
      </c>
      <c r="S57" s="929">
        <v>1339</v>
      </c>
      <c r="T57" s="886">
        <v>4.5</v>
      </c>
      <c r="U57" s="935" t="s">
        <v>94</v>
      </c>
      <c r="V57" s="900" t="s">
        <v>417</v>
      </c>
      <c r="W57" s="936">
        <v>0.4774</v>
      </c>
      <c r="X57" s="936">
        <v>0.4615</v>
      </c>
      <c r="Y57" s="900" t="s">
        <v>418</v>
      </c>
      <c r="Z57" s="936">
        <v>0.271</v>
      </c>
      <c r="AA57" s="936">
        <v>0.3846</v>
      </c>
      <c r="AB57" s="900" t="s">
        <v>419</v>
      </c>
      <c r="AC57" s="936">
        <v>0.1398</v>
      </c>
      <c r="AD57" s="936">
        <v>0.1154</v>
      </c>
      <c r="AE57" s="909" t="s">
        <v>420</v>
      </c>
      <c r="AF57" s="909"/>
      <c r="AG57" s="943"/>
    </row>
    <row r="58" s="141" customFormat="1" customHeight="1" spans="1:33">
      <c r="A58" s="14" t="s">
        <v>421</v>
      </c>
      <c r="B58" s="14" t="s">
        <v>422</v>
      </c>
      <c r="C58" s="15" t="s">
        <v>65</v>
      </c>
      <c r="D58" s="928">
        <v>25.6</v>
      </c>
      <c r="E58" s="929">
        <v>383868</v>
      </c>
      <c r="F58" s="929">
        <v>916</v>
      </c>
      <c r="G58" s="929">
        <v>50</v>
      </c>
      <c r="H58" s="887">
        <v>0.0546</v>
      </c>
      <c r="I58" s="890">
        <v>26</v>
      </c>
      <c r="J58" s="890">
        <v>0</v>
      </c>
      <c r="K58" s="929">
        <v>930</v>
      </c>
      <c r="L58" s="930">
        <v>0.98</v>
      </c>
      <c r="M58" s="879">
        <v>9</v>
      </c>
      <c r="N58" s="931">
        <v>0.4221</v>
      </c>
      <c r="O58" s="932">
        <v>0.2</v>
      </c>
      <c r="P58" s="933" t="s">
        <v>423</v>
      </c>
      <c r="Q58" s="933" t="s">
        <v>424</v>
      </c>
      <c r="R58" s="934" t="s">
        <v>68</v>
      </c>
      <c r="S58" s="929">
        <v>18278</v>
      </c>
      <c r="T58" s="886">
        <v>4.5</v>
      </c>
      <c r="U58" s="935" t="s">
        <v>69</v>
      </c>
      <c r="V58" s="900" t="s">
        <v>70</v>
      </c>
      <c r="W58" s="936">
        <v>0.1759</v>
      </c>
      <c r="X58" s="936">
        <v>0</v>
      </c>
      <c r="Y58" s="900" t="s">
        <v>71</v>
      </c>
      <c r="Z58" s="936">
        <v>0.1558</v>
      </c>
      <c r="AA58" s="936">
        <v>0.2</v>
      </c>
      <c r="AB58" s="900" t="s">
        <v>425</v>
      </c>
      <c r="AC58" s="936">
        <v>0.0905</v>
      </c>
      <c r="AD58" s="936">
        <v>0</v>
      </c>
      <c r="AE58" s="909" t="s">
        <v>426</v>
      </c>
      <c r="AF58" s="909"/>
      <c r="AG58" s="943"/>
    </row>
    <row r="59" s="141" customFormat="1" customHeight="1" spans="1:33">
      <c r="A59" s="14" t="s">
        <v>427</v>
      </c>
      <c r="B59" s="14" t="s">
        <v>64</v>
      </c>
      <c r="C59" s="15" t="s">
        <v>65</v>
      </c>
      <c r="D59" s="928">
        <v>53.3</v>
      </c>
      <c r="E59" s="929">
        <v>388897</v>
      </c>
      <c r="F59" s="929">
        <v>909</v>
      </c>
      <c r="G59" s="929">
        <v>107</v>
      </c>
      <c r="H59" s="887">
        <v>0.1185</v>
      </c>
      <c r="I59" s="890">
        <v>26</v>
      </c>
      <c r="J59" s="890">
        <v>0</v>
      </c>
      <c r="K59" s="929">
        <v>922</v>
      </c>
      <c r="L59" s="930">
        <v>0.99</v>
      </c>
      <c r="M59" s="879">
        <v>10</v>
      </c>
      <c r="N59" s="931">
        <v>0.6894</v>
      </c>
      <c r="O59" s="932">
        <v>0.6667</v>
      </c>
      <c r="P59" s="933" t="s">
        <v>428</v>
      </c>
      <c r="Q59" s="933" t="s">
        <v>429</v>
      </c>
      <c r="R59" s="934" t="s">
        <v>68</v>
      </c>
      <c r="S59" s="929">
        <v>31423</v>
      </c>
      <c r="T59" s="886">
        <v>4.5</v>
      </c>
      <c r="U59" s="935" t="s">
        <v>69</v>
      </c>
      <c r="V59" s="900" t="s">
        <v>70</v>
      </c>
      <c r="W59" s="936">
        <v>0.3069</v>
      </c>
      <c r="X59" s="936">
        <v>0.2857</v>
      </c>
      <c r="Y59" s="900" t="s">
        <v>71</v>
      </c>
      <c r="Z59" s="936">
        <v>0.2379</v>
      </c>
      <c r="AA59" s="936">
        <v>0.2381</v>
      </c>
      <c r="AB59" s="900" t="s">
        <v>72</v>
      </c>
      <c r="AC59" s="936">
        <v>0.1448</v>
      </c>
      <c r="AD59" s="936">
        <v>0.1429</v>
      </c>
      <c r="AE59" s="909" t="s">
        <v>430</v>
      </c>
      <c r="AF59" s="909"/>
      <c r="AG59" s="943"/>
    </row>
    <row r="60" s="141" customFormat="1" customHeight="1" spans="1:33">
      <c r="A60" s="14" t="s">
        <v>431</v>
      </c>
      <c r="B60" s="14" t="s">
        <v>64</v>
      </c>
      <c r="C60" s="15" t="s">
        <v>65</v>
      </c>
      <c r="D60" s="928">
        <v>74.4</v>
      </c>
      <c r="E60" s="929">
        <v>389923</v>
      </c>
      <c r="F60" s="929">
        <v>906</v>
      </c>
      <c r="G60" s="929">
        <v>23</v>
      </c>
      <c r="H60" s="887">
        <v>0.0258</v>
      </c>
      <c r="I60" s="890">
        <v>26</v>
      </c>
      <c r="J60" s="890">
        <v>0</v>
      </c>
      <c r="K60" s="929">
        <v>911</v>
      </c>
      <c r="L60" s="930">
        <v>0.99</v>
      </c>
      <c r="M60" s="879">
        <v>15</v>
      </c>
      <c r="N60" s="931">
        <v>0.623</v>
      </c>
      <c r="O60" s="932">
        <v>0.6364</v>
      </c>
      <c r="P60" s="933" t="s">
        <v>432</v>
      </c>
      <c r="Q60" s="933" t="s">
        <v>433</v>
      </c>
      <c r="R60" s="934" t="s">
        <v>68</v>
      </c>
      <c r="S60" s="929">
        <v>31423</v>
      </c>
      <c r="T60" s="886">
        <v>4.5</v>
      </c>
      <c r="U60" s="935" t="s">
        <v>69</v>
      </c>
      <c r="V60" s="900" t="s">
        <v>71</v>
      </c>
      <c r="W60" s="936">
        <v>0.2324</v>
      </c>
      <c r="X60" s="936">
        <v>0.0455</v>
      </c>
      <c r="Y60" s="900" t="s">
        <v>70</v>
      </c>
      <c r="Z60" s="936">
        <v>0.2183</v>
      </c>
      <c r="AA60" s="936">
        <v>0.2727</v>
      </c>
      <c r="AB60" s="900" t="s">
        <v>72</v>
      </c>
      <c r="AC60" s="936">
        <v>0.1725</v>
      </c>
      <c r="AD60" s="936">
        <v>0.3182</v>
      </c>
      <c r="AE60" s="909" t="s">
        <v>434</v>
      </c>
      <c r="AF60" s="909"/>
      <c r="AG60" s="943"/>
    </row>
    <row r="61" s="141" customFormat="1" customHeight="1" spans="1:33">
      <c r="A61" s="14" t="s">
        <v>435</v>
      </c>
      <c r="B61" s="14" t="s">
        <v>436</v>
      </c>
      <c r="C61" s="15" t="s">
        <v>76</v>
      </c>
      <c r="D61" s="928">
        <v>24.4</v>
      </c>
      <c r="E61" s="929">
        <v>395956</v>
      </c>
      <c r="F61" s="929">
        <v>897</v>
      </c>
      <c r="G61" s="929">
        <v>50</v>
      </c>
      <c r="H61" s="887">
        <v>0.0568</v>
      </c>
      <c r="I61" s="890">
        <v>25</v>
      </c>
      <c r="J61" s="890">
        <v>0</v>
      </c>
      <c r="K61" s="929">
        <v>390</v>
      </c>
      <c r="L61" s="930">
        <v>2.3</v>
      </c>
      <c r="M61" s="879">
        <v>7</v>
      </c>
      <c r="N61" s="931">
        <v>0.6887</v>
      </c>
      <c r="O61" s="932">
        <v>0.68</v>
      </c>
      <c r="P61" s="933" t="s">
        <v>437</v>
      </c>
      <c r="Q61" s="933" t="s">
        <v>438</v>
      </c>
      <c r="R61" s="934" t="s">
        <v>128</v>
      </c>
      <c r="S61" s="929">
        <v>18286</v>
      </c>
      <c r="T61" s="886">
        <v>4.5</v>
      </c>
      <c r="U61" s="935" t="s">
        <v>69</v>
      </c>
      <c r="V61" s="900" t="s">
        <v>129</v>
      </c>
      <c r="W61" s="936">
        <v>0.3302</v>
      </c>
      <c r="X61" s="936">
        <v>0.28</v>
      </c>
      <c r="Y61" s="900" t="s">
        <v>71</v>
      </c>
      <c r="Z61" s="936">
        <v>0.1918</v>
      </c>
      <c r="AA61" s="936">
        <v>0.16</v>
      </c>
      <c r="AB61" s="900" t="s">
        <v>439</v>
      </c>
      <c r="AC61" s="936">
        <v>0.1667</v>
      </c>
      <c r="AD61" s="936">
        <v>0.24</v>
      </c>
      <c r="AE61" s="909" t="s">
        <v>440</v>
      </c>
      <c r="AF61" s="909"/>
      <c r="AG61" s="943"/>
    </row>
    <row r="62" s="141" customFormat="1" customHeight="1" spans="1:33">
      <c r="A62" s="14" t="s">
        <v>441</v>
      </c>
      <c r="B62" s="14" t="s">
        <v>442</v>
      </c>
      <c r="C62" s="15" t="s">
        <v>76</v>
      </c>
      <c r="D62" s="928">
        <v>44.4</v>
      </c>
      <c r="E62" s="929">
        <v>403268</v>
      </c>
      <c r="F62" s="929">
        <v>871</v>
      </c>
      <c r="G62" s="929">
        <v>18</v>
      </c>
      <c r="H62" s="887">
        <v>0.0218</v>
      </c>
      <c r="I62" s="890">
        <v>25</v>
      </c>
      <c r="J62" s="890">
        <v>0</v>
      </c>
      <c r="K62" s="929">
        <v>1186</v>
      </c>
      <c r="L62" s="930">
        <v>0.73</v>
      </c>
      <c r="M62" s="879">
        <v>40</v>
      </c>
      <c r="N62" s="931">
        <v>0.5256</v>
      </c>
      <c r="O62" s="932">
        <v>0.8</v>
      </c>
      <c r="P62" s="933" t="s">
        <v>357</v>
      </c>
      <c r="Q62" s="933" t="s">
        <v>443</v>
      </c>
      <c r="R62" s="934" t="s">
        <v>68</v>
      </c>
      <c r="S62" s="929">
        <v>31423</v>
      </c>
      <c r="T62" s="886">
        <v>4.5</v>
      </c>
      <c r="U62" s="935" t="s">
        <v>69</v>
      </c>
      <c r="V62" s="900" t="s">
        <v>70</v>
      </c>
      <c r="W62" s="936">
        <v>0.235</v>
      </c>
      <c r="X62" s="936">
        <v>0.8</v>
      </c>
      <c r="Y62" s="900" t="s">
        <v>72</v>
      </c>
      <c r="Z62" s="936">
        <v>0.1538</v>
      </c>
      <c r="AA62" s="936">
        <v>0</v>
      </c>
      <c r="AB62" s="900" t="s">
        <v>71</v>
      </c>
      <c r="AC62" s="936">
        <v>0.1368</v>
      </c>
      <c r="AD62" s="936">
        <v>0</v>
      </c>
      <c r="AE62" s="909" t="s">
        <v>444</v>
      </c>
      <c r="AF62" s="909"/>
      <c r="AG62" s="943"/>
    </row>
    <row r="63" s="141" customFormat="1" customHeight="1" spans="1:33">
      <c r="A63" s="14" t="s">
        <v>445</v>
      </c>
      <c r="B63" s="14" t="s">
        <v>64</v>
      </c>
      <c r="C63" s="15" t="s">
        <v>65</v>
      </c>
      <c r="D63" s="928">
        <v>63.3</v>
      </c>
      <c r="E63" s="929">
        <v>432925</v>
      </c>
      <c r="F63" s="929">
        <v>808</v>
      </c>
      <c r="G63" s="929">
        <v>42</v>
      </c>
      <c r="H63" s="887">
        <v>0.0529</v>
      </c>
      <c r="I63" s="890">
        <v>23</v>
      </c>
      <c r="J63" s="890">
        <v>0</v>
      </c>
      <c r="K63" s="929">
        <v>881</v>
      </c>
      <c r="L63" s="930">
        <v>0.92</v>
      </c>
      <c r="M63" s="879">
        <v>10</v>
      </c>
      <c r="N63" s="931">
        <v>0.5824</v>
      </c>
      <c r="O63" s="932">
        <v>1</v>
      </c>
      <c r="P63" s="933"/>
      <c r="Q63" s="933" t="s">
        <v>230</v>
      </c>
      <c r="R63" s="934" t="s">
        <v>68</v>
      </c>
      <c r="S63" s="929">
        <v>31425</v>
      </c>
      <c r="T63" s="886">
        <v>4.5</v>
      </c>
      <c r="U63" s="935" t="s">
        <v>94</v>
      </c>
      <c r="V63" s="900" t="s">
        <v>70</v>
      </c>
      <c r="W63" s="936">
        <v>0.3204</v>
      </c>
      <c r="X63" s="936">
        <v>1</v>
      </c>
      <c r="Y63" s="900" t="s">
        <v>366</v>
      </c>
      <c r="Z63" s="936">
        <v>0.1893</v>
      </c>
      <c r="AA63" s="936">
        <v>0</v>
      </c>
      <c r="AB63" s="900" t="s">
        <v>446</v>
      </c>
      <c r="AC63" s="936">
        <v>0.0728</v>
      </c>
      <c r="AD63" s="936">
        <v>0</v>
      </c>
      <c r="AE63" s="909" t="s">
        <v>447</v>
      </c>
      <c r="AF63" s="909"/>
    </row>
    <row r="64" s="141" customFormat="1" customHeight="1" spans="1:33">
      <c r="A64" s="14" t="s">
        <v>448</v>
      </c>
      <c r="B64" s="14" t="s">
        <v>449</v>
      </c>
      <c r="C64" s="15" t="s">
        <v>76</v>
      </c>
      <c r="D64" s="928">
        <v>50</v>
      </c>
      <c r="E64" s="929">
        <v>444627</v>
      </c>
      <c r="F64" s="929">
        <v>794</v>
      </c>
      <c r="G64" s="929">
        <v>93</v>
      </c>
      <c r="H64" s="887">
        <v>0.1177</v>
      </c>
      <c r="I64" s="890">
        <v>23</v>
      </c>
      <c r="J64" s="890">
        <v>0</v>
      </c>
      <c r="K64" s="929">
        <v>283</v>
      </c>
      <c r="L64" s="930">
        <v>2.81</v>
      </c>
      <c r="M64" s="879">
        <v>49</v>
      </c>
      <c r="N64" s="931">
        <v>0.5799</v>
      </c>
      <c r="O64" s="932">
        <v>0.7</v>
      </c>
      <c r="P64" s="933" t="s">
        <v>450</v>
      </c>
      <c r="Q64" s="933" t="s">
        <v>451</v>
      </c>
      <c r="R64" s="934" t="s">
        <v>68</v>
      </c>
      <c r="S64" s="929">
        <v>31423</v>
      </c>
      <c r="T64" s="886">
        <v>4.5</v>
      </c>
      <c r="U64" s="935" t="s">
        <v>69</v>
      </c>
      <c r="V64" s="900" t="s">
        <v>70</v>
      </c>
      <c r="W64" s="936">
        <v>0.2785</v>
      </c>
      <c r="X64" s="936">
        <v>0.3</v>
      </c>
      <c r="Y64" s="900" t="s">
        <v>72</v>
      </c>
      <c r="Z64" s="936">
        <v>0.169</v>
      </c>
      <c r="AA64" s="936">
        <v>0.4</v>
      </c>
      <c r="AB64" s="900" t="s">
        <v>71</v>
      </c>
      <c r="AC64" s="936">
        <v>0.1324</v>
      </c>
      <c r="AD64" s="936">
        <v>0</v>
      </c>
      <c r="AE64" s="909" t="s">
        <v>452</v>
      </c>
      <c r="AF64" s="909"/>
    </row>
    <row r="65" s="141" customFormat="1" customHeight="1" spans="1:32">
      <c r="A65" s="14" t="s">
        <v>453</v>
      </c>
      <c r="B65" s="14" t="s">
        <v>454</v>
      </c>
      <c r="C65" s="15" t="s">
        <v>76</v>
      </c>
      <c r="D65" s="928">
        <v>31.1</v>
      </c>
      <c r="E65" s="929">
        <v>450502</v>
      </c>
      <c r="F65" s="929">
        <v>782</v>
      </c>
      <c r="G65" s="929">
        <v>52</v>
      </c>
      <c r="H65" s="887">
        <v>0.0666</v>
      </c>
      <c r="I65" s="890">
        <v>22</v>
      </c>
      <c r="J65" s="890">
        <v>0</v>
      </c>
      <c r="K65" s="929">
        <v>907</v>
      </c>
      <c r="L65" s="930">
        <v>0.86</v>
      </c>
      <c r="M65" s="879">
        <v>36</v>
      </c>
      <c r="N65" s="931">
        <v>0.6305</v>
      </c>
      <c r="O65" s="932">
        <v>0.5217</v>
      </c>
      <c r="P65" s="933" t="s">
        <v>455</v>
      </c>
      <c r="Q65" s="933" t="s">
        <v>456</v>
      </c>
      <c r="R65" s="934" t="s">
        <v>154</v>
      </c>
      <c r="S65" s="929">
        <v>20843</v>
      </c>
      <c r="T65" s="886">
        <v>4.5</v>
      </c>
      <c r="U65" s="935" t="s">
        <v>69</v>
      </c>
      <c r="V65" s="900" t="s">
        <v>155</v>
      </c>
      <c r="W65" s="936">
        <v>0.268</v>
      </c>
      <c r="X65" s="936">
        <v>0.2174</v>
      </c>
      <c r="Y65" s="900" t="s">
        <v>156</v>
      </c>
      <c r="Z65" s="936">
        <v>0.232</v>
      </c>
      <c r="AA65" s="936">
        <v>0.1739</v>
      </c>
      <c r="AB65" s="900" t="s">
        <v>71</v>
      </c>
      <c r="AC65" s="936">
        <v>0.1307</v>
      </c>
      <c r="AD65" s="936">
        <v>0.1304</v>
      </c>
      <c r="AE65" s="909" t="s">
        <v>457</v>
      </c>
      <c r="AF65" s="909"/>
    </row>
    <row r="66" s="141" customFormat="1" customHeight="1" spans="1:32">
      <c r="A66" s="14" t="s">
        <v>458</v>
      </c>
      <c r="B66" s="14" t="s">
        <v>459</v>
      </c>
      <c r="C66" s="15" t="s">
        <v>76</v>
      </c>
      <c r="D66" s="928">
        <v>27.8</v>
      </c>
      <c r="E66" s="929">
        <v>451210</v>
      </c>
      <c r="F66" s="929">
        <v>782</v>
      </c>
      <c r="G66" s="929">
        <v>50</v>
      </c>
      <c r="H66" s="887">
        <v>0.064</v>
      </c>
      <c r="I66" s="890">
        <v>22</v>
      </c>
      <c r="J66" s="890">
        <v>0</v>
      </c>
      <c r="K66" s="929">
        <v>67</v>
      </c>
      <c r="L66" s="930">
        <v>11.67</v>
      </c>
      <c r="M66" s="879">
        <v>5</v>
      </c>
      <c r="N66" s="931">
        <v>0.9132</v>
      </c>
      <c r="O66" s="932">
        <v>0.9714</v>
      </c>
      <c r="P66" s="933" t="s">
        <v>460</v>
      </c>
      <c r="Q66" s="933" t="s">
        <v>461</v>
      </c>
      <c r="R66" s="934" t="s">
        <v>79</v>
      </c>
      <c r="S66" s="929">
        <v>15940</v>
      </c>
      <c r="T66" s="886">
        <v>4.5</v>
      </c>
      <c r="U66" s="935" t="s">
        <v>69</v>
      </c>
      <c r="V66" s="900" t="s">
        <v>186</v>
      </c>
      <c r="W66" s="936">
        <v>0.6202</v>
      </c>
      <c r="X66" s="936">
        <v>0.5714</v>
      </c>
      <c r="Y66" s="900" t="s">
        <v>187</v>
      </c>
      <c r="Z66" s="936">
        <v>0.2043</v>
      </c>
      <c r="AA66" s="936">
        <v>0.3429</v>
      </c>
      <c r="AB66" s="900" t="s">
        <v>462</v>
      </c>
      <c r="AC66" s="936">
        <v>0.0889</v>
      </c>
      <c r="AD66" s="936">
        <v>0.0571</v>
      </c>
      <c r="AE66" s="909" t="s">
        <v>463</v>
      </c>
      <c r="AF66" s="909"/>
    </row>
    <row r="67" s="141" customFormat="1" customHeight="1" spans="1:32">
      <c r="A67" s="14" t="s">
        <v>464</v>
      </c>
      <c r="B67" s="14" t="s">
        <v>465</v>
      </c>
      <c r="C67" s="15" t="s">
        <v>76</v>
      </c>
      <c r="D67" s="928">
        <v>25.6</v>
      </c>
      <c r="E67" s="929">
        <v>458461</v>
      </c>
      <c r="F67" s="929">
        <v>762</v>
      </c>
      <c r="G67" s="929">
        <v>55</v>
      </c>
      <c r="H67" s="887">
        <v>0.0728</v>
      </c>
      <c r="I67" s="890">
        <v>22</v>
      </c>
      <c r="J67" s="890">
        <v>0</v>
      </c>
      <c r="K67" s="929">
        <v>864</v>
      </c>
      <c r="L67" s="930">
        <v>0.88</v>
      </c>
      <c r="M67" s="879">
        <v>11</v>
      </c>
      <c r="N67" s="931">
        <v>0.7745</v>
      </c>
      <c r="O67" s="932">
        <v>0.8572</v>
      </c>
      <c r="P67" s="933" t="s">
        <v>466</v>
      </c>
      <c r="Q67" s="933" t="s">
        <v>467</v>
      </c>
      <c r="R67" s="934" t="s">
        <v>244</v>
      </c>
      <c r="S67" s="929">
        <v>18286</v>
      </c>
      <c r="T67" s="886">
        <v>4.5</v>
      </c>
      <c r="U67" s="935" t="s">
        <v>69</v>
      </c>
      <c r="V67" s="900" t="s">
        <v>129</v>
      </c>
      <c r="W67" s="936">
        <v>0.3091</v>
      </c>
      <c r="X67" s="936">
        <v>0.381</v>
      </c>
      <c r="Y67" s="900" t="s">
        <v>245</v>
      </c>
      <c r="Z67" s="936">
        <v>0.2509</v>
      </c>
      <c r="AA67" s="936">
        <v>0.1429</v>
      </c>
      <c r="AB67" s="900" t="s">
        <v>71</v>
      </c>
      <c r="AC67" s="936">
        <v>0.2145</v>
      </c>
      <c r="AD67" s="936">
        <v>0.3333</v>
      </c>
      <c r="AE67" s="909" t="s">
        <v>468</v>
      </c>
      <c r="AF67" s="909"/>
    </row>
    <row r="68" s="141" customFormat="1" customHeight="1" spans="1:32">
      <c r="A68" s="14" t="s">
        <v>469</v>
      </c>
      <c r="B68" s="14" t="s">
        <v>470</v>
      </c>
      <c r="C68" s="15" t="s">
        <v>76</v>
      </c>
      <c r="D68" s="928">
        <v>26.7</v>
      </c>
      <c r="E68" s="929">
        <v>469632</v>
      </c>
      <c r="F68" s="929">
        <v>749</v>
      </c>
      <c r="G68" s="929">
        <v>53</v>
      </c>
      <c r="H68" s="887">
        <v>0.0715</v>
      </c>
      <c r="I68" s="890">
        <v>21</v>
      </c>
      <c r="J68" s="890">
        <v>1</v>
      </c>
      <c r="K68" s="929">
        <v>316</v>
      </c>
      <c r="L68" s="930">
        <v>2.37</v>
      </c>
      <c r="M68" s="879">
        <v>22</v>
      </c>
      <c r="N68" s="931">
        <v>0.4298</v>
      </c>
      <c r="O68" s="932">
        <v>0.375</v>
      </c>
      <c r="P68" s="933" t="s">
        <v>471</v>
      </c>
      <c r="Q68" s="933" t="s">
        <v>472</v>
      </c>
      <c r="R68" s="934" t="s">
        <v>231</v>
      </c>
      <c r="S68" s="929">
        <v>10953</v>
      </c>
      <c r="T68" s="886">
        <v>4.5</v>
      </c>
      <c r="U68" s="935" t="s">
        <v>69</v>
      </c>
      <c r="V68" s="900" t="s">
        <v>193</v>
      </c>
      <c r="W68" s="936">
        <v>0.1739</v>
      </c>
      <c r="X68" s="936">
        <v>0.0625</v>
      </c>
      <c r="Y68" s="900" t="s">
        <v>473</v>
      </c>
      <c r="Z68" s="936">
        <v>0.1449</v>
      </c>
      <c r="AA68" s="936">
        <v>0.1875</v>
      </c>
      <c r="AB68" s="900" t="s">
        <v>140</v>
      </c>
      <c r="AC68" s="936">
        <v>0.1111</v>
      </c>
      <c r="AD68" s="936">
        <v>0.125</v>
      </c>
      <c r="AE68" s="909" t="s">
        <v>474</v>
      </c>
      <c r="AF68" s="909"/>
    </row>
    <row r="69" s="141" customFormat="1" customHeight="1" spans="1:32">
      <c r="A69" s="14" t="s">
        <v>475</v>
      </c>
      <c r="B69" s="14" t="s">
        <v>476</v>
      </c>
      <c r="C69" s="15" t="s">
        <v>76</v>
      </c>
      <c r="D69" s="928">
        <v>28.9</v>
      </c>
      <c r="E69" s="929">
        <v>481388</v>
      </c>
      <c r="F69" s="929">
        <v>732</v>
      </c>
      <c r="G69" s="929">
        <v>150</v>
      </c>
      <c r="H69" s="887">
        <v>0.2061</v>
      </c>
      <c r="I69" s="890">
        <v>21</v>
      </c>
      <c r="J69" s="890">
        <v>0</v>
      </c>
      <c r="K69" s="929">
        <v>325</v>
      </c>
      <c r="L69" s="930">
        <v>2.25</v>
      </c>
      <c r="M69" s="879">
        <v>94</v>
      </c>
      <c r="N69" s="931">
        <v>0.9409</v>
      </c>
      <c r="O69" s="932">
        <v>0.9708</v>
      </c>
      <c r="P69" s="933"/>
      <c r="Q69" s="933" t="s">
        <v>230</v>
      </c>
      <c r="R69" s="934" t="s">
        <v>477</v>
      </c>
      <c r="S69" s="929">
        <v>3486</v>
      </c>
      <c r="T69" s="886">
        <v>4.5</v>
      </c>
      <c r="U69" s="935" t="s">
        <v>69</v>
      </c>
      <c r="V69" s="900" t="s">
        <v>478</v>
      </c>
      <c r="W69" s="936">
        <v>0.7357</v>
      </c>
      <c r="X69" s="936">
        <v>0.8321</v>
      </c>
      <c r="Y69" s="900" t="s">
        <v>479</v>
      </c>
      <c r="Z69" s="936">
        <v>0.1722</v>
      </c>
      <c r="AA69" s="936">
        <v>0.1241</v>
      </c>
      <c r="AB69" s="900" t="s">
        <v>480</v>
      </c>
      <c r="AC69" s="936">
        <v>0.033</v>
      </c>
      <c r="AD69" s="936">
        <v>0.0146</v>
      </c>
      <c r="AE69" s="909" t="s">
        <v>481</v>
      </c>
      <c r="AF69" s="909"/>
    </row>
    <row r="70" s="141" customFormat="1" customHeight="1" spans="1:32">
      <c r="A70" s="14" t="s">
        <v>482</v>
      </c>
      <c r="B70" s="14" t="s">
        <v>483</v>
      </c>
      <c r="C70" s="15" t="s">
        <v>65</v>
      </c>
      <c r="D70" s="928">
        <v>30</v>
      </c>
      <c r="E70" s="929">
        <v>485519</v>
      </c>
      <c r="F70" s="929">
        <v>725</v>
      </c>
      <c r="G70" s="929">
        <v>41</v>
      </c>
      <c r="H70" s="887">
        <v>0.0566</v>
      </c>
      <c r="I70" s="890">
        <v>21</v>
      </c>
      <c r="J70" s="890">
        <v>0</v>
      </c>
      <c r="K70" s="929">
        <v>218</v>
      </c>
      <c r="L70" s="930">
        <v>3.33</v>
      </c>
      <c r="M70" s="879">
        <v>18</v>
      </c>
      <c r="N70" s="931">
        <v>0.503</v>
      </c>
      <c r="O70" s="932">
        <v>0.5001</v>
      </c>
      <c r="P70" s="933" t="s">
        <v>389</v>
      </c>
      <c r="Q70" s="933" t="s">
        <v>484</v>
      </c>
      <c r="R70" s="934" t="s">
        <v>68</v>
      </c>
      <c r="S70" s="929">
        <v>32831</v>
      </c>
      <c r="T70" s="886">
        <v>4.5</v>
      </c>
      <c r="U70" s="935" t="s">
        <v>69</v>
      </c>
      <c r="V70" s="900" t="s">
        <v>155</v>
      </c>
      <c r="W70" s="936">
        <v>0.1988</v>
      </c>
      <c r="X70" s="936">
        <v>0.1667</v>
      </c>
      <c r="Y70" s="900" t="s">
        <v>232</v>
      </c>
      <c r="Z70" s="936">
        <v>0.1677</v>
      </c>
      <c r="AA70" s="936">
        <v>0.1667</v>
      </c>
      <c r="AB70" s="900" t="s">
        <v>70</v>
      </c>
      <c r="AC70" s="936">
        <v>0.1366</v>
      </c>
      <c r="AD70" s="936">
        <v>0.1667</v>
      </c>
      <c r="AE70" s="909" t="s">
        <v>485</v>
      </c>
      <c r="AF70" s="909"/>
    </row>
    <row r="71" s="141" customFormat="1" customHeight="1" spans="1:32">
      <c r="A71" s="14" t="s">
        <v>486</v>
      </c>
      <c r="B71" s="14" t="s">
        <v>487</v>
      </c>
      <c r="C71" s="15" t="s">
        <v>76</v>
      </c>
      <c r="D71" s="928">
        <v>25.6</v>
      </c>
      <c r="E71" s="929">
        <v>487941</v>
      </c>
      <c r="F71" s="929">
        <v>720</v>
      </c>
      <c r="G71" s="929">
        <v>16</v>
      </c>
      <c r="H71" s="887">
        <v>0.023</v>
      </c>
      <c r="I71" s="890">
        <v>20</v>
      </c>
      <c r="J71" s="890">
        <v>2</v>
      </c>
      <c r="K71" s="929">
        <v>282</v>
      </c>
      <c r="L71" s="930">
        <v>2.55</v>
      </c>
      <c r="M71" s="879">
        <v>10</v>
      </c>
      <c r="N71" s="931">
        <v>0.9143</v>
      </c>
      <c r="O71" s="932">
        <v>1</v>
      </c>
      <c r="P71" s="933" t="s">
        <v>423</v>
      </c>
      <c r="Q71" s="933" t="s">
        <v>488</v>
      </c>
      <c r="R71" s="934" t="s">
        <v>400</v>
      </c>
      <c r="S71" s="929">
        <v>754</v>
      </c>
      <c r="T71" s="886">
        <v>4.4</v>
      </c>
      <c r="U71" s="935" t="s">
        <v>69</v>
      </c>
      <c r="V71" s="900" t="s">
        <v>149</v>
      </c>
      <c r="W71" s="936">
        <v>0.6381</v>
      </c>
      <c r="X71" s="936">
        <v>0.7</v>
      </c>
      <c r="Y71" s="900" t="s">
        <v>489</v>
      </c>
      <c r="Z71" s="936">
        <v>0.1685</v>
      </c>
      <c r="AA71" s="936">
        <v>0.1</v>
      </c>
      <c r="AB71" s="900" t="s">
        <v>490</v>
      </c>
      <c r="AC71" s="936">
        <v>0.1077</v>
      </c>
      <c r="AD71" s="936">
        <v>0.2</v>
      </c>
      <c r="AE71" s="909" t="s">
        <v>491</v>
      </c>
      <c r="AF71" s="909"/>
    </row>
    <row r="72" s="141" customFormat="1" customHeight="1" spans="1:32">
      <c r="A72" s="14" t="s">
        <v>492</v>
      </c>
      <c r="B72" s="14" t="s">
        <v>493</v>
      </c>
      <c r="C72" s="15" t="s">
        <v>76</v>
      </c>
      <c r="D72" s="928">
        <v>46.7</v>
      </c>
      <c r="E72" s="929">
        <v>502785</v>
      </c>
      <c r="F72" s="929">
        <v>697</v>
      </c>
      <c r="G72" s="929">
        <v>27</v>
      </c>
      <c r="H72" s="887">
        <v>0.0399</v>
      </c>
      <c r="I72" s="890">
        <v>20</v>
      </c>
      <c r="J72" s="890">
        <v>0</v>
      </c>
      <c r="K72" s="929">
        <v>228</v>
      </c>
      <c r="L72" s="930">
        <v>3.06</v>
      </c>
      <c r="M72" s="879">
        <v>34</v>
      </c>
      <c r="N72" s="931">
        <v>0.3903</v>
      </c>
      <c r="O72" s="932">
        <v>0.5</v>
      </c>
      <c r="P72" s="933" t="s">
        <v>494</v>
      </c>
      <c r="Q72" s="933" t="s">
        <v>495</v>
      </c>
      <c r="R72" s="934" t="s">
        <v>68</v>
      </c>
      <c r="S72" s="929">
        <v>31423</v>
      </c>
      <c r="T72" s="886">
        <v>4.5</v>
      </c>
      <c r="U72" s="935" t="s">
        <v>69</v>
      </c>
      <c r="V72" s="900" t="s">
        <v>72</v>
      </c>
      <c r="W72" s="936">
        <v>0.1768</v>
      </c>
      <c r="X72" s="936">
        <v>0.25</v>
      </c>
      <c r="Y72" s="900" t="s">
        <v>70</v>
      </c>
      <c r="Z72" s="936">
        <v>0.1159</v>
      </c>
      <c r="AA72" s="936">
        <v>0</v>
      </c>
      <c r="AB72" s="900" t="s">
        <v>71</v>
      </c>
      <c r="AC72" s="936">
        <v>0.0976</v>
      </c>
      <c r="AD72" s="936">
        <v>0.25</v>
      </c>
      <c r="AE72" s="909" t="s">
        <v>496</v>
      </c>
      <c r="AF72" s="909"/>
    </row>
    <row r="73" s="141" customFormat="1" customHeight="1" spans="1:32">
      <c r="A73" s="14" t="s">
        <v>497</v>
      </c>
      <c r="B73" s="14" t="s">
        <v>64</v>
      </c>
      <c r="C73" s="15" t="s">
        <v>76</v>
      </c>
      <c r="D73" s="928">
        <v>38.9</v>
      </c>
      <c r="E73" s="929">
        <v>510928</v>
      </c>
      <c r="F73" s="929">
        <v>694</v>
      </c>
      <c r="G73" s="929">
        <v>39</v>
      </c>
      <c r="H73" s="887">
        <v>0.057</v>
      </c>
      <c r="I73" s="890">
        <v>20</v>
      </c>
      <c r="J73" s="890">
        <v>2</v>
      </c>
      <c r="K73" s="929">
        <v>333</v>
      </c>
      <c r="L73" s="930">
        <v>2.08</v>
      </c>
      <c r="M73" s="879">
        <v>14</v>
      </c>
      <c r="N73" s="931">
        <v>0.5515</v>
      </c>
      <c r="O73" s="932">
        <v>0.5454</v>
      </c>
      <c r="P73" s="933" t="s">
        <v>498</v>
      </c>
      <c r="Q73" s="933" t="s">
        <v>499</v>
      </c>
      <c r="R73" s="934" t="s">
        <v>199</v>
      </c>
      <c r="S73" s="929">
        <v>18300</v>
      </c>
      <c r="T73" s="886">
        <v>4.5</v>
      </c>
      <c r="U73" s="935" t="s">
        <v>69</v>
      </c>
      <c r="V73" s="900" t="s">
        <v>71</v>
      </c>
      <c r="W73" s="936">
        <v>0.3172</v>
      </c>
      <c r="X73" s="936">
        <v>0.2727</v>
      </c>
      <c r="Y73" s="900" t="s">
        <v>446</v>
      </c>
      <c r="Z73" s="936">
        <v>0.131</v>
      </c>
      <c r="AA73" s="936">
        <v>0.0909</v>
      </c>
      <c r="AB73" s="900" t="s">
        <v>70</v>
      </c>
      <c r="AC73" s="936">
        <v>0.1034</v>
      </c>
      <c r="AD73" s="936">
        <v>0.1818</v>
      </c>
      <c r="AE73" s="909" t="s">
        <v>500</v>
      </c>
      <c r="AF73" s="909"/>
    </row>
    <row r="74" s="141" customFormat="1" customHeight="1" spans="1:32">
      <c r="A74" s="14" t="s">
        <v>501</v>
      </c>
      <c r="B74" s="14" t="s">
        <v>64</v>
      </c>
      <c r="C74" s="15" t="s">
        <v>76</v>
      </c>
      <c r="D74" s="928">
        <v>34.4</v>
      </c>
      <c r="E74" s="929">
        <v>515144</v>
      </c>
      <c r="F74" s="929">
        <v>687</v>
      </c>
      <c r="G74" s="929">
        <v>78</v>
      </c>
      <c r="H74" s="887">
        <v>0.1141</v>
      </c>
      <c r="I74" s="890">
        <v>20</v>
      </c>
      <c r="J74" s="890">
        <v>0</v>
      </c>
      <c r="K74" s="929">
        <v>915</v>
      </c>
      <c r="L74" s="930">
        <v>0.75</v>
      </c>
      <c r="M74" s="879">
        <v>24</v>
      </c>
      <c r="N74" s="931">
        <v>0.6916</v>
      </c>
      <c r="O74" s="932">
        <v>0.8572</v>
      </c>
      <c r="P74" s="933" t="s">
        <v>502</v>
      </c>
      <c r="Q74" s="933" t="s">
        <v>503</v>
      </c>
      <c r="R74" s="934" t="s">
        <v>68</v>
      </c>
      <c r="S74" s="929">
        <v>31423</v>
      </c>
      <c r="T74" s="886">
        <v>4.5</v>
      </c>
      <c r="U74" s="935" t="s">
        <v>69</v>
      </c>
      <c r="V74" s="900" t="s">
        <v>70</v>
      </c>
      <c r="W74" s="936">
        <v>0.3308</v>
      </c>
      <c r="X74" s="936">
        <v>0.2857</v>
      </c>
      <c r="Y74" s="900" t="s">
        <v>71</v>
      </c>
      <c r="Z74" s="936">
        <v>0.2105</v>
      </c>
      <c r="AA74" s="936">
        <v>0.4286</v>
      </c>
      <c r="AB74" s="900" t="s">
        <v>72</v>
      </c>
      <c r="AC74" s="936">
        <v>0.1504</v>
      </c>
      <c r="AD74" s="936">
        <v>0.1429</v>
      </c>
      <c r="AE74" s="909" t="s">
        <v>504</v>
      </c>
      <c r="AF74" s="909"/>
    </row>
    <row r="75" s="141" customFormat="1" customHeight="1" spans="1:32">
      <c r="A75" s="14" t="s">
        <v>505</v>
      </c>
      <c r="B75" s="14" t="s">
        <v>506</v>
      </c>
      <c r="C75" s="15" t="s">
        <v>76</v>
      </c>
      <c r="D75" s="928">
        <v>31.1</v>
      </c>
      <c r="E75" s="929">
        <v>514936</v>
      </c>
      <c r="F75" s="929">
        <v>687</v>
      </c>
      <c r="G75" s="929">
        <v>42</v>
      </c>
      <c r="H75" s="887">
        <v>0.0617</v>
      </c>
      <c r="I75" s="890">
        <v>20</v>
      </c>
      <c r="J75" s="890">
        <v>0</v>
      </c>
      <c r="K75" s="929">
        <v>262</v>
      </c>
      <c r="L75" s="930">
        <v>2.62</v>
      </c>
      <c r="M75" s="879">
        <v>12</v>
      </c>
      <c r="N75" s="931">
        <v>0.5</v>
      </c>
      <c r="O75" s="932">
        <v>0.4285</v>
      </c>
      <c r="P75" s="933" t="s">
        <v>389</v>
      </c>
      <c r="Q75" s="933" t="s">
        <v>507</v>
      </c>
      <c r="R75" s="934" t="s">
        <v>508</v>
      </c>
      <c r="S75" s="929">
        <v>2307</v>
      </c>
      <c r="T75" s="886">
        <v>4.5</v>
      </c>
      <c r="U75" s="935" t="s">
        <v>69</v>
      </c>
      <c r="V75" s="900" t="s">
        <v>509</v>
      </c>
      <c r="W75" s="936">
        <v>0.275</v>
      </c>
      <c r="X75" s="936">
        <v>0.3333</v>
      </c>
      <c r="Y75" s="900" t="s">
        <v>72</v>
      </c>
      <c r="Z75" s="936">
        <v>0.135</v>
      </c>
      <c r="AA75" s="936">
        <v>0.0952</v>
      </c>
      <c r="AB75" s="900" t="s">
        <v>510</v>
      </c>
      <c r="AC75" s="936">
        <v>0.09</v>
      </c>
      <c r="AD75" s="936">
        <v>0</v>
      </c>
      <c r="AE75" s="909" t="s">
        <v>511</v>
      </c>
      <c r="AF75" s="909"/>
    </row>
    <row r="76" s="141" customFormat="1" customHeight="1" spans="1:32">
      <c r="A76" s="14" t="s">
        <v>512</v>
      </c>
      <c r="B76" s="14" t="s">
        <v>64</v>
      </c>
      <c r="C76" s="15" t="s">
        <v>65</v>
      </c>
      <c r="D76" s="928">
        <v>48.9</v>
      </c>
      <c r="E76" s="929">
        <v>526356</v>
      </c>
      <c r="F76" s="929">
        <v>671</v>
      </c>
      <c r="G76" s="929">
        <v>79</v>
      </c>
      <c r="H76" s="887">
        <v>0.119</v>
      </c>
      <c r="I76" s="890">
        <v>19</v>
      </c>
      <c r="J76" s="890">
        <v>0</v>
      </c>
      <c r="K76" s="929">
        <v>914</v>
      </c>
      <c r="L76" s="930">
        <v>0.73</v>
      </c>
      <c r="M76" s="879">
        <v>24</v>
      </c>
      <c r="N76" s="931">
        <v>0.6667</v>
      </c>
      <c r="O76" s="932">
        <v>0.6923</v>
      </c>
      <c r="P76" s="933" t="s">
        <v>513</v>
      </c>
      <c r="Q76" s="933" t="s">
        <v>514</v>
      </c>
      <c r="R76" s="934" t="s">
        <v>68</v>
      </c>
      <c r="S76" s="929">
        <v>31423</v>
      </c>
      <c r="T76" s="886">
        <v>4.5</v>
      </c>
      <c r="U76" s="935" t="s">
        <v>69</v>
      </c>
      <c r="V76" s="900" t="s">
        <v>70</v>
      </c>
      <c r="W76" s="936">
        <v>0.2398</v>
      </c>
      <c r="X76" s="936">
        <v>0.2308</v>
      </c>
      <c r="Y76" s="900" t="s">
        <v>72</v>
      </c>
      <c r="Z76" s="936">
        <v>0.2281</v>
      </c>
      <c r="AA76" s="936">
        <v>0.2692</v>
      </c>
      <c r="AB76" s="900" t="s">
        <v>71</v>
      </c>
      <c r="AC76" s="936">
        <v>0.1988</v>
      </c>
      <c r="AD76" s="936">
        <v>0.1923</v>
      </c>
      <c r="AE76" s="909" t="s">
        <v>515</v>
      </c>
      <c r="AF76" s="909"/>
    </row>
    <row r="77" s="141" customFormat="1" customHeight="1" spans="1:32">
      <c r="A77" s="14" t="s">
        <v>516</v>
      </c>
      <c r="B77" s="14" t="s">
        <v>517</v>
      </c>
      <c r="C77" s="15" t="s">
        <v>76</v>
      </c>
      <c r="D77" s="928">
        <v>24.4</v>
      </c>
      <c r="E77" s="929">
        <v>556517</v>
      </c>
      <c r="F77" s="929">
        <v>635</v>
      </c>
      <c r="G77" s="929">
        <v>21</v>
      </c>
      <c r="H77" s="887">
        <v>0.0344</v>
      </c>
      <c r="I77" s="890">
        <v>18</v>
      </c>
      <c r="J77" s="890">
        <v>0</v>
      </c>
      <c r="K77" s="929">
        <v>154</v>
      </c>
      <c r="L77" s="930">
        <v>4.12</v>
      </c>
      <c r="M77" s="879">
        <v>34</v>
      </c>
      <c r="N77" s="931">
        <v>0.716</v>
      </c>
      <c r="O77" s="932">
        <v>0.625</v>
      </c>
      <c r="P77" s="933" t="s">
        <v>518</v>
      </c>
      <c r="Q77" s="933" t="s">
        <v>519</v>
      </c>
      <c r="R77" s="934" t="s">
        <v>162</v>
      </c>
      <c r="S77" s="929">
        <v>5900</v>
      </c>
      <c r="T77" s="886">
        <v>4</v>
      </c>
      <c r="U77" s="935" t="s">
        <v>69</v>
      </c>
      <c r="V77" s="900" t="s">
        <v>155</v>
      </c>
      <c r="W77" s="936">
        <v>0.3864</v>
      </c>
      <c r="X77" s="936">
        <v>0.375</v>
      </c>
      <c r="Y77" s="900" t="s">
        <v>163</v>
      </c>
      <c r="Z77" s="936">
        <v>0.1932</v>
      </c>
      <c r="AA77" s="936">
        <v>0</v>
      </c>
      <c r="AB77" s="900" t="s">
        <v>520</v>
      </c>
      <c r="AC77" s="936">
        <v>0.1364</v>
      </c>
      <c r="AD77" s="936">
        <v>0.25</v>
      </c>
      <c r="AE77" s="909" t="s">
        <v>521</v>
      </c>
      <c r="AF77" s="909"/>
    </row>
    <row r="78" s="141" customFormat="1" customHeight="1" spans="1:32">
      <c r="A78" s="14" t="s">
        <v>522</v>
      </c>
      <c r="B78" s="14" t="s">
        <v>523</v>
      </c>
      <c r="C78" s="15" t="s">
        <v>76</v>
      </c>
      <c r="D78" s="928">
        <v>26.7</v>
      </c>
      <c r="E78" s="929">
        <v>605348</v>
      </c>
      <c r="F78" s="929">
        <v>579</v>
      </c>
      <c r="G78" s="929">
        <v>30</v>
      </c>
      <c r="H78" s="887">
        <v>0.0522</v>
      </c>
      <c r="I78" s="890">
        <v>13</v>
      </c>
      <c r="J78" s="890">
        <v>0</v>
      </c>
      <c r="K78" s="929">
        <v>895</v>
      </c>
      <c r="L78" s="930">
        <v>0.65</v>
      </c>
      <c r="M78" s="879">
        <v>15</v>
      </c>
      <c r="N78" s="931">
        <v>0.5658</v>
      </c>
      <c r="O78" s="932">
        <v>0.6153</v>
      </c>
      <c r="P78" s="933" t="s">
        <v>524</v>
      </c>
      <c r="Q78" s="933" t="s">
        <v>525</v>
      </c>
      <c r="R78" s="934" t="s">
        <v>128</v>
      </c>
      <c r="S78" s="929">
        <v>6111</v>
      </c>
      <c r="T78" s="886">
        <v>4.5</v>
      </c>
      <c r="U78" s="935" t="s">
        <v>94</v>
      </c>
      <c r="V78" s="900" t="s">
        <v>178</v>
      </c>
      <c r="W78" s="936">
        <v>0.2237</v>
      </c>
      <c r="X78" s="936">
        <v>0.1538</v>
      </c>
      <c r="Y78" s="900" t="s">
        <v>80</v>
      </c>
      <c r="Z78" s="936">
        <v>0.1776</v>
      </c>
      <c r="AA78" s="936">
        <v>0.3077</v>
      </c>
      <c r="AB78" s="900" t="s">
        <v>129</v>
      </c>
      <c r="AC78" s="936">
        <v>0.1645</v>
      </c>
      <c r="AD78" s="936">
        <v>0.1538</v>
      </c>
      <c r="AE78" s="909" t="s">
        <v>526</v>
      </c>
      <c r="AF78" s="909"/>
    </row>
    <row r="79" s="141" customFormat="1" customHeight="1" spans="1:32">
      <c r="A79" s="14" t="s">
        <v>527</v>
      </c>
      <c r="B79" s="14" t="s">
        <v>528</v>
      </c>
      <c r="C79" s="15" t="s">
        <v>65</v>
      </c>
      <c r="D79" s="928">
        <v>43.3</v>
      </c>
      <c r="E79" s="929">
        <v>623633</v>
      </c>
      <c r="F79" s="929">
        <v>562</v>
      </c>
      <c r="G79" s="929">
        <v>93</v>
      </c>
      <c r="H79" s="887">
        <v>0.1659</v>
      </c>
      <c r="I79" s="890">
        <v>13</v>
      </c>
      <c r="J79" s="890">
        <v>0</v>
      </c>
      <c r="K79" s="929">
        <v>893</v>
      </c>
      <c r="L79" s="930">
        <v>0.63</v>
      </c>
      <c r="M79" s="879">
        <v>9</v>
      </c>
      <c r="N79" s="931">
        <v>0.6933</v>
      </c>
      <c r="O79" s="932">
        <v>0.8</v>
      </c>
      <c r="P79" s="933" t="s">
        <v>529</v>
      </c>
      <c r="Q79" s="933" t="s">
        <v>530</v>
      </c>
      <c r="R79" s="934" t="s">
        <v>68</v>
      </c>
      <c r="S79" s="929">
        <v>31423</v>
      </c>
      <c r="T79" s="886">
        <v>4.5</v>
      </c>
      <c r="U79" s="935" t="s">
        <v>69</v>
      </c>
      <c r="V79" s="900" t="s">
        <v>70</v>
      </c>
      <c r="W79" s="936">
        <v>0.2667</v>
      </c>
      <c r="X79" s="936">
        <v>0.1</v>
      </c>
      <c r="Y79" s="900" t="s">
        <v>72</v>
      </c>
      <c r="Z79" s="936">
        <v>0.2333</v>
      </c>
      <c r="AA79" s="936">
        <v>0.3</v>
      </c>
      <c r="AB79" s="900" t="s">
        <v>71</v>
      </c>
      <c r="AC79" s="936">
        <v>0.1933</v>
      </c>
      <c r="AD79" s="936">
        <v>0.4</v>
      </c>
      <c r="AE79" s="909" t="s">
        <v>531</v>
      </c>
      <c r="AF79" s="909"/>
    </row>
    <row r="80" s="141" customFormat="1" customHeight="1" spans="1:32">
      <c r="A80" s="14" t="s">
        <v>532</v>
      </c>
      <c r="B80" s="14" t="s">
        <v>64</v>
      </c>
      <c r="C80" s="15" t="s">
        <v>65</v>
      </c>
      <c r="D80" s="928">
        <v>30</v>
      </c>
      <c r="E80" s="929">
        <v>625400</v>
      </c>
      <c r="F80" s="929">
        <v>561</v>
      </c>
      <c r="G80" s="929">
        <v>6</v>
      </c>
      <c r="H80" s="887">
        <v>0.012</v>
      </c>
      <c r="I80" s="890">
        <v>13</v>
      </c>
      <c r="J80" s="890">
        <v>0</v>
      </c>
      <c r="K80" s="929">
        <v>111</v>
      </c>
      <c r="L80" s="930">
        <v>5.05</v>
      </c>
      <c r="M80" s="879">
        <v>5</v>
      </c>
      <c r="N80" s="931">
        <v>0.5713</v>
      </c>
      <c r="O80" s="932">
        <v>0</v>
      </c>
      <c r="P80" s="933" t="s">
        <v>533</v>
      </c>
      <c r="Q80" s="933" t="s">
        <v>534</v>
      </c>
      <c r="R80" s="934" t="s">
        <v>311</v>
      </c>
      <c r="S80" s="929">
        <v>20843</v>
      </c>
      <c r="T80" s="886">
        <v>4.5</v>
      </c>
      <c r="U80" s="935" t="s">
        <v>94</v>
      </c>
      <c r="V80" s="900" t="s">
        <v>155</v>
      </c>
      <c r="W80" s="936">
        <v>0.369</v>
      </c>
      <c r="X80" s="936">
        <v>0</v>
      </c>
      <c r="Y80" s="900" t="s">
        <v>535</v>
      </c>
      <c r="Z80" s="936">
        <v>0.131</v>
      </c>
      <c r="AA80" s="936">
        <v>0</v>
      </c>
      <c r="AB80" s="900" t="s">
        <v>312</v>
      </c>
      <c r="AC80" s="936">
        <v>0.0714</v>
      </c>
      <c r="AD80" s="936">
        <v>0</v>
      </c>
      <c r="AE80" s="909" t="s">
        <v>536</v>
      </c>
      <c r="AF80" s="909"/>
    </row>
    <row r="81" s="141" customFormat="1" customHeight="1" spans="1:32">
      <c r="A81" s="14" t="s">
        <v>537</v>
      </c>
      <c r="B81" s="14" t="s">
        <v>470</v>
      </c>
      <c r="C81" s="15" t="s">
        <v>76</v>
      </c>
      <c r="D81" s="928">
        <v>25.6</v>
      </c>
      <c r="E81" s="929">
        <v>664656</v>
      </c>
      <c r="F81" s="929">
        <v>525</v>
      </c>
      <c r="G81" s="929">
        <v>28</v>
      </c>
      <c r="H81" s="887">
        <v>0.0542</v>
      </c>
      <c r="I81" s="890">
        <v>12</v>
      </c>
      <c r="J81" s="890">
        <v>0</v>
      </c>
      <c r="K81" s="929">
        <v>303</v>
      </c>
      <c r="L81" s="930">
        <v>1.73</v>
      </c>
      <c r="M81" s="879">
        <v>1</v>
      </c>
      <c r="N81" s="931">
        <v>0.4101</v>
      </c>
      <c r="O81" s="932">
        <v>0.4</v>
      </c>
      <c r="P81" s="933" t="s">
        <v>533</v>
      </c>
      <c r="Q81" s="933" t="s">
        <v>538</v>
      </c>
      <c r="R81" s="934" t="s">
        <v>350</v>
      </c>
      <c r="S81" s="929">
        <v>40555</v>
      </c>
      <c r="T81" s="886">
        <v>4.5</v>
      </c>
      <c r="U81" s="935" t="s">
        <v>69</v>
      </c>
      <c r="V81" s="900" t="s">
        <v>140</v>
      </c>
      <c r="W81" s="936">
        <v>0.1727</v>
      </c>
      <c r="X81" s="936">
        <v>0</v>
      </c>
      <c r="Y81" s="900" t="s">
        <v>473</v>
      </c>
      <c r="Z81" s="936">
        <v>0.1295</v>
      </c>
      <c r="AA81" s="936">
        <v>0.3</v>
      </c>
      <c r="AB81" s="900" t="s">
        <v>351</v>
      </c>
      <c r="AC81" s="936">
        <v>0.1079</v>
      </c>
      <c r="AD81" s="936">
        <v>0.1</v>
      </c>
      <c r="AE81" s="909" t="s">
        <v>539</v>
      </c>
      <c r="AF81" s="909"/>
    </row>
    <row r="82" s="141" customFormat="1" customHeight="1" spans="1:32">
      <c r="A82" s="14" t="s">
        <v>540</v>
      </c>
      <c r="B82" s="14" t="s">
        <v>541</v>
      </c>
      <c r="C82" s="15" t="s">
        <v>65</v>
      </c>
      <c r="D82" s="928">
        <v>31.1</v>
      </c>
      <c r="E82" s="929">
        <v>682584</v>
      </c>
      <c r="F82" s="929">
        <v>505</v>
      </c>
      <c r="G82" s="929">
        <v>1</v>
      </c>
      <c r="H82" s="887">
        <v>0.0034</v>
      </c>
      <c r="I82" s="890">
        <v>12</v>
      </c>
      <c r="J82" s="890">
        <v>0</v>
      </c>
      <c r="K82" s="929">
        <v>269</v>
      </c>
      <c r="L82" s="930">
        <v>1.88</v>
      </c>
      <c r="M82" s="879">
        <v>33</v>
      </c>
      <c r="N82" s="931">
        <v>0.8499</v>
      </c>
      <c r="O82" s="932">
        <v>0.6</v>
      </c>
      <c r="P82" s="933" t="s">
        <v>542</v>
      </c>
      <c r="Q82" s="933" t="s">
        <v>543</v>
      </c>
      <c r="R82" s="934" t="s">
        <v>199</v>
      </c>
      <c r="S82" s="929">
        <v>18278</v>
      </c>
      <c r="T82" s="886">
        <v>4.5</v>
      </c>
      <c r="U82" s="935" t="s">
        <v>94</v>
      </c>
      <c r="V82" s="900" t="s">
        <v>544</v>
      </c>
      <c r="W82" s="936">
        <v>0.6875</v>
      </c>
      <c r="X82" s="936">
        <v>0.2</v>
      </c>
      <c r="Y82" s="900" t="s">
        <v>156</v>
      </c>
      <c r="Z82" s="936">
        <v>0.0812</v>
      </c>
      <c r="AA82" s="936">
        <v>0.2</v>
      </c>
      <c r="AB82" s="900" t="s">
        <v>71</v>
      </c>
      <c r="AC82" s="936">
        <v>0.0812</v>
      </c>
      <c r="AD82" s="936">
        <v>0.2</v>
      </c>
      <c r="AE82" s="909" t="s">
        <v>545</v>
      </c>
      <c r="AF82" s="909"/>
    </row>
    <row r="83" s="141" customFormat="1" customHeight="1" spans="1:32">
      <c r="A83" s="14" t="s">
        <v>546</v>
      </c>
      <c r="B83" s="14" t="s">
        <v>547</v>
      </c>
      <c r="C83" s="15" t="s">
        <v>76</v>
      </c>
      <c r="D83" s="928">
        <v>24.4</v>
      </c>
      <c r="E83" s="929">
        <v>704439</v>
      </c>
      <c r="F83" s="929">
        <v>490</v>
      </c>
      <c r="G83" s="929">
        <v>6</v>
      </c>
      <c r="H83" s="887">
        <v>0.014</v>
      </c>
      <c r="I83" s="890">
        <v>11</v>
      </c>
      <c r="J83" s="890">
        <v>0</v>
      </c>
      <c r="K83" s="929">
        <v>328</v>
      </c>
      <c r="L83" s="930">
        <v>1.49</v>
      </c>
      <c r="M83" s="879">
        <v>4</v>
      </c>
      <c r="N83" s="931">
        <v>0.5432</v>
      </c>
      <c r="O83" s="932">
        <v>0.6667</v>
      </c>
      <c r="P83" s="933" t="s">
        <v>548</v>
      </c>
      <c r="Q83" s="933" t="s">
        <v>549</v>
      </c>
      <c r="R83" s="934" t="s">
        <v>68</v>
      </c>
      <c r="S83" s="929">
        <v>20843</v>
      </c>
      <c r="T83" s="886">
        <v>4.5</v>
      </c>
      <c r="U83" s="935" t="s">
        <v>69</v>
      </c>
      <c r="V83" s="900" t="s">
        <v>70</v>
      </c>
      <c r="W83" s="936">
        <v>0.2756</v>
      </c>
      <c r="X83" s="936">
        <v>0.6667</v>
      </c>
      <c r="Y83" s="900" t="s">
        <v>155</v>
      </c>
      <c r="Z83" s="936">
        <v>0.1732</v>
      </c>
      <c r="AA83" s="936">
        <v>0</v>
      </c>
      <c r="AB83" s="900" t="s">
        <v>550</v>
      </c>
      <c r="AC83" s="936">
        <v>0.0945</v>
      </c>
      <c r="AD83" s="936">
        <v>0</v>
      </c>
      <c r="AE83" s="909" t="s">
        <v>551</v>
      </c>
      <c r="AF83" s="909"/>
    </row>
    <row r="84" s="141" customFormat="1" customHeight="1" spans="1:32">
      <c r="A84" s="14" t="s">
        <v>552</v>
      </c>
      <c r="B84" s="14" t="s">
        <v>553</v>
      </c>
      <c r="C84" s="15" t="s">
        <v>76</v>
      </c>
      <c r="D84" s="928">
        <v>27.8</v>
      </c>
      <c r="E84" s="929">
        <v>727903</v>
      </c>
      <c r="F84" s="929">
        <v>477</v>
      </c>
      <c r="G84" s="929">
        <v>14</v>
      </c>
      <c r="H84" s="887">
        <v>0.0313</v>
      </c>
      <c r="I84" s="890">
        <v>21</v>
      </c>
      <c r="J84" s="890">
        <v>0</v>
      </c>
      <c r="K84" s="929">
        <v>1191</v>
      </c>
      <c r="L84" s="930">
        <v>0.4</v>
      </c>
      <c r="M84" s="879">
        <v>27</v>
      </c>
      <c r="N84" s="931">
        <v>0.6363</v>
      </c>
      <c r="O84" s="932">
        <v>0.5</v>
      </c>
      <c r="P84" s="933" t="s">
        <v>554</v>
      </c>
      <c r="Q84" s="933" t="s">
        <v>555</v>
      </c>
      <c r="R84" s="934" t="s">
        <v>68</v>
      </c>
      <c r="S84" s="929">
        <v>32831</v>
      </c>
      <c r="T84" s="886">
        <v>4.5</v>
      </c>
      <c r="U84" s="935" t="s">
        <v>69</v>
      </c>
      <c r="V84" s="900" t="s">
        <v>70</v>
      </c>
      <c r="W84" s="936">
        <v>0.4</v>
      </c>
      <c r="X84" s="936">
        <v>0.5</v>
      </c>
      <c r="Y84" s="900" t="s">
        <v>232</v>
      </c>
      <c r="Z84" s="936">
        <v>0.1636</v>
      </c>
      <c r="AA84" s="936">
        <v>0</v>
      </c>
      <c r="AB84" s="900" t="s">
        <v>71</v>
      </c>
      <c r="AC84" s="936">
        <v>0.0727</v>
      </c>
      <c r="AD84" s="936">
        <v>0</v>
      </c>
      <c r="AE84" s="909" t="s">
        <v>556</v>
      </c>
      <c r="AF84" s="909"/>
    </row>
    <row r="85" s="141" customFormat="1" customHeight="1" spans="1:32">
      <c r="A85" s="14" t="s">
        <v>557</v>
      </c>
      <c r="B85" s="14" t="s">
        <v>558</v>
      </c>
      <c r="C85" s="15" t="s">
        <v>65</v>
      </c>
      <c r="D85" s="928">
        <v>26.7</v>
      </c>
      <c r="E85" s="929">
        <v>798707</v>
      </c>
      <c r="F85" s="929">
        <v>428</v>
      </c>
      <c r="G85" s="929">
        <v>30</v>
      </c>
      <c r="H85" s="887">
        <v>0.071</v>
      </c>
      <c r="I85" s="890">
        <v>19</v>
      </c>
      <c r="J85" s="890">
        <v>0</v>
      </c>
      <c r="K85" s="929">
        <v>51</v>
      </c>
      <c r="L85" s="930">
        <v>8.39</v>
      </c>
      <c r="M85" s="879">
        <v>16</v>
      </c>
      <c r="N85" s="931">
        <v>0.9448</v>
      </c>
      <c r="O85" s="932">
        <v>0.9375</v>
      </c>
      <c r="P85" s="933" t="s">
        <v>210</v>
      </c>
      <c r="Q85" s="933" t="s">
        <v>559</v>
      </c>
      <c r="R85" s="934" t="s">
        <v>560</v>
      </c>
      <c r="S85" s="929">
        <v>12004</v>
      </c>
      <c r="T85" s="886">
        <v>4.5</v>
      </c>
      <c r="U85" s="935" t="s">
        <v>69</v>
      </c>
      <c r="V85" s="900" t="s">
        <v>561</v>
      </c>
      <c r="W85" s="936">
        <v>0.8571</v>
      </c>
      <c r="X85" s="936">
        <v>0.8125</v>
      </c>
      <c r="Y85" s="900" t="s">
        <v>562</v>
      </c>
      <c r="Z85" s="936">
        <v>0.0549</v>
      </c>
      <c r="AA85" s="936">
        <v>0</v>
      </c>
      <c r="AB85" s="900" t="s">
        <v>71</v>
      </c>
      <c r="AC85" s="936">
        <v>0.033</v>
      </c>
      <c r="AD85" s="936">
        <v>0.125</v>
      </c>
      <c r="AE85" s="909" t="s">
        <v>563</v>
      </c>
      <c r="AF85" s="909"/>
    </row>
    <row r="86" s="141" customFormat="1" customHeight="1" spans="1:32">
      <c r="A86" s="14" t="s">
        <v>564</v>
      </c>
      <c r="B86" s="14" t="s">
        <v>565</v>
      </c>
      <c r="C86" s="15" t="s">
        <v>65</v>
      </c>
      <c r="D86" s="928">
        <v>26.7</v>
      </c>
      <c r="E86" s="929">
        <v>801139</v>
      </c>
      <c r="F86" s="929">
        <v>428</v>
      </c>
      <c r="G86" s="929">
        <v>5</v>
      </c>
      <c r="H86" s="887">
        <v>0.0131</v>
      </c>
      <c r="I86" s="890">
        <v>19</v>
      </c>
      <c r="J86" s="890">
        <v>0</v>
      </c>
      <c r="K86" s="929">
        <v>82</v>
      </c>
      <c r="L86" s="930">
        <v>5.22</v>
      </c>
      <c r="M86" s="879">
        <v>5</v>
      </c>
      <c r="N86" s="931">
        <v>0.6625</v>
      </c>
      <c r="O86" s="932">
        <v>1</v>
      </c>
      <c r="P86" s="933"/>
      <c r="Q86" s="933" t="s">
        <v>230</v>
      </c>
      <c r="R86" s="934" t="s">
        <v>68</v>
      </c>
      <c r="S86" s="929">
        <v>31424</v>
      </c>
      <c r="T86" s="886">
        <v>4.5</v>
      </c>
      <c r="U86" s="935" t="s">
        <v>69</v>
      </c>
      <c r="V86" s="900" t="s">
        <v>70</v>
      </c>
      <c r="W86" s="936">
        <v>0.25</v>
      </c>
      <c r="X86" s="936">
        <v>0.5</v>
      </c>
      <c r="Y86" s="900" t="s">
        <v>566</v>
      </c>
      <c r="Z86" s="936">
        <v>0.225</v>
      </c>
      <c r="AA86" s="936">
        <v>0</v>
      </c>
      <c r="AB86" s="900" t="s">
        <v>366</v>
      </c>
      <c r="AC86" s="936">
        <v>0.1875</v>
      </c>
      <c r="AD86" s="936">
        <v>0.5</v>
      </c>
      <c r="AE86" s="909" t="s">
        <v>567</v>
      </c>
      <c r="AF86" s="909"/>
    </row>
    <row r="87" s="141" customFormat="1" customHeight="1" spans="1:32">
      <c r="A87" s="14" t="s">
        <v>568</v>
      </c>
      <c r="B87" s="14" t="s">
        <v>569</v>
      </c>
      <c r="C87" s="15" t="s">
        <v>65</v>
      </c>
      <c r="D87" s="928">
        <v>24.4</v>
      </c>
      <c r="E87" s="929">
        <v>828809</v>
      </c>
      <c r="F87" s="929">
        <v>413</v>
      </c>
      <c r="G87" s="929">
        <v>18</v>
      </c>
      <c r="H87" s="887">
        <v>0.0441</v>
      </c>
      <c r="I87" s="890">
        <v>18</v>
      </c>
      <c r="J87" s="890">
        <v>0</v>
      </c>
      <c r="K87" s="929">
        <v>542</v>
      </c>
      <c r="L87" s="930">
        <v>0.76</v>
      </c>
      <c r="M87" s="879">
        <v>5</v>
      </c>
      <c r="N87" s="931">
        <v>0.5407</v>
      </c>
      <c r="O87" s="932">
        <v>0</v>
      </c>
      <c r="P87" s="933" t="s">
        <v>570</v>
      </c>
      <c r="Q87" s="933" t="s">
        <v>571</v>
      </c>
      <c r="R87" s="934" t="s">
        <v>68</v>
      </c>
      <c r="S87" s="929">
        <v>31423</v>
      </c>
      <c r="T87" s="886">
        <v>4.8</v>
      </c>
      <c r="U87" s="935" t="s">
        <v>69</v>
      </c>
      <c r="V87" s="900" t="s">
        <v>70</v>
      </c>
      <c r="W87" s="936">
        <v>0.1803</v>
      </c>
      <c r="X87" s="936">
        <v>0</v>
      </c>
      <c r="Y87" s="900" t="s">
        <v>72</v>
      </c>
      <c r="Z87" s="936">
        <v>0.1803</v>
      </c>
      <c r="AA87" s="936">
        <v>0</v>
      </c>
      <c r="AB87" s="900" t="s">
        <v>206</v>
      </c>
      <c r="AC87" s="936">
        <v>0.1803</v>
      </c>
      <c r="AD87" s="936">
        <v>0</v>
      </c>
      <c r="AE87" s="909" t="s">
        <v>572</v>
      </c>
      <c r="AF87" s="909"/>
    </row>
    <row r="88" s="141" customFormat="1" customHeight="1" spans="1:32">
      <c r="A88" s="14" t="s">
        <v>573</v>
      </c>
      <c r="B88" s="14" t="s">
        <v>574</v>
      </c>
      <c r="C88" s="15" t="s">
        <v>76</v>
      </c>
      <c r="D88" s="928">
        <v>30</v>
      </c>
      <c r="E88" s="929">
        <v>859195</v>
      </c>
      <c r="F88" s="929">
        <v>395</v>
      </c>
      <c r="G88" s="929">
        <v>4</v>
      </c>
      <c r="H88" s="887">
        <v>0.0115</v>
      </c>
      <c r="I88" s="890">
        <v>13</v>
      </c>
      <c r="J88" s="890">
        <v>0</v>
      </c>
      <c r="K88" s="929">
        <v>179</v>
      </c>
      <c r="L88" s="930">
        <v>2.21</v>
      </c>
      <c r="M88" s="879">
        <v>4</v>
      </c>
      <c r="N88" s="931">
        <v>0.4546</v>
      </c>
      <c r="O88" s="932">
        <v>1</v>
      </c>
      <c r="P88" s="933" t="s">
        <v>575</v>
      </c>
      <c r="Q88" s="933" t="s">
        <v>576</v>
      </c>
      <c r="R88" s="934" t="s">
        <v>68</v>
      </c>
      <c r="S88" s="929">
        <v>31423</v>
      </c>
      <c r="T88" s="886">
        <v>4.5</v>
      </c>
      <c r="U88" s="935" t="s">
        <v>69</v>
      </c>
      <c r="V88" s="900" t="s">
        <v>70</v>
      </c>
      <c r="W88" s="936">
        <v>0.2841</v>
      </c>
      <c r="X88" s="936">
        <v>0</v>
      </c>
      <c r="Y88" s="900" t="s">
        <v>72</v>
      </c>
      <c r="Z88" s="936">
        <v>0.1023</v>
      </c>
      <c r="AA88" s="936">
        <v>1</v>
      </c>
      <c r="AB88" s="900" t="s">
        <v>71</v>
      </c>
      <c r="AC88" s="936">
        <v>0.0682</v>
      </c>
      <c r="AD88" s="936">
        <v>0</v>
      </c>
      <c r="AE88" s="909" t="s">
        <v>577</v>
      </c>
      <c r="AF88" s="909"/>
    </row>
    <row r="89" s="141" customFormat="1" customHeight="1" spans="1:32">
      <c r="A89" s="14" t="s">
        <v>578</v>
      </c>
      <c r="B89" s="14" t="s">
        <v>579</v>
      </c>
      <c r="C89" s="15" t="s">
        <v>76</v>
      </c>
      <c r="D89" s="928">
        <v>25.6</v>
      </c>
      <c r="E89" s="929">
        <v>906752</v>
      </c>
      <c r="F89" s="929">
        <v>374</v>
      </c>
      <c r="G89" s="929">
        <v>10</v>
      </c>
      <c r="H89" s="887">
        <v>0.0275</v>
      </c>
      <c r="I89" s="890">
        <v>13</v>
      </c>
      <c r="J89" s="890">
        <v>0</v>
      </c>
      <c r="K89" s="929">
        <v>1456</v>
      </c>
      <c r="L89" s="930">
        <v>0.26</v>
      </c>
      <c r="M89" s="879">
        <v>24</v>
      </c>
      <c r="N89" s="931">
        <v>0.647</v>
      </c>
      <c r="O89" s="932">
        <v>0</v>
      </c>
      <c r="P89" s="933" t="s">
        <v>580</v>
      </c>
      <c r="Q89" s="933" t="s">
        <v>581</v>
      </c>
      <c r="R89" s="934" t="s">
        <v>102</v>
      </c>
      <c r="S89" s="929">
        <v>3032</v>
      </c>
      <c r="T89" s="886">
        <v>4.4</v>
      </c>
      <c r="U89" s="935" t="s">
        <v>94</v>
      </c>
      <c r="V89" s="900" t="s">
        <v>425</v>
      </c>
      <c r="W89" s="936">
        <v>0.3922</v>
      </c>
      <c r="X89" s="936">
        <v>0</v>
      </c>
      <c r="Y89" s="900" t="s">
        <v>582</v>
      </c>
      <c r="Z89" s="936">
        <v>0.1765</v>
      </c>
      <c r="AA89" s="936">
        <v>0</v>
      </c>
      <c r="AB89" s="900" t="s">
        <v>583</v>
      </c>
      <c r="AC89" s="936">
        <v>0.0784</v>
      </c>
      <c r="AD89" s="936">
        <v>0</v>
      </c>
      <c r="AE89" s="909" t="s">
        <v>584</v>
      </c>
      <c r="AF89" s="909"/>
    </row>
    <row r="90" s="141" customFormat="1" customHeight="1" spans="1:32">
      <c r="A90" s="14" t="s">
        <v>585</v>
      </c>
      <c r="B90" s="14" t="s">
        <v>586</v>
      </c>
      <c r="C90" s="15" t="s">
        <v>65</v>
      </c>
      <c r="D90" s="928">
        <v>26.7</v>
      </c>
      <c r="E90" s="929">
        <v>941802</v>
      </c>
      <c r="F90" s="929">
        <v>358</v>
      </c>
      <c r="G90" s="929">
        <v>20</v>
      </c>
      <c r="H90" s="887">
        <v>0.057</v>
      </c>
      <c r="I90" s="890">
        <v>13</v>
      </c>
      <c r="J90" s="890">
        <v>0</v>
      </c>
      <c r="K90" s="929">
        <v>1179</v>
      </c>
      <c r="L90" s="930">
        <v>0.3</v>
      </c>
      <c r="M90" s="879">
        <v>5</v>
      </c>
      <c r="N90" s="931">
        <v>0.5192</v>
      </c>
      <c r="O90" s="932">
        <v>0</v>
      </c>
      <c r="P90" s="933" t="s">
        <v>575</v>
      </c>
      <c r="Q90" s="933" t="s">
        <v>587</v>
      </c>
      <c r="R90" s="934" t="s">
        <v>199</v>
      </c>
      <c r="S90" s="929">
        <v>18278</v>
      </c>
      <c r="T90" s="886">
        <v>4.5</v>
      </c>
      <c r="U90" s="935" t="s">
        <v>69</v>
      </c>
      <c r="V90" s="900" t="s">
        <v>232</v>
      </c>
      <c r="W90" s="936">
        <v>0.2308</v>
      </c>
      <c r="X90" s="936">
        <v>0</v>
      </c>
      <c r="Y90" s="900" t="s">
        <v>71</v>
      </c>
      <c r="Z90" s="936">
        <v>0.1923</v>
      </c>
      <c r="AA90" s="936">
        <v>0</v>
      </c>
      <c r="AB90" s="900" t="s">
        <v>164</v>
      </c>
      <c r="AC90" s="936">
        <v>0.0962</v>
      </c>
      <c r="AD90" s="936">
        <v>0</v>
      </c>
      <c r="AE90" s="909" t="s">
        <v>588</v>
      </c>
      <c r="AF90" s="909"/>
    </row>
    <row r="91" s="141" customFormat="1" customHeight="1" spans="1:32">
      <c r="A91" s="14" t="s">
        <v>589</v>
      </c>
      <c r="B91" s="14" t="s">
        <v>64</v>
      </c>
      <c r="C91" s="15" t="s">
        <v>65</v>
      </c>
      <c r="D91" s="928">
        <v>32.2</v>
      </c>
      <c r="E91" s="929">
        <v>1006537</v>
      </c>
      <c r="F91" s="929">
        <v>329</v>
      </c>
      <c r="G91" s="929">
        <v>28</v>
      </c>
      <c r="H91" s="887">
        <v>0.086</v>
      </c>
      <c r="I91" s="890">
        <v>12</v>
      </c>
      <c r="J91" s="890">
        <v>0</v>
      </c>
      <c r="K91" s="929">
        <v>886</v>
      </c>
      <c r="L91" s="930">
        <v>0.37</v>
      </c>
      <c r="M91" s="879">
        <v>11</v>
      </c>
      <c r="N91" s="931">
        <v>0.6065</v>
      </c>
      <c r="O91" s="932">
        <v>0.5</v>
      </c>
      <c r="P91" s="933" t="s">
        <v>590</v>
      </c>
      <c r="Q91" s="933" t="s">
        <v>591</v>
      </c>
      <c r="R91" s="934" t="s">
        <v>592</v>
      </c>
      <c r="S91" s="929">
        <v>32831</v>
      </c>
      <c r="T91" s="886">
        <v>4.5</v>
      </c>
      <c r="U91" s="935" t="s">
        <v>69</v>
      </c>
      <c r="V91" s="900" t="s">
        <v>70</v>
      </c>
      <c r="W91" s="936">
        <v>0.3115</v>
      </c>
      <c r="X91" s="936">
        <v>0.5</v>
      </c>
      <c r="Y91" s="900" t="s">
        <v>178</v>
      </c>
      <c r="Z91" s="936">
        <v>0.1803</v>
      </c>
      <c r="AA91" s="936">
        <v>0</v>
      </c>
      <c r="AB91" s="900" t="s">
        <v>232</v>
      </c>
      <c r="AC91" s="936">
        <v>0.1148</v>
      </c>
      <c r="AD91" s="936">
        <v>0</v>
      </c>
      <c r="AE91" s="909" t="s">
        <v>593</v>
      </c>
      <c r="AF91" s="909"/>
    </row>
    <row r="92" s="141" customFormat="1" customHeight="1" spans="1:32">
      <c r="A92" s="14" t="s">
        <v>594</v>
      </c>
      <c r="B92" s="14" t="s">
        <v>595</v>
      </c>
      <c r="C92" s="15" t="s">
        <v>65</v>
      </c>
      <c r="D92" s="928">
        <v>37.8</v>
      </c>
      <c r="E92" s="929">
        <v>1054925</v>
      </c>
      <c r="F92" s="929">
        <v>308</v>
      </c>
      <c r="G92" s="929">
        <v>16</v>
      </c>
      <c r="H92" s="887">
        <v>0.0522</v>
      </c>
      <c r="I92" s="890">
        <v>11</v>
      </c>
      <c r="J92" s="890">
        <v>0</v>
      </c>
      <c r="K92" s="929">
        <v>89</v>
      </c>
      <c r="L92" s="930">
        <v>3.46</v>
      </c>
      <c r="M92" s="879">
        <v>26</v>
      </c>
      <c r="N92" s="931">
        <v>0.8299</v>
      </c>
      <c r="O92" s="932">
        <v>1</v>
      </c>
      <c r="P92" s="933" t="s">
        <v>596</v>
      </c>
      <c r="Q92" s="933" t="s">
        <v>597</v>
      </c>
      <c r="R92" s="934" t="s">
        <v>560</v>
      </c>
      <c r="S92" s="929">
        <v>2352</v>
      </c>
      <c r="T92" s="886">
        <v>4.5</v>
      </c>
      <c r="U92" s="935" t="s">
        <v>69</v>
      </c>
      <c r="V92" s="900" t="s">
        <v>598</v>
      </c>
      <c r="W92" s="936">
        <v>0.4894</v>
      </c>
      <c r="X92" s="936">
        <v>0.6667</v>
      </c>
      <c r="Y92" s="900" t="s">
        <v>599</v>
      </c>
      <c r="Z92" s="936">
        <v>0.2979</v>
      </c>
      <c r="AA92" s="936">
        <v>0.3333</v>
      </c>
      <c r="AB92" s="900" t="s">
        <v>193</v>
      </c>
      <c r="AC92" s="936">
        <v>0.0426</v>
      </c>
      <c r="AD92" s="936">
        <v>0</v>
      </c>
      <c r="AE92" s="909" t="s">
        <v>600</v>
      </c>
      <c r="AF92" s="909"/>
    </row>
    <row r="93" s="141" customFormat="1" customHeight="1" spans="1:32">
      <c r="A93" s="14" t="s">
        <v>601</v>
      </c>
      <c r="B93" s="14" t="s">
        <v>152</v>
      </c>
      <c r="C93" s="15" t="s">
        <v>76</v>
      </c>
      <c r="D93" s="928">
        <v>35.6</v>
      </c>
      <c r="E93" s="929">
        <v>1107947</v>
      </c>
      <c r="F93" s="929">
        <v>291</v>
      </c>
      <c r="G93" s="929">
        <v>18</v>
      </c>
      <c r="H93" s="887">
        <v>0.063</v>
      </c>
      <c r="I93" s="890">
        <v>11</v>
      </c>
      <c r="J93" s="890">
        <v>0</v>
      </c>
      <c r="K93" s="929">
        <v>887</v>
      </c>
      <c r="L93" s="930">
        <v>0.33</v>
      </c>
      <c r="M93" s="879">
        <v>10</v>
      </c>
      <c r="N93" s="931">
        <v>0.6808</v>
      </c>
      <c r="O93" s="932">
        <v>1</v>
      </c>
      <c r="P93" s="933" t="s">
        <v>120</v>
      </c>
      <c r="Q93" s="933" t="s">
        <v>602</v>
      </c>
      <c r="R93" s="934" t="s">
        <v>603</v>
      </c>
      <c r="S93" s="929">
        <v>18300</v>
      </c>
      <c r="T93" s="886">
        <v>4.5</v>
      </c>
      <c r="U93" s="935" t="s">
        <v>69</v>
      </c>
      <c r="V93" s="900" t="s">
        <v>155</v>
      </c>
      <c r="W93" s="936">
        <v>0.383</v>
      </c>
      <c r="X93" s="936">
        <v>0</v>
      </c>
      <c r="Y93" s="900" t="s">
        <v>71</v>
      </c>
      <c r="Z93" s="936">
        <v>0.1489</v>
      </c>
      <c r="AA93" s="936">
        <v>0.5</v>
      </c>
      <c r="AB93" s="900" t="s">
        <v>446</v>
      </c>
      <c r="AC93" s="936">
        <v>0.1489</v>
      </c>
      <c r="AD93" s="936">
        <v>0.5</v>
      </c>
      <c r="AE93" s="909" t="s">
        <v>604</v>
      </c>
      <c r="AF93" s="909"/>
    </row>
    <row r="94" s="141" customFormat="1" customHeight="1" spans="1:32">
      <c r="A94" s="14" t="s">
        <v>605</v>
      </c>
      <c r="B94" s="14" t="s">
        <v>605</v>
      </c>
      <c r="C94" s="15" t="s">
        <v>65</v>
      </c>
      <c r="D94" s="928">
        <v>36.7</v>
      </c>
      <c r="E94" s="929">
        <v>1122279</v>
      </c>
      <c r="F94" s="929">
        <v>287</v>
      </c>
      <c r="G94" s="929">
        <v>2</v>
      </c>
      <c r="H94" s="887">
        <v>0.0087</v>
      </c>
      <c r="I94" s="890">
        <v>10</v>
      </c>
      <c r="J94" s="890">
        <v>0</v>
      </c>
      <c r="K94" s="929">
        <v>80</v>
      </c>
      <c r="L94" s="930">
        <v>3.59</v>
      </c>
      <c r="M94" s="879">
        <v>8</v>
      </c>
      <c r="N94" s="931">
        <v>0.8586</v>
      </c>
      <c r="O94" s="932">
        <v>0</v>
      </c>
      <c r="P94" s="933" t="s">
        <v>428</v>
      </c>
      <c r="Q94" s="933" t="s">
        <v>606</v>
      </c>
      <c r="R94" s="934" t="s">
        <v>79</v>
      </c>
      <c r="S94" s="929">
        <v>31357</v>
      </c>
      <c r="T94" s="886">
        <v>4.5</v>
      </c>
      <c r="U94" s="935" t="s">
        <v>94</v>
      </c>
      <c r="V94" s="900" t="s">
        <v>72</v>
      </c>
      <c r="W94" s="936">
        <v>0.4457</v>
      </c>
      <c r="X94" s="936">
        <v>0</v>
      </c>
      <c r="Y94" s="900" t="s">
        <v>95</v>
      </c>
      <c r="Z94" s="936">
        <v>0.25</v>
      </c>
      <c r="AA94" s="936">
        <v>0</v>
      </c>
      <c r="AB94" s="900" t="s">
        <v>257</v>
      </c>
      <c r="AC94" s="936">
        <v>0.163</v>
      </c>
      <c r="AD94" s="936">
        <v>0</v>
      </c>
      <c r="AE94" s="909" t="s">
        <v>607</v>
      </c>
      <c r="AF94" s="909"/>
    </row>
    <row r="95" s="141" customFormat="1" customHeight="1" spans="1:32">
      <c r="A95" s="14" t="s">
        <v>608</v>
      </c>
      <c r="B95" s="14" t="s">
        <v>64</v>
      </c>
      <c r="C95" s="15" t="s">
        <v>76</v>
      </c>
      <c r="D95" s="928">
        <v>27.8</v>
      </c>
      <c r="E95" s="929">
        <v>1127670</v>
      </c>
      <c r="F95" s="929">
        <v>284</v>
      </c>
      <c r="G95" s="929">
        <v>29</v>
      </c>
      <c r="H95" s="887">
        <v>0.1036</v>
      </c>
      <c r="I95" s="890">
        <v>10</v>
      </c>
      <c r="J95" s="890">
        <v>21</v>
      </c>
      <c r="K95" s="929">
        <v>154</v>
      </c>
      <c r="L95" s="930">
        <v>1.84</v>
      </c>
      <c r="M95" s="879">
        <v>5</v>
      </c>
      <c r="N95" s="931">
        <v>0.7332</v>
      </c>
      <c r="O95" s="932">
        <v>0.6</v>
      </c>
      <c r="P95" s="933" t="s">
        <v>609</v>
      </c>
      <c r="Q95" s="933" t="s">
        <v>610</v>
      </c>
      <c r="R95" s="934" t="s">
        <v>611</v>
      </c>
      <c r="S95" s="929">
        <v>31423</v>
      </c>
      <c r="T95" s="886">
        <v>4.5</v>
      </c>
      <c r="U95" s="935" t="s">
        <v>69</v>
      </c>
      <c r="V95" s="900" t="s">
        <v>70</v>
      </c>
      <c r="W95" s="936">
        <v>0.4222</v>
      </c>
      <c r="X95" s="936">
        <v>0.6</v>
      </c>
      <c r="Y95" s="900" t="s">
        <v>72</v>
      </c>
      <c r="Z95" s="936">
        <v>0.1778</v>
      </c>
      <c r="AA95" s="936">
        <v>0</v>
      </c>
      <c r="AB95" s="900" t="s">
        <v>550</v>
      </c>
      <c r="AC95" s="936">
        <v>0.1333</v>
      </c>
      <c r="AD95" s="936">
        <v>0</v>
      </c>
      <c r="AE95" s="909" t="s">
        <v>612</v>
      </c>
      <c r="AF95" s="909"/>
    </row>
    <row r="96" s="141" customFormat="1" customHeight="1" spans="1:32">
      <c r="A96" s="14" t="s">
        <v>613</v>
      </c>
      <c r="B96" s="14" t="s">
        <v>614</v>
      </c>
      <c r="C96" s="15" t="s">
        <v>76</v>
      </c>
      <c r="D96" s="928">
        <v>35.6</v>
      </c>
      <c r="E96" s="929">
        <v>1172951</v>
      </c>
      <c r="F96" s="929">
        <v>260</v>
      </c>
      <c r="G96" s="929">
        <v>10</v>
      </c>
      <c r="H96" s="887">
        <v>0.0408</v>
      </c>
      <c r="I96" s="890">
        <v>10</v>
      </c>
      <c r="J96" s="890">
        <v>1</v>
      </c>
      <c r="K96" s="929">
        <v>1018</v>
      </c>
      <c r="L96" s="930">
        <v>0.26</v>
      </c>
      <c r="M96" s="879">
        <v>95</v>
      </c>
      <c r="N96" s="931">
        <v>0.5659</v>
      </c>
      <c r="O96" s="932">
        <v>0.3333</v>
      </c>
      <c r="P96" s="933" t="s">
        <v>432</v>
      </c>
      <c r="Q96" s="933" t="s">
        <v>615</v>
      </c>
      <c r="R96" s="934" t="s">
        <v>616</v>
      </c>
      <c r="S96" s="929">
        <v>32831</v>
      </c>
      <c r="T96" s="886">
        <v>4.5</v>
      </c>
      <c r="U96" s="935" t="s">
        <v>69</v>
      </c>
      <c r="V96" s="900" t="s">
        <v>193</v>
      </c>
      <c r="W96" s="936">
        <v>0.2075</v>
      </c>
      <c r="X96" s="936">
        <v>0.3333</v>
      </c>
      <c r="Y96" s="900" t="s">
        <v>70</v>
      </c>
      <c r="Z96" s="936">
        <v>0.2075</v>
      </c>
      <c r="AA96" s="936">
        <v>0</v>
      </c>
      <c r="AB96" s="900" t="s">
        <v>232</v>
      </c>
      <c r="AC96" s="936">
        <v>0.1509</v>
      </c>
      <c r="AD96" s="936">
        <v>0</v>
      </c>
      <c r="AE96" s="909" t="s">
        <v>617</v>
      </c>
      <c r="AF96" s="909"/>
    </row>
    <row r="97" s="141" customFormat="1" customHeight="1" spans="1:32">
      <c r="A97" s="14" t="s">
        <v>618</v>
      </c>
      <c r="B97" s="14" t="s">
        <v>619</v>
      </c>
      <c r="C97" s="15" t="s">
        <v>76</v>
      </c>
      <c r="D97" s="928">
        <v>24.4</v>
      </c>
      <c r="E97" s="929">
        <v>1168454</v>
      </c>
      <c r="F97" s="929">
        <v>260</v>
      </c>
      <c r="G97" s="929">
        <v>11</v>
      </c>
      <c r="H97" s="887">
        <v>0.0456</v>
      </c>
      <c r="I97" s="890">
        <v>10</v>
      </c>
      <c r="J97" s="890">
        <v>5</v>
      </c>
      <c r="K97" s="929">
        <v>726</v>
      </c>
      <c r="L97" s="930">
        <v>0.36</v>
      </c>
      <c r="M97" s="879">
        <v>46</v>
      </c>
      <c r="N97" s="931">
        <v>0.6973</v>
      </c>
      <c r="O97" s="932">
        <v>1</v>
      </c>
      <c r="P97" s="933" t="s">
        <v>554</v>
      </c>
      <c r="Q97" s="933" t="s">
        <v>620</v>
      </c>
      <c r="R97" s="934" t="s">
        <v>592</v>
      </c>
      <c r="S97" s="929">
        <v>17723</v>
      </c>
      <c r="T97" s="886">
        <v>4.8</v>
      </c>
      <c r="U97" s="935" t="s">
        <v>69</v>
      </c>
      <c r="V97" s="900" t="s">
        <v>70</v>
      </c>
      <c r="W97" s="936">
        <v>0.4342</v>
      </c>
      <c r="X97" s="936">
        <v>0.6667</v>
      </c>
      <c r="Y97" s="900" t="s">
        <v>352</v>
      </c>
      <c r="Z97" s="936">
        <v>0.1579</v>
      </c>
      <c r="AA97" s="936">
        <v>0.3333</v>
      </c>
      <c r="AB97" s="900" t="s">
        <v>304</v>
      </c>
      <c r="AC97" s="936">
        <v>0.1053</v>
      </c>
      <c r="AD97" s="936">
        <v>0</v>
      </c>
      <c r="AE97" s="909" t="s">
        <v>621</v>
      </c>
      <c r="AF97" s="909"/>
    </row>
    <row r="98" s="141" customFormat="1" customHeight="1" spans="1:32">
      <c r="A98" s="14" t="s">
        <v>622</v>
      </c>
      <c r="B98" s="14" t="s">
        <v>623</v>
      </c>
      <c r="C98" s="15" t="s">
        <v>65</v>
      </c>
      <c r="D98" s="928">
        <v>28.9</v>
      </c>
      <c r="E98" s="929">
        <v>1229266</v>
      </c>
      <c r="F98" s="929">
        <v>247</v>
      </c>
      <c r="G98" s="929">
        <v>7</v>
      </c>
      <c r="H98" s="887">
        <v>0.0285</v>
      </c>
      <c r="I98" s="890">
        <v>10</v>
      </c>
      <c r="J98" s="890">
        <v>0</v>
      </c>
      <c r="K98" s="929">
        <v>881</v>
      </c>
      <c r="L98" s="930">
        <v>0.28</v>
      </c>
      <c r="M98" s="879">
        <v>23</v>
      </c>
      <c r="N98" s="931">
        <v>0.836</v>
      </c>
      <c r="O98" s="932">
        <v>1.0001</v>
      </c>
      <c r="P98" s="933" t="s">
        <v>432</v>
      </c>
      <c r="Q98" s="933" t="s">
        <v>624</v>
      </c>
      <c r="R98" s="934" t="s">
        <v>592</v>
      </c>
      <c r="S98" s="929">
        <v>18278</v>
      </c>
      <c r="T98" s="886">
        <v>4.5</v>
      </c>
      <c r="U98" s="935" t="s">
        <v>69</v>
      </c>
      <c r="V98" s="900" t="s">
        <v>70</v>
      </c>
      <c r="W98" s="936">
        <v>0.4262</v>
      </c>
      <c r="X98" s="936">
        <v>0.6667</v>
      </c>
      <c r="Y98" s="900" t="s">
        <v>71</v>
      </c>
      <c r="Z98" s="936">
        <v>0.3115</v>
      </c>
      <c r="AA98" s="936">
        <v>0.1667</v>
      </c>
      <c r="AB98" s="900" t="s">
        <v>178</v>
      </c>
      <c r="AC98" s="936">
        <v>0.0984</v>
      </c>
      <c r="AD98" s="936">
        <v>0.1667</v>
      </c>
      <c r="AE98" s="909" t="s">
        <v>625</v>
      </c>
      <c r="AF98" s="909"/>
    </row>
    <row r="99" s="141" customFormat="1" customHeight="1" spans="1:32">
      <c r="A99" s="14" t="s">
        <v>626</v>
      </c>
      <c r="B99" s="14" t="s">
        <v>203</v>
      </c>
      <c r="C99" s="15" t="s">
        <v>76</v>
      </c>
      <c r="D99" s="928">
        <v>36.7</v>
      </c>
      <c r="E99" s="929">
        <v>1240256</v>
      </c>
      <c r="F99" s="929">
        <v>243</v>
      </c>
      <c r="G99" s="929">
        <v>8</v>
      </c>
      <c r="H99" s="887">
        <v>0.0366</v>
      </c>
      <c r="I99" s="890">
        <v>10</v>
      </c>
      <c r="J99" s="890">
        <v>0</v>
      </c>
      <c r="K99" s="929">
        <v>1147</v>
      </c>
      <c r="L99" s="930">
        <v>0.21</v>
      </c>
      <c r="M99" s="879">
        <v>5</v>
      </c>
      <c r="N99" s="931">
        <v>0.7419</v>
      </c>
      <c r="O99" s="932">
        <v>1</v>
      </c>
      <c r="P99" s="933" t="s">
        <v>627</v>
      </c>
      <c r="Q99" s="933" t="s">
        <v>628</v>
      </c>
      <c r="R99" s="934" t="s">
        <v>611</v>
      </c>
      <c r="S99" s="929">
        <v>31423</v>
      </c>
      <c r="T99" s="886">
        <v>4.5</v>
      </c>
      <c r="U99" s="935" t="s">
        <v>94</v>
      </c>
      <c r="V99" s="900" t="s">
        <v>70</v>
      </c>
      <c r="W99" s="936">
        <v>0.5161</v>
      </c>
      <c r="X99" s="936">
        <v>0.5</v>
      </c>
      <c r="Y99" s="900" t="s">
        <v>72</v>
      </c>
      <c r="Z99" s="936">
        <v>0.129</v>
      </c>
      <c r="AA99" s="936">
        <v>0.5</v>
      </c>
      <c r="AB99" s="900" t="s">
        <v>334</v>
      </c>
      <c r="AC99" s="936">
        <v>0.0968</v>
      </c>
      <c r="AD99" s="936">
        <v>0</v>
      </c>
      <c r="AE99" s="909" t="s">
        <v>629</v>
      </c>
      <c r="AF99" s="909"/>
    </row>
    <row r="100" s="141" customFormat="1" customHeight="1" spans="1:32">
      <c r="A100" s="14" t="s">
        <v>630</v>
      </c>
      <c r="B100" s="14" t="s">
        <v>631</v>
      </c>
      <c r="C100" s="15" t="s">
        <v>76</v>
      </c>
      <c r="D100" s="928">
        <v>26.7</v>
      </c>
      <c r="E100" s="929">
        <v>1254429</v>
      </c>
      <c r="F100" s="929">
        <v>241</v>
      </c>
      <c r="G100" s="929">
        <v>13</v>
      </c>
      <c r="H100" s="887">
        <v>0.0555</v>
      </c>
      <c r="I100" s="890">
        <v>10</v>
      </c>
      <c r="J100" s="890">
        <v>0</v>
      </c>
      <c r="K100" s="929">
        <v>771</v>
      </c>
      <c r="L100" s="930">
        <v>0.31</v>
      </c>
      <c r="M100" s="879">
        <v>10</v>
      </c>
      <c r="N100" s="931">
        <v>0.8148</v>
      </c>
      <c r="O100" s="932">
        <v>0.6666</v>
      </c>
      <c r="P100" s="933" t="s">
        <v>309</v>
      </c>
      <c r="Q100" s="933" t="s">
        <v>632</v>
      </c>
      <c r="R100" s="934" t="s">
        <v>79</v>
      </c>
      <c r="S100" s="929">
        <v>6111</v>
      </c>
      <c r="T100" s="886">
        <v>4.5</v>
      </c>
      <c r="U100" s="935" t="s">
        <v>69</v>
      </c>
      <c r="V100" s="900" t="s">
        <v>178</v>
      </c>
      <c r="W100" s="936">
        <v>0.4815</v>
      </c>
      <c r="X100" s="936">
        <v>0.3333</v>
      </c>
      <c r="Y100" s="900" t="s">
        <v>193</v>
      </c>
      <c r="Z100" s="936">
        <v>0.2593</v>
      </c>
      <c r="AA100" s="936">
        <v>0</v>
      </c>
      <c r="AB100" s="900" t="s">
        <v>80</v>
      </c>
      <c r="AC100" s="936">
        <v>0.0741</v>
      </c>
      <c r="AD100" s="936">
        <v>0.3333</v>
      </c>
      <c r="AE100" s="909" t="s">
        <v>633</v>
      </c>
      <c r="AF100" s="909"/>
    </row>
    <row r="101" s="141" customFormat="1" customHeight="1" spans="1:32">
      <c r="A101" s="14" t="s">
        <v>634</v>
      </c>
      <c r="B101" s="14" t="s">
        <v>64</v>
      </c>
      <c r="C101" s="15" t="s">
        <v>65</v>
      </c>
      <c r="D101" s="928">
        <v>32.2</v>
      </c>
      <c r="E101" s="929">
        <v>1259907</v>
      </c>
      <c r="F101" s="929">
        <v>239</v>
      </c>
      <c r="G101" s="929">
        <v>9</v>
      </c>
      <c r="H101" s="887">
        <v>0.0397</v>
      </c>
      <c r="I101" s="890">
        <v>10</v>
      </c>
      <c r="J101" s="890">
        <v>0</v>
      </c>
      <c r="K101" s="929">
        <v>915</v>
      </c>
      <c r="L101" s="930">
        <v>0.26</v>
      </c>
      <c r="M101" s="879">
        <v>9</v>
      </c>
      <c r="N101" s="931">
        <v>0.7253</v>
      </c>
      <c r="O101" s="932">
        <v>0.4</v>
      </c>
      <c r="P101" s="933" t="s">
        <v>77</v>
      </c>
      <c r="Q101" s="933" t="s">
        <v>635</v>
      </c>
      <c r="R101" s="934" t="s">
        <v>592</v>
      </c>
      <c r="S101" s="929">
        <v>31423</v>
      </c>
      <c r="T101" s="886">
        <v>4.5</v>
      </c>
      <c r="U101" s="935" t="s">
        <v>94</v>
      </c>
      <c r="V101" s="900" t="s">
        <v>71</v>
      </c>
      <c r="W101" s="936">
        <v>0.3333</v>
      </c>
      <c r="X101" s="936">
        <v>0.2</v>
      </c>
      <c r="Y101" s="900" t="s">
        <v>72</v>
      </c>
      <c r="Z101" s="936">
        <v>0.2157</v>
      </c>
      <c r="AA101" s="936">
        <v>0.2</v>
      </c>
      <c r="AB101" s="900" t="s">
        <v>70</v>
      </c>
      <c r="AC101" s="936">
        <v>0.1765</v>
      </c>
      <c r="AD101" s="936">
        <v>0</v>
      </c>
      <c r="AE101" s="909" t="s">
        <v>636</v>
      </c>
      <c r="AF101" s="909"/>
    </row>
    <row r="102" s="141" customFormat="1" customHeight="1" spans="1:32">
      <c r="A102" s="14" t="s">
        <v>637</v>
      </c>
      <c r="B102" s="14" t="s">
        <v>638</v>
      </c>
      <c r="C102" s="15" t="s">
        <v>76</v>
      </c>
      <c r="D102" s="928">
        <v>28.9</v>
      </c>
      <c r="E102" s="929">
        <v>1308103</v>
      </c>
      <c r="F102" s="929">
        <v>231</v>
      </c>
      <c r="G102" s="929">
        <v>2</v>
      </c>
      <c r="H102" s="887">
        <v>0.0103</v>
      </c>
      <c r="I102" s="890">
        <v>10</v>
      </c>
      <c r="J102" s="890">
        <v>0</v>
      </c>
      <c r="K102" s="929">
        <v>773</v>
      </c>
      <c r="L102" s="930">
        <v>0.3</v>
      </c>
      <c r="M102" s="879">
        <v>24</v>
      </c>
      <c r="N102" s="931">
        <v>0.6</v>
      </c>
      <c r="O102" s="932">
        <v>0</v>
      </c>
      <c r="P102" s="933" t="s">
        <v>554</v>
      </c>
      <c r="Q102" s="933" t="s">
        <v>639</v>
      </c>
      <c r="R102" s="934" t="s">
        <v>350</v>
      </c>
      <c r="S102" s="929">
        <v>10619</v>
      </c>
      <c r="T102" s="886">
        <v>4.5</v>
      </c>
      <c r="U102" s="935" t="s">
        <v>69</v>
      </c>
      <c r="V102" s="900" t="s">
        <v>640</v>
      </c>
      <c r="W102" s="936">
        <v>0.2</v>
      </c>
      <c r="X102" s="936">
        <v>0</v>
      </c>
      <c r="Y102" s="900" t="s">
        <v>351</v>
      </c>
      <c r="Z102" s="936">
        <v>0.2</v>
      </c>
      <c r="AA102" s="936">
        <v>0</v>
      </c>
      <c r="AB102" s="900" t="s">
        <v>550</v>
      </c>
      <c r="AC102" s="936">
        <v>0.2</v>
      </c>
      <c r="AD102" s="936">
        <v>0</v>
      </c>
      <c r="AE102" s="909" t="s">
        <v>641</v>
      </c>
      <c r="AF102" s="909"/>
    </row>
    <row r="103" s="141" customFormat="1" customHeight="1" spans="1:32">
      <c r="A103" s="14" t="s">
        <v>642</v>
      </c>
      <c r="B103" s="14" t="s">
        <v>643</v>
      </c>
      <c r="C103" s="15" t="s">
        <v>76</v>
      </c>
      <c r="D103" s="928">
        <v>40</v>
      </c>
      <c r="E103" s="929">
        <v>1338440</v>
      </c>
      <c r="F103" s="929">
        <v>229</v>
      </c>
      <c r="G103" s="929">
        <v>10</v>
      </c>
      <c r="H103" s="887">
        <v>0.0445</v>
      </c>
      <c r="I103" s="890">
        <v>10</v>
      </c>
      <c r="J103" s="890">
        <v>0</v>
      </c>
      <c r="K103" s="929">
        <v>536</v>
      </c>
      <c r="L103" s="930">
        <v>0.43</v>
      </c>
      <c r="M103" s="879">
        <v>5</v>
      </c>
      <c r="N103" s="931">
        <v>0.7857</v>
      </c>
      <c r="O103" s="932">
        <v>1</v>
      </c>
      <c r="P103" s="933" t="s">
        <v>389</v>
      </c>
      <c r="Q103" s="933" t="s">
        <v>644</v>
      </c>
      <c r="R103" s="934" t="s">
        <v>592</v>
      </c>
      <c r="S103" s="929">
        <v>31423</v>
      </c>
      <c r="T103" s="886">
        <v>4.5</v>
      </c>
      <c r="U103" s="935" t="s">
        <v>69</v>
      </c>
      <c r="V103" s="900" t="s">
        <v>70</v>
      </c>
      <c r="W103" s="936">
        <v>0.5893</v>
      </c>
      <c r="X103" s="936">
        <v>0.3333</v>
      </c>
      <c r="Y103" s="900" t="s">
        <v>193</v>
      </c>
      <c r="Z103" s="936">
        <v>0.125</v>
      </c>
      <c r="AA103" s="936">
        <v>0.6667</v>
      </c>
      <c r="AB103" s="900" t="s">
        <v>72</v>
      </c>
      <c r="AC103" s="936">
        <v>0.0714</v>
      </c>
      <c r="AD103" s="936">
        <v>0</v>
      </c>
      <c r="AE103" s="909" t="s">
        <v>645</v>
      </c>
      <c r="AF103" s="909"/>
    </row>
    <row r="104" s="141" customFormat="1" customHeight="1" spans="1:32">
      <c r="A104" s="14" t="s">
        <v>646</v>
      </c>
      <c r="B104" s="14" t="s">
        <v>647</v>
      </c>
      <c r="C104" s="15" t="s">
        <v>65</v>
      </c>
      <c r="D104" s="928">
        <v>38.9</v>
      </c>
      <c r="E104" s="929">
        <v>1365574</v>
      </c>
      <c r="F104" s="929">
        <v>206</v>
      </c>
      <c r="G104" s="929">
        <v>16</v>
      </c>
      <c r="H104" s="887">
        <v>0.082</v>
      </c>
      <c r="I104" s="890">
        <v>9</v>
      </c>
      <c r="J104" s="890">
        <v>0</v>
      </c>
      <c r="K104" s="929">
        <v>670</v>
      </c>
      <c r="L104" s="930">
        <v>0.31</v>
      </c>
      <c r="M104" s="879">
        <v>92</v>
      </c>
      <c r="N104" s="931">
        <v>0.75</v>
      </c>
      <c r="O104" s="932">
        <v>0</v>
      </c>
      <c r="P104" s="933" t="s">
        <v>648</v>
      </c>
      <c r="Q104" s="933" t="s">
        <v>649</v>
      </c>
      <c r="R104" s="934" t="s">
        <v>592</v>
      </c>
      <c r="S104" s="929">
        <v>42703</v>
      </c>
      <c r="T104" s="886">
        <v>4.5</v>
      </c>
      <c r="U104" s="935" t="s">
        <v>69</v>
      </c>
      <c r="V104" s="900" t="s">
        <v>70</v>
      </c>
      <c r="W104" s="936">
        <v>0.375</v>
      </c>
      <c r="X104" s="936">
        <v>0</v>
      </c>
      <c r="Y104" s="900" t="s">
        <v>193</v>
      </c>
      <c r="Z104" s="936">
        <v>0.25</v>
      </c>
      <c r="AA104" s="936">
        <v>0</v>
      </c>
      <c r="AB104" s="900" t="s">
        <v>129</v>
      </c>
      <c r="AC104" s="936">
        <v>0.125</v>
      </c>
      <c r="AD104" s="936">
        <v>0</v>
      </c>
      <c r="AE104" s="909" t="s">
        <v>650</v>
      </c>
      <c r="AF104" s="909"/>
    </row>
    <row r="105" s="141" customFormat="1" customHeight="1" spans="1:32">
      <c r="A105" s="14" t="s">
        <v>651</v>
      </c>
      <c r="B105" s="14" t="s">
        <v>652</v>
      </c>
      <c r="C105" s="15" t="s">
        <v>76</v>
      </c>
      <c r="D105" s="928">
        <v>35.6</v>
      </c>
      <c r="E105" s="929">
        <v>1464490</v>
      </c>
      <c r="F105" s="929">
        <v>194</v>
      </c>
      <c r="G105" s="929">
        <v>6</v>
      </c>
      <c r="H105" s="887">
        <v>0.0353</v>
      </c>
      <c r="I105" s="890">
        <v>9</v>
      </c>
      <c r="J105" s="890">
        <v>0</v>
      </c>
      <c r="K105" s="929">
        <v>108</v>
      </c>
      <c r="L105" s="930">
        <v>1.8</v>
      </c>
      <c r="M105" s="879">
        <v>10</v>
      </c>
      <c r="N105" s="931">
        <v>1</v>
      </c>
      <c r="O105" s="932">
        <v>0</v>
      </c>
      <c r="P105" s="933" t="s">
        <v>653</v>
      </c>
      <c r="Q105" s="933" t="s">
        <v>654</v>
      </c>
      <c r="R105" s="934" t="s">
        <v>79</v>
      </c>
      <c r="S105" s="929">
        <v>31357</v>
      </c>
      <c r="T105" s="886">
        <v>4.5</v>
      </c>
      <c r="U105" s="935" t="s">
        <v>655</v>
      </c>
      <c r="V105" s="900" t="s">
        <v>257</v>
      </c>
      <c r="W105" s="936">
        <v>0.4</v>
      </c>
      <c r="X105" s="936">
        <v>0</v>
      </c>
      <c r="Y105" s="900" t="s">
        <v>95</v>
      </c>
      <c r="Z105" s="936">
        <v>0.4</v>
      </c>
      <c r="AA105" s="936">
        <v>0</v>
      </c>
      <c r="AB105" s="900" t="s">
        <v>656</v>
      </c>
      <c r="AC105" s="936">
        <v>0.2</v>
      </c>
      <c r="AD105" s="936">
        <v>0</v>
      </c>
      <c r="AE105" s="909" t="s">
        <v>657</v>
      </c>
      <c r="AF105" s="909"/>
    </row>
    <row r="106" s="141" customFormat="1" customHeight="1" spans="1:32">
      <c r="A106" s="14" t="s">
        <v>658</v>
      </c>
      <c r="B106" s="14" t="s">
        <v>64</v>
      </c>
      <c r="C106" s="15" t="s">
        <v>76</v>
      </c>
      <c r="D106" s="928">
        <v>25.6</v>
      </c>
      <c r="E106" s="929">
        <v>1480162</v>
      </c>
      <c r="F106" s="929">
        <v>192</v>
      </c>
      <c r="G106" s="929">
        <v>25</v>
      </c>
      <c r="H106" s="887">
        <v>0.1333</v>
      </c>
      <c r="I106" s="890">
        <v>9</v>
      </c>
      <c r="J106" s="890">
        <v>0</v>
      </c>
      <c r="K106" s="929">
        <v>1201</v>
      </c>
      <c r="L106" s="930">
        <v>0.16</v>
      </c>
      <c r="M106" s="879">
        <v>17</v>
      </c>
      <c r="N106" s="931">
        <v>0.75</v>
      </c>
      <c r="O106" s="932">
        <v>0</v>
      </c>
      <c r="P106" s="933" t="s">
        <v>659</v>
      </c>
      <c r="Q106" s="933" t="s">
        <v>660</v>
      </c>
      <c r="R106" s="934" t="s">
        <v>592</v>
      </c>
      <c r="S106" s="929">
        <v>13835</v>
      </c>
      <c r="T106" s="886">
        <v>4.5</v>
      </c>
      <c r="U106" s="935" t="s">
        <v>94</v>
      </c>
      <c r="V106" s="900" t="s">
        <v>70</v>
      </c>
      <c r="W106" s="936">
        <v>0.25</v>
      </c>
      <c r="X106" s="936">
        <v>0</v>
      </c>
      <c r="Y106" s="900" t="s">
        <v>292</v>
      </c>
      <c r="Z106" s="936">
        <v>0.25</v>
      </c>
      <c r="AA106" s="936">
        <v>0</v>
      </c>
      <c r="AB106" s="900" t="s">
        <v>395</v>
      </c>
      <c r="AC106" s="936">
        <v>0.25</v>
      </c>
      <c r="AD106" s="936">
        <v>0</v>
      </c>
      <c r="AE106" s="909" t="s">
        <v>661</v>
      </c>
      <c r="AF106" s="909"/>
    </row>
    <row r="107" s="141" customFormat="1" customHeight="1" spans="1:32">
      <c r="A107" s="14" t="s">
        <v>662</v>
      </c>
      <c r="B107" s="14" t="s">
        <v>663</v>
      </c>
      <c r="C107" s="15" t="s">
        <v>76</v>
      </c>
      <c r="D107" s="928">
        <v>28.9</v>
      </c>
      <c r="E107" s="929">
        <v>1686206</v>
      </c>
      <c r="F107" s="929">
        <v>172</v>
      </c>
      <c r="G107" s="929">
        <v>6</v>
      </c>
      <c r="H107" s="887">
        <v>0.0357</v>
      </c>
      <c r="I107" s="890">
        <v>9</v>
      </c>
      <c r="J107" s="890">
        <v>0</v>
      </c>
      <c r="K107" s="929">
        <v>69</v>
      </c>
      <c r="L107" s="930">
        <v>2.49</v>
      </c>
      <c r="M107" s="879">
        <v>5</v>
      </c>
      <c r="N107" s="931">
        <v>1</v>
      </c>
      <c r="O107" s="932">
        <v>0</v>
      </c>
      <c r="P107" s="933" t="s">
        <v>323</v>
      </c>
      <c r="Q107" s="933" t="s">
        <v>664</v>
      </c>
      <c r="R107" s="934" t="s">
        <v>665</v>
      </c>
      <c r="S107" s="929">
        <v>2323</v>
      </c>
      <c r="T107" s="886">
        <v>4.5</v>
      </c>
      <c r="U107" s="935" t="s">
        <v>69</v>
      </c>
      <c r="V107" s="900" t="s">
        <v>666</v>
      </c>
      <c r="W107" s="936">
        <v>1</v>
      </c>
      <c r="X107" s="936">
        <v>0</v>
      </c>
      <c r="Y107" s="900"/>
      <c r="Z107" s="936"/>
      <c r="AA107" s="936"/>
      <c r="AB107" s="900"/>
      <c r="AC107" s="936"/>
      <c r="AD107" s="936"/>
      <c r="AE107" s="909" t="s">
        <v>667</v>
      </c>
      <c r="AF107" s="909"/>
    </row>
    <row r="108" s="141" customFormat="1" customHeight="1" spans="1:32">
      <c r="A108" s="14" t="s">
        <v>668</v>
      </c>
      <c r="B108" s="14" t="s">
        <v>669</v>
      </c>
      <c r="C108" s="15" t="s">
        <v>65</v>
      </c>
      <c r="D108" s="928">
        <v>42.2</v>
      </c>
      <c r="E108" s="929">
        <v>1806670</v>
      </c>
      <c r="F108" s="929">
        <v>158</v>
      </c>
      <c r="G108" s="929">
        <v>9</v>
      </c>
      <c r="H108" s="887">
        <v>0.0608</v>
      </c>
      <c r="I108" s="890">
        <v>8</v>
      </c>
      <c r="J108" s="890">
        <v>0</v>
      </c>
      <c r="K108" s="929">
        <v>932</v>
      </c>
      <c r="L108" s="930">
        <v>0.17</v>
      </c>
      <c r="M108" s="879">
        <v>1</v>
      </c>
      <c r="N108" s="931">
        <v>0.6</v>
      </c>
      <c r="O108" s="932">
        <v>1</v>
      </c>
      <c r="P108" s="933" t="s">
        <v>670</v>
      </c>
      <c r="Q108" s="933" t="s">
        <v>671</v>
      </c>
      <c r="R108" s="934" t="s">
        <v>611</v>
      </c>
      <c r="S108" s="929">
        <v>42703</v>
      </c>
      <c r="T108" s="886">
        <v>4.5</v>
      </c>
      <c r="U108" s="935" t="s">
        <v>69</v>
      </c>
      <c r="V108" s="900" t="s">
        <v>70</v>
      </c>
      <c r="W108" s="936">
        <v>0.2</v>
      </c>
      <c r="X108" s="936">
        <v>0</v>
      </c>
      <c r="Y108" s="900" t="s">
        <v>140</v>
      </c>
      <c r="Z108" s="936">
        <v>0.2</v>
      </c>
      <c r="AA108" s="936">
        <v>0</v>
      </c>
      <c r="AB108" s="900" t="s">
        <v>72</v>
      </c>
      <c r="AC108" s="936">
        <v>0.2</v>
      </c>
      <c r="AD108" s="936">
        <v>1</v>
      </c>
      <c r="AE108" s="909" t="s">
        <v>672</v>
      </c>
      <c r="AF108" s="909"/>
    </row>
    <row r="109" s="141" customFormat="1" customHeight="1" spans="1:32">
      <c r="A109" s="14" t="s">
        <v>673</v>
      </c>
      <c r="B109" s="14" t="s">
        <v>674</v>
      </c>
      <c r="C109" s="15" t="s">
        <v>65</v>
      </c>
      <c r="D109" s="928">
        <v>33.3</v>
      </c>
      <c r="E109" s="929">
        <v>1840212</v>
      </c>
      <c r="F109" s="929">
        <v>154</v>
      </c>
      <c r="G109" s="929">
        <v>5</v>
      </c>
      <c r="H109" s="887">
        <v>0.0333</v>
      </c>
      <c r="I109" s="890">
        <v>8</v>
      </c>
      <c r="J109" s="890">
        <v>0</v>
      </c>
      <c r="K109" s="929">
        <v>504</v>
      </c>
      <c r="L109" s="930">
        <v>0.31</v>
      </c>
      <c r="M109" s="879">
        <v>13</v>
      </c>
      <c r="N109" s="931">
        <v>1.0001</v>
      </c>
      <c r="O109" s="932">
        <v>0</v>
      </c>
      <c r="P109" s="933"/>
      <c r="Q109" s="933" t="s">
        <v>230</v>
      </c>
      <c r="R109" s="934" t="s">
        <v>675</v>
      </c>
      <c r="S109" s="929">
        <v>46</v>
      </c>
      <c r="T109" s="886">
        <v>4.5</v>
      </c>
      <c r="U109" s="935" t="s">
        <v>676</v>
      </c>
      <c r="V109" s="900" t="s">
        <v>677</v>
      </c>
      <c r="W109" s="936">
        <v>0.6667</v>
      </c>
      <c r="X109" s="936">
        <v>0</v>
      </c>
      <c r="Y109" s="900" t="s">
        <v>678</v>
      </c>
      <c r="Z109" s="936">
        <v>0.1667</v>
      </c>
      <c r="AA109" s="936">
        <v>0</v>
      </c>
      <c r="AB109" s="900" t="s">
        <v>679</v>
      </c>
      <c r="AC109" s="936">
        <v>0.1667</v>
      </c>
      <c r="AD109" s="936">
        <v>0</v>
      </c>
      <c r="AE109" s="909" t="s">
        <v>680</v>
      </c>
      <c r="AF109" s="909"/>
    </row>
    <row r="110" s="141" customFormat="1" customHeight="1" spans="1:32">
      <c r="A110" s="14" t="s">
        <v>681</v>
      </c>
      <c r="B110" s="14" t="s">
        <v>64</v>
      </c>
      <c r="C110" s="15" t="s">
        <v>65</v>
      </c>
      <c r="D110" s="928">
        <v>27.8</v>
      </c>
      <c r="E110" s="929">
        <v>1988793</v>
      </c>
      <c r="F110" s="929">
        <v>137</v>
      </c>
      <c r="G110" s="929">
        <v>25</v>
      </c>
      <c r="H110" s="887">
        <v>0.1826</v>
      </c>
      <c r="I110" s="890">
        <v>8</v>
      </c>
      <c r="J110" s="890">
        <v>0</v>
      </c>
      <c r="K110" s="929">
        <v>897</v>
      </c>
      <c r="L110" s="930">
        <v>0.15</v>
      </c>
      <c r="M110" s="879">
        <v>9</v>
      </c>
      <c r="N110" s="931">
        <v>0.9998</v>
      </c>
      <c r="O110" s="932">
        <v>1</v>
      </c>
      <c r="P110" s="933" t="s">
        <v>682</v>
      </c>
      <c r="Q110" s="933" t="s">
        <v>683</v>
      </c>
      <c r="R110" s="934" t="s">
        <v>592</v>
      </c>
      <c r="S110" s="929">
        <v>18278</v>
      </c>
      <c r="T110" s="886">
        <v>4.5</v>
      </c>
      <c r="U110" s="935" t="s">
        <v>69</v>
      </c>
      <c r="V110" s="900" t="s">
        <v>70</v>
      </c>
      <c r="W110" s="936">
        <v>0.4444</v>
      </c>
      <c r="X110" s="936">
        <v>1</v>
      </c>
      <c r="Y110" s="900" t="s">
        <v>178</v>
      </c>
      <c r="Z110" s="936">
        <v>0.3333</v>
      </c>
      <c r="AA110" s="936">
        <v>0</v>
      </c>
      <c r="AB110" s="900" t="s">
        <v>71</v>
      </c>
      <c r="AC110" s="936">
        <v>0.2222</v>
      </c>
      <c r="AD110" s="936">
        <v>0</v>
      </c>
      <c r="AE110" s="909" t="s">
        <v>684</v>
      </c>
      <c r="AF110" s="909"/>
    </row>
    <row r="111" s="141" customFormat="1" customHeight="1" spans="1:32">
      <c r="A111" s="14" t="s">
        <v>685</v>
      </c>
      <c r="B111" s="14" t="s">
        <v>686</v>
      </c>
      <c r="C111" s="15" t="s">
        <v>76</v>
      </c>
      <c r="D111" s="928">
        <v>30</v>
      </c>
      <c r="E111" s="929">
        <v>2024678</v>
      </c>
      <c r="F111" s="929">
        <v>103</v>
      </c>
      <c r="G111" s="929">
        <v>4</v>
      </c>
      <c r="H111" s="887">
        <v>0.0447</v>
      </c>
      <c r="I111" s="890">
        <v>8</v>
      </c>
      <c r="J111" s="890">
        <v>4</v>
      </c>
      <c r="K111" s="929">
        <v>1739</v>
      </c>
      <c r="L111" s="930">
        <v>0.06</v>
      </c>
      <c r="M111" s="879">
        <v>2</v>
      </c>
      <c r="N111" s="931">
        <v>1</v>
      </c>
      <c r="O111" s="932">
        <v>1</v>
      </c>
      <c r="P111" s="933" t="s">
        <v>687</v>
      </c>
      <c r="Q111" s="933" t="s">
        <v>688</v>
      </c>
      <c r="R111" s="934" t="s">
        <v>689</v>
      </c>
      <c r="S111" s="929">
        <v>304</v>
      </c>
      <c r="T111" s="886">
        <v>4</v>
      </c>
      <c r="U111" s="935" t="s">
        <v>690</v>
      </c>
      <c r="V111" s="900" t="s">
        <v>691</v>
      </c>
      <c r="W111" s="936">
        <v>0.6667</v>
      </c>
      <c r="X111" s="936">
        <v>0.4</v>
      </c>
      <c r="Y111" s="900" t="s">
        <v>692</v>
      </c>
      <c r="Z111" s="936">
        <v>0.3333</v>
      </c>
      <c r="AA111" s="936">
        <v>0.6</v>
      </c>
      <c r="AB111" s="900"/>
      <c r="AC111" s="936"/>
      <c r="AD111" s="936"/>
      <c r="AE111" s="909" t="s">
        <v>693</v>
      </c>
      <c r="AF111" s="909"/>
    </row>
    <row r="112" s="141" customFormat="1" customHeight="1" spans="1:32">
      <c r="A112" s="14" t="s">
        <v>694</v>
      </c>
      <c r="B112" s="14" t="s">
        <v>695</v>
      </c>
      <c r="C112" s="15" t="s">
        <v>65</v>
      </c>
      <c r="D112" s="928">
        <v>45.6</v>
      </c>
      <c r="E112" s="929">
        <v>0</v>
      </c>
      <c r="F112" s="929">
        <v>0</v>
      </c>
      <c r="G112" s="929">
        <v>0</v>
      </c>
      <c r="H112" s="887">
        <v>0</v>
      </c>
      <c r="I112" s="890">
        <v>8</v>
      </c>
      <c r="J112" s="890">
        <v>0</v>
      </c>
      <c r="K112" s="929">
        <v>292</v>
      </c>
      <c r="L112" s="930">
        <v>0</v>
      </c>
      <c r="M112" s="879">
        <v>11</v>
      </c>
      <c r="N112" s="931">
        <v>1</v>
      </c>
      <c r="O112" s="932">
        <v>0</v>
      </c>
      <c r="P112" s="933"/>
      <c r="Q112" s="933" t="s">
        <v>230</v>
      </c>
      <c r="R112" s="934" t="s">
        <v>592</v>
      </c>
      <c r="S112" s="929">
        <v>42012</v>
      </c>
      <c r="T112" s="886">
        <v>4.8</v>
      </c>
      <c r="U112" s="935" t="s">
        <v>217</v>
      </c>
      <c r="V112" s="900" t="s">
        <v>70</v>
      </c>
      <c r="W112" s="936">
        <v>1</v>
      </c>
      <c r="X112" s="936">
        <v>0</v>
      </c>
      <c r="Y112" s="900"/>
      <c r="Z112" s="936"/>
      <c r="AA112" s="936"/>
      <c r="AB112" s="900"/>
      <c r="AC112" s="936"/>
      <c r="AD112" s="936"/>
      <c r="AE112" s="909" t="s">
        <v>696</v>
      </c>
      <c r="AF112" s="909"/>
    </row>
    <row r="113" s="141" customFormat="1" customHeight="1" spans="1:32">
      <c r="A113" s="14" t="s">
        <v>697</v>
      </c>
      <c r="B113" s="14" t="s">
        <v>698</v>
      </c>
      <c r="C113" s="15" t="s">
        <v>65</v>
      </c>
      <c r="D113" s="928">
        <v>41.1</v>
      </c>
      <c r="E113" s="929">
        <v>0</v>
      </c>
      <c r="F113" s="929">
        <v>0</v>
      </c>
      <c r="G113" s="929">
        <v>0</v>
      </c>
      <c r="H113" s="887">
        <v>0</v>
      </c>
      <c r="I113" s="890">
        <v>8</v>
      </c>
      <c r="J113" s="890">
        <v>0</v>
      </c>
      <c r="K113" s="929">
        <v>861</v>
      </c>
      <c r="L113" s="930">
        <v>0</v>
      </c>
      <c r="M113" s="879">
        <v>15</v>
      </c>
      <c r="N113" s="931">
        <v>1</v>
      </c>
      <c r="O113" s="932">
        <v>0</v>
      </c>
      <c r="P113" s="933" t="s">
        <v>533</v>
      </c>
      <c r="Q113" s="933" t="s">
        <v>699</v>
      </c>
      <c r="R113" s="934" t="s">
        <v>592</v>
      </c>
      <c r="S113" s="929">
        <v>42012</v>
      </c>
      <c r="T113" s="886">
        <v>4.5</v>
      </c>
      <c r="U113" s="935" t="s">
        <v>69</v>
      </c>
      <c r="V113" s="900" t="s">
        <v>70</v>
      </c>
      <c r="W113" s="936">
        <v>0.5</v>
      </c>
      <c r="X113" s="936">
        <v>0</v>
      </c>
      <c r="Y113" s="900" t="s">
        <v>700</v>
      </c>
      <c r="Z113" s="936">
        <v>0.5</v>
      </c>
      <c r="AA113" s="936">
        <v>0</v>
      </c>
      <c r="AB113" s="900"/>
      <c r="AC113" s="936"/>
      <c r="AD113" s="936"/>
      <c r="AE113" s="909" t="s">
        <v>701</v>
      </c>
      <c r="AF113" s="909"/>
    </row>
    <row r="114" s="141" customFormat="1" customHeight="1" spans="1:32">
      <c r="A114" s="14" t="s">
        <v>702</v>
      </c>
      <c r="B114" s="14" t="s">
        <v>703</v>
      </c>
      <c r="C114" s="15" t="s">
        <v>65</v>
      </c>
      <c r="D114" s="928">
        <v>38.9</v>
      </c>
      <c r="E114" s="929">
        <v>0</v>
      </c>
      <c r="F114" s="929">
        <v>0</v>
      </c>
      <c r="G114" s="929">
        <v>0</v>
      </c>
      <c r="H114" s="887">
        <v>0</v>
      </c>
      <c r="I114" s="890">
        <v>8</v>
      </c>
      <c r="J114" s="890">
        <v>0</v>
      </c>
      <c r="K114" s="929">
        <v>1143</v>
      </c>
      <c r="L114" s="930">
        <v>0</v>
      </c>
      <c r="M114" s="879">
        <v>92</v>
      </c>
      <c r="N114" s="931">
        <v>0.3801</v>
      </c>
      <c r="O114" s="932">
        <v>0.3334</v>
      </c>
      <c r="P114" s="933" t="s">
        <v>414</v>
      </c>
      <c r="Q114" s="933" t="s">
        <v>704</v>
      </c>
      <c r="R114" s="934" t="s">
        <v>592</v>
      </c>
      <c r="S114" s="929">
        <v>40738</v>
      </c>
      <c r="T114" s="886">
        <v>4.5</v>
      </c>
      <c r="U114" s="935" t="s">
        <v>69</v>
      </c>
      <c r="V114" s="900" t="s">
        <v>70</v>
      </c>
      <c r="W114" s="936">
        <v>0.1672</v>
      </c>
      <c r="X114" s="936">
        <v>0.125</v>
      </c>
      <c r="Y114" s="900" t="s">
        <v>705</v>
      </c>
      <c r="Z114" s="936">
        <v>0.1246</v>
      </c>
      <c r="AA114" s="936">
        <v>0.1667</v>
      </c>
      <c r="AB114" s="900" t="s">
        <v>700</v>
      </c>
      <c r="AC114" s="936">
        <v>0.0885</v>
      </c>
      <c r="AD114" s="936">
        <v>0.0417</v>
      </c>
      <c r="AE114" s="909" t="s">
        <v>706</v>
      </c>
      <c r="AF114" s="909"/>
    </row>
    <row r="115" s="141" customFormat="1" customHeight="1" spans="1:32">
      <c r="A115" s="14" t="s">
        <v>707</v>
      </c>
      <c r="B115" s="14" t="s">
        <v>708</v>
      </c>
      <c r="C115" s="15" t="s">
        <v>65</v>
      </c>
      <c r="D115" s="928">
        <v>37.8</v>
      </c>
      <c r="E115" s="929">
        <v>0</v>
      </c>
      <c r="F115" s="929">
        <v>0</v>
      </c>
      <c r="G115" s="929">
        <v>0</v>
      </c>
      <c r="H115" s="887">
        <v>0</v>
      </c>
      <c r="I115" s="890">
        <v>8</v>
      </c>
      <c r="J115" s="890">
        <v>0</v>
      </c>
      <c r="K115" s="929">
        <v>245</v>
      </c>
      <c r="L115" s="930">
        <v>0</v>
      </c>
      <c r="M115" s="879">
        <v>5</v>
      </c>
      <c r="N115" s="931">
        <v>0.4544</v>
      </c>
      <c r="O115" s="932">
        <v>0.3333</v>
      </c>
      <c r="P115" s="933" t="s">
        <v>682</v>
      </c>
      <c r="Q115" s="933" t="s">
        <v>709</v>
      </c>
      <c r="R115" s="934" t="s">
        <v>710</v>
      </c>
      <c r="S115" s="929">
        <v>2643</v>
      </c>
      <c r="T115" s="886">
        <v>4.5</v>
      </c>
      <c r="U115" s="935" t="s">
        <v>69</v>
      </c>
      <c r="V115" s="900" t="s">
        <v>70</v>
      </c>
      <c r="W115" s="936">
        <v>0.1818</v>
      </c>
      <c r="X115" s="936">
        <v>0</v>
      </c>
      <c r="Y115" s="900" t="s">
        <v>700</v>
      </c>
      <c r="Z115" s="936">
        <v>0.1591</v>
      </c>
      <c r="AA115" s="936">
        <v>0.3333</v>
      </c>
      <c r="AB115" s="900" t="s">
        <v>129</v>
      </c>
      <c r="AC115" s="936">
        <v>0.1136</v>
      </c>
      <c r="AD115" s="936">
        <v>0</v>
      </c>
      <c r="AE115" s="909" t="s">
        <v>711</v>
      </c>
      <c r="AF115" s="909"/>
    </row>
    <row r="116" s="141" customFormat="1" customHeight="1" spans="1:32">
      <c r="A116" s="14" t="s">
        <v>712</v>
      </c>
      <c r="B116" s="14" t="s">
        <v>713</v>
      </c>
      <c r="C116" s="15" t="s">
        <v>65</v>
      </c>
      <c r="D116" s="928">
        <v>34.4</v>
      </c>
      <c r="E116" s="929">
        <v>0</v>
      </c>
      <c r="F116" s="929">
        <v>0</v>
      </c>
      <c r="G116" s="929">
        <v>0</v>
      </c>
      <c r="H116" s="887">
        <v>0</v>
      </c>
      <c r="I116" s="890">
        <v>8</v>
      </c>
      <c r="J116" s="890">
        <v>0</v>
      </c>
      <c r="K116" s="929">
        <v>166</v>
      </c>
      <c r="L116" s="930">
        <v>0</v>
      </c>
      <c r="M116" s="879">
        <v>19</v>
      </c>
      <c r="N116" s="931">
        <v>0.3307</v>
      </c>
      <c r="O116" s="932">
        <v>0</v>
      </c>
      <c r="P116" s="933" t="s">
        <v>714</v>
      </c>
      <c r="Q116" s="933" t="s">
        <v>715</v>
      </c>
      <c r="R116" s="934" t="s">
        <v>350</v>
      </c>
      <c r="S116" s="929">
        <v>924</v>
      </c>
      <c r="T116" s="886">
        <v>4.5</v>
      </c>
      <c r="U116" s="935" t="s">
        <v>69</v>
      </c>
      <c r="V116" s="900" t="s">
        <v>70</v>
      </c>
      <c r="W116" s="936">
        <v>0.1769</v>
      </c>
      <c r="X116" s="936">
        <v>0</v>
      </c>
      <c r="Y116" s="900" t="s">
        <v>716</v>
      </c>
      <c r="Z116" s="936">
        <v>0.0846</v>
      </c>
      <c r="AA116" s="936">
        <v>0</v>
      </c>
      <c r="AB116" s="900" t="s">
        <v>717</v>
      </c>
      <c r="AC116" s="936">
        <v>0.0692</v>
      </c>
      <c r="AD116" s="936">
        <v>0</v>
      </c>
      <c r="AE116" s="909" t="s">
        <v>718</v>
      </c>
      <c r="AF116" s="909"/>
    </row>
    <row r="117" s="141" customFormat="1" customHeight="1" spans="1:32">
      <c r="A117" s="14" t="s">
        <v>719</v>
      </c>
      <c r="B117" s="14" t="s">
        <v>720</v>
      </c>
      <c r="C117" s="15" t="s">
        <v>65</v>
      </c>
      <c r="D117" s="928">
        <v>33.3</v>
      </c>
      <c r="E117" s="929">
        <v>0</v>
      </c>
      <c r="F117" s="929">
        <v>0</v>
      </c>
      <c r="G117" s="929">
        <v>0</v>
      </c>
      <c r="H117" s="887">
        <v>0</v>
      </c>
      <c r="I117" s="890">
        <v>8</v>
      </c>
      <c r="J117" s="890">
        <v>0</v>
      </c>
      <c r="K117" s="929">
        <v>7850</v>
      </c>
      <c r="L117" s="930">
        <v>0</v>
      </c>
      <c r="M117" s="879">
        <v>48</v>
      </c>
      <c r="N117" s="931">
        <v>0.9897</v>
      </c>
      <c r="O117" s="932">
        <v>0.9714</v>
      </c>
      <c r="P117" s="933" t="s">
        <v>721</v>
      </c>
      <c r="Q117" s="933" t="s">
        <v>722</v>
      </c>
      <c r="R117" s="934" t="s">
        <v>723</v>
      </c>
      <c r="S117" s="929">
        <v>5398</v>
      </c>
      <c r="T117" s="886">
        <v>4.5</v>
      </c>
      <c r="U117" s="935" t="s">
        <v>69</v>
      </c>
      <c r="V117" s="900" t="s">
        <v>724</v>
      </c>
      <c r="W117" s="936">
        <v>0.9293</v>
      </c>
      <c r="X117" s="936">
        <v>0.8857</v>
      </c>
      <c r="Y117" s="900" t="s">
        <v>725</v>
      </c>
      <c r="Z117" s="936">
        <v>0.0505</v>
      </c>
      <c r="AA117" s="936">
        <v>0.0857</v>
      </c>
      <c r="AB117" s="900" t="s">
        <v>726</v>
      </c>
      <c r="AC117" s="936">
        <v>0.0101</v>
      </c>
      <c r="AD117" s="936">
        <v>0</v>
      </c>
      <c r="AE117" s="909" t="s">
        <v>727</v>
      </c>
      <c r="AF117" s="909"/>
    </row>
    <row r="118" s="141" customFormat="1" customHeight="1" spans="1:32">
      <c r="A118" s="14" t="s">
        <v>728</v>
      </c>
      <c r="B118" s="14" t="s">
        <v>64</v>
      </c>
      <c r="C118" s="15" t="s">
        <v>76</v>
      </c>
      <c r="D118" s="928">
        <v>33.3</v>
      </c>
      <c r="E118" s="929">
        <v>0</v>
      </c>
      <c r="F118" s="929">
        <v>0</v>
      </c>
      <c r="G118" s="929">
        <v>0</v>
      </c>
      <c r="H118" s="887">
        <v>0</v>
      </c>
      <c r="I118" s="890">
        <v>8</v>
      </c>
      <c r="J118" s="890">
        <v>0</v>
      </c>
      <c r="K118" s="929">
        <v>981</v>
      </c>
      <c r="L118" s="930">
        <v>0</v>
      </c>
      <c r="M118" s="879">
        <v>67</v>
      </c>
      <c r="N118" s="931">
        <v>0.4523</v>
      </c>
      <c r="O118" s="932">
        <v>0.2858</v>
      </c>
      <c r="P118" s="933" t="s">
        <v>729</v>
      </c>
      <c r="Q118" s="933" t="s">
        <v>730</v>
      </c>
      <c r="R118" s="934" t="s">
        <v>79</v>
      </c>
      <c r="S118" s="929">
        <v>35258</v>
      </c>
      <c r="T118" s="886">
        <v>4.5</v>
      </c>
      <c r="U118" s="935" t="s">
        <v>69</v>
      </c>
      <c r="V118" s="900" t="s">
        <v>700</v>
      </c>
      <c r="W118" s="936">
        <v>0.1786</v>
      </c>
      <c r="X118" s="936">
        <v>0.1429</v>
      </c>
      <c r="Y118" s="900" t="s">
        <v>305</v>
      </c>
      <c r="Z118" s="936">
        <v>0.1548</v>
      </c>
      <c r="AA118" s="936">
        <v>0</v>
      </c>
      <c r="AB118" s="900" t="s">
        <v>353</v>
      </c>
      <c r="AC118" s="936">
        <v>0.119</v>
      </c>
      <c r="AD118" s="936">
        <v>0.1429</v>
      </c>
      <c r="AE118" s="909" t="s">
        <v>731</v>
      </c>
      <c r="AF118" s="909"/>
    </row>
    <row r="119" s="141" customFormat="1" customHeight="1" spans="1:32">
      <c r="A119" s="14" t="s">
        <v>732</v>
      </c>
      <c r="B119" s="14" t="s">
        <v>733</v>
      </c>
      <c r="C119" s="15" t="s">
        <v>65</v>
      </c>
      <c r="D119" s="928">
        <v>31.1</v>
      </c>
      <c r="E119" s="929">
        <v>0</v>
      </c>
      <c r="F119" s="929">
        <v>0</v>
      </c>
      <c r="G119" s="929">
        <v>0</v>
      </c>
      <c r="H119" s="887">
        <v>0</v>
      </c>
      <c r="I119" s="890">
        <v>8</v>
      </c>
      <c r="J119" s="890">
        <v>0</v>
      </c>
      <c r="K119" s="929">
        <v>115</v>
      </c>
      <c r="L119" s="930">
        <v>0</v>
      </c>
      <c r="M119" s="879">
        <v>16</v>
      </c>
      <c r="N119" s="931">
        <v>1.0001</v>
      </c>
      <c r="O119" s="932">
        <v>0</v>
      </c>
      <c r="P119" s="933" t="s">
        <v>348</v>
      </c>
      <c r="Q119" s="933" t="s">
        <v>734</v>
      </c>
      <c r="R119" s="934" t="s">
        <v>735</v>
      </c>
      <c r="S119" s="929">
        <v>38074</v>
      </c>
      <c r="T119" s="886">
        <v>4.5</v>
      </c>
      <c r="U119" s="935" t="s">
        <v>736</v>
      </c>
      <c r="V119" s="900" t="s">
        <v>737</v>
      </c>
      <c r="W119" s="936">
        <v>0.7143</v>
      </c>
      <c r="X119" s="936">
        <v>0</v>
      </c>
      <c r="Y119" s="900" t="s">
        <v>738</v>
      </c>
      <c r="Z119" s="936">
        <v>0.1429</v>
      </c>
      <c r="AA119" s="936">
        <v>0</v>
      </c>
      <c r="AB119" s="900" t="s">
        <v>739</v>
      </c>
      <c r="AC119" s="936">
        <v>0.1429</v>
      </c>
      <c r="AD119" s="936">
        <v>0</v>
      </c>
      <c r="AE119" s="909" t="s">
        <v>740</v>
      </c>
      <c r="AF119" s="909"/>
    </row>
    <row r="120" s="141" customFormat="1" customHeight="1" spans="1:32">
      <c r="A120" s="14" t="s">
        <v>741</v>
      </c>
      <c r="B120" s="14" t="s">
        <v>742</v>
      </c>
      <c r="C120" s="15" t="s">
        <v>65</v>
      </c>
      <c r="D120" s="928">
        <v>31.1</v>
      </c>
      <c r="E120" s="929">
        <v>0</v>
      </c>
      <c r="F120" s="929">
        <v>0</v>
      </c>
      <c r="G120" s="929">
        <v>0</v>
      </c>
      <c r="H120" s="887">
        <v>0</v>
      </c>
      <c r="I120" s="890">
        <v>8</v>
      </c>
      <c r="J120" s="890">
        <v>0</v>
      </c>
      <c r="K120" s="929">
        <v>9970</v>
      </c>
      <c r="L120" s="930">
        <v>0</v>
      </c>
      <c r="M120" s="879">
        <v>36</v>
      </c>
      <c r="N120" s="931">
        <v>0.7447</v>
      </c>
      <c r="O120" s="932">
        <v>0.6667</v>
      </c>
      <c r="P120" s="933" t="s">
        <v>743</v>
      </c>
      <c r="Q120" s="933" t="s">
        <v>744</v>
      </c>
      <c r="R120" s="934" t="s">
        <v>745</v>
      </c>
      <c r="S120" s="929">
        <v>8202</v>
      </c>
      <c r="T120" s="886">
        <v>4.5</v>
      </c>
      <c r="U120" s="935" t="s">
        <v>94</v>
      </c>
      <c r="V120" s="900" t="s">
        <v>700</v>
      </c>
      <c r="W120" s="936">
        <v>0.4043</v>
      </c>
      <c r="X120" s="936">
        <v>0</v>
      </c>
      <c r="Y120" s="900" t="s">
        <v>746</v>
      </c>
      <c r="Z120" s="936">
        <v>0.234</v>
      </c>
      <c r="AA120" s="936">
        <v>0.6667</v>
      </c>
      <c r="AB120" s="900" t="s">
        <v>224</v>
      </c>
      <c r="AC120" s="936">
        <v>0.1064</v>
      </c>
      <c r="AD120" s="936">
        <v>0</v>
      </c>
      <c r="AE120" s="909" t="s">
        <v>747</v>
      </c>
      <c r="AF120" s="909"/>
    </row>
    <row r="121" s="141" customFormat="1" customHeight="1" spans="1:32">
      <c r="A121" s="14" t="s">
        <v>748</v>
      </c>
      <c r="B121" s="14" t="s">
        <v>749</v>
      </c>
      <c r="C121" s="15" t="s">
        <v>65</v>
      </c>
      <c r="D121" s="928">
        <v>30</v>
      </c>
      <c r="E121" s="929">
        <v>0</v>
      </c>
      <c r="F121" s="929">
        <v>0</v>
      </c>
      <c r="G121" s="929">
        <v>0</v>
      </c>
      <c r="H121" s="887">
        <v>0</v>
      </c>
      <c r="I121" s="890">
        <v>8</v>
      </c>
      <c r="J121" s="890">
        <v>0</v>
      </c>
      <c r="K121" s="929">
        <v>320</v>
      </c>
      <c r="L121" s="930">
        <v>0</v>
      </c>
      <c r="M121" s="879">
        <v>12</v>
      </c>
      <c r="N121" s="931">
        <v>1</v>
      </c>
      <c r="O121" s="932">
        <v>1</v>
      </c>
      <c r="P121" s="933" t="s">
        <v>750</v>
      </c>
      <c r="Q121" s="933" t="s">
        <v>751</v>
      </c>
      <c r="R121" s="934" t="s">
        <v>752</v>
      </c>
      <c r="S121" s="929">
        <v>31</v>
      </c>
      <c r="T121" s="886">
        <v>4.5</v>
      </c>
      <c r="U121" s="935" t="s">
        <v>753</v>
      </c>
      <c r="V121" s="900" t="s">
        <v>754</v>
      </c>
      <c r="W121" s="936">
        <v>1</v>
      </c>
      <c r="X121" s="936">
        <v>1</v>
      </c>
      <c r="Y121" s="900"/>
      <c r="Z121" s="936"/>
      <c r="AA121" s="936"/>
      <c r="AB121" s="900"/>
      <c r="AC121" s="936"/>
      <c r="AD121" s="936"/>
      <c r="AE121" s="909" t="s">
        <v>755</v>
      </c>
      <c r="AF121" s="909"/>
    </row>
    <row r="122" s="141" customFormat="1" customHeight="1" spans="1:32">
      <c r="A122" s="14" t="s">
        <v>756</v>
      </c>
      <c r="B122" s="14" t="s">
        <v>757</v>
      </c>
      <c r="C122" s="15" t="s">
        <v>65</v>
      </c>
      <c r="D122" s="928">
        <v>30</v>
      </c>
      <c r="E122" s="929">
        <v>0</v>
      </c>
      <c r="F122" s="929">
        <v>0</v>
      </c>
      <c r="G122" s="929">
        <v>0</v>
      </c>
      <c r="H122" s="887">
        <v>0</v>
      </c>
      <c r="I122" s="890">
        <v>8</v>
      </c>
      <c r="J122" s="890">
        <v>0</v>
      </c>
      <c r="K122" s="929">
        <v>990</v>
      </c>
      <c r="L122" s="930">
        <v>0</v>
      </c>
      <c r="M122" s="879">
        <v>11</v>
      </c>
      <c r="N122" s="931">
        <v>0.9998</v>
      </c>
      <c r="O122" s="932">
        <v>0</v>
      </c>
      <c r="P122" s="933" t="s">
        <v>758</v>
      </c>
      <c r="Q122" s="933" t="s">
        <v>759</v>
      </c>
      <c r="R122" s="934" t="s">
        <v>760</v>
      </c>
      <c r="S122" s="929">
        <v>1960</v>
      </c>
      <c r="T122" s="886">
        <v>4.4</v>
      </c>
      <c r="U122" s="935" t="s">
        <v>65</v>
      </c>
      <c r="V122" s="900" t="s">
        <v>761</v>
      </c>
      <c r="W122" s="936">
        <v>0.3333</v>
      </c>
      <c r="X122" s="936">
        <v>0</v>
      </c>
      <c r="Y122" s="900" t="s">
        <v>583</v>
      </c>
      <c r="Z122" s="936">
        <v>0.3333</v>
      </c>
      <c r="AA122" s="936">
        <v>0</v>
      </c>
      <c r="AB122" s="900" t="s">
        <v>473</v>
      </c>
      <c r="AC122" s="936">
        <v>0.3333</v>
      </c>
      <c r="AD122" s="936">
        <v>0</v>
      </c>
      <c r="AE122" s="909" t="s">
        <v>762</v>
      </c>
      <c r="AF122" s="909"/>
    </row>
    <row r="123" s="141" customFormat="1" customHeight="1" spans="1:32">
      <c r="A123" s="14" t="s">
        <v>763</v>
      </c>
      <c r="B123" s="14" t="s">
        <v>764</v>
      </c>
      <c r="C123" s="15" t="s">
        <v>65</v>
      </c>
      <c r="D123" s="928">
        <v>28.9</v>
      </c>
      <c r="E123" s="929">
        <v>0</v>
      </c>
      <c r="F123" s="929">
        <v>0</v>
      </c>
      <c r="G123" s="929">
        <v>0</v>
      </c>
      <c r="H123" s="887">
        <v>0</v>
      </c>
      <c r="I123" s="890">
        <v>8</v>
      </c>
      <c r="J123" s="890">
        <v>0</v>
      </c>
      <c r="K123" s="929">
        <v>772</v>
      </c>
      <c r="L123" s="930">
        <v>0</v>
      </c>
      <c r="M123" s="879">
        <v>0</v>
      </c>
      <c r="N123" s="931">
        <v>0.9998</v>
      </c>
      <c r="O123" s="932">
        <v>0</v>
      </c>
      <c r="P123" s="933"/>
      <c r="Q123" s="933" t="s">
        <v>230</v>
      </c>
      <c r="R123" s="934" t="s">
        <v>765</v>
      </c>
      <c r="S123" s="929">
        <v>11574</v>
      </c>
      <c r="T123" s="886">
        <v>4.5</v>
      </c>
      <c r="U123" s="935" t="s">
        <v>69</v>
      </c>
      <c r="V123" s="900" t="s">
        <v>292</v>
      </c>
      <c r="W123" s="936">
        <v>0.3333</v>
      </c>
      <c r="X123" s="936">
        <v>0</v>
      </c>
      <c r="Y123" s="900" t="s">
        <v>766</v>
      </c>
      <c r="Z123" s="936">
        <v>0.3333</v>
      </c>
      <c r="AA123" s="936">
        <v>0</v>
      </c>
      <c r="AB123" s="900" t="s">
        <v>767</v>
      </c>
      <c r="AC123" s="936">
        <v>0.3333</v>
      </c>
      <c r="AD123" s="936">
        <v>0</v>
      </c>
      <c r="AE123" s="909" t="s">
        <v>768</v>
      </c>
      <c r="AF123" s="909"/>
    </row>
    <row r="124" s="141" customFormat="1" customHeight="1" spans="1:32">
      <c r="A124" s="14" t="s">
        <v>769</v>
      </c>
      <c r="B124" s="14" t="s">
        <v>64</v>
      </c>
      <c r="C124" s="15" t="s">
        <v>65</v>
      </c>
      <c r="D124" s="928">
        <v>28.9</v>
      </c>
      <c r="E124" s="929">
        <v>0</v>
      </c>
      <c r="F124" s="929">
        <v>0</v>
      </c>
      <c r="G124" s="929">
        <v>0</v>
      </c>
      <c r="H124" s="887">
        <v>0</v>
      </c>
      <c r="I124" s="890">
        <v>8</v>
      </c>
      <c r="J124" s="890">
        <v>0</v>
      </c>
      <c r="K124" s="929">
        <v>1082</v>
      </c>
      <c r="L124" s="930">
        <v>0</v>
      </c>
      <c r="M124" s="879">
        <v>7</v>
      </c>
      <c r="N124" s="931">
        <v>0.6843</v>
      </c>
      <c r="O124" s="932">
        <v>0</v>
      </c>
      <c r="P124" s="933" t="s">
        <v>144</v>
      </c>
      <c r="Q124" s="933" t="s">
        <v>770</v>
      </c>
      <c r="R124" s="934" t="s">
        <v>771</v>
      </c>
      <c r="S124" s="929">
        <v>10485</v>
      </c>
      <c r="T124" s="886">
        <v>4.5</v>
      </c>
      <c r="U124" s="935" t="s">
        <v>69</v>
      </c>
      <c r="V124" s="900" t="s">
        <v>353</v>
      </c>
      <c r="W124" s="936">
        <v>0.2632</v>
      </c>
      <c r="X124" s="936">
        <v>0</v>
      </c>
      <c r="Y124" s="900" t="s">
        <v>772</v>
      </c>
      <c r="Z124" s="936">
        <v>0.2632</v>
      </c>
      <c r="AA124" s="936">
        <v>0</v>
      </c>
      <c r="AB124" s="900" t="s">
        <v>700</v>
      </c>
      <c r="AC124" s="936">
        <v>0.1579</v>
      </c>
      <c r="AD124" s="936">
        <v>0</v>
      </c>
      <c r="AE124" s="909" t="s">
        <v>773</v>
      </c>
      <c r="AF124" s="909"/>
    </row>
    <row r="125" s="141" customFormat="1" customHeight="1" spans="1:32">
      <c r="A125" s="14" t="s">
        <v>774</v>
      </c>
      <c r="B125" s="14" t="s">
        <v>775</v>
      </c>
      <c r="C125" s="15" t="s">
        <v>65</v>
      </c>
      <c r="D125" s="928">
        <v>28.9</v>
      </c>
      <c r="E125" s="929">
        <v>0</v>
      </c>
      <c r="F125" s="929">
        <v>0</v>
      </c>
      <c r="G125" s="929">
        <v>0</v>
      </c>
      <c r="H125" s="887">
        <v>0</v>
      </c>
      <c r="I125" s="890">
        <v>8</v>
      </c>
      <c r="J125" s="890">
        <v>0</v>
      </c>
      <c r="K125" s="929">
        <v>556</v>
      </c>
      <c r="L125" s="930">
        <v>0</v>
      </c>
      <c r="M125" s="879">
        <v>14</v>
      </c>
      <c r="N125" s="931">
        <v>0.7785</v>
      </c>
      <c r="O125" s="932">
        <v>0.8333</v>
      </c>
      <c r="P125" s="933"/>
      <c r="Q125" s="933" t="s">
        <v>230</v>
      </c>
      <c r="R125" s="934" t="s">
        <v>776</v>
      </c>
      <c r="S125" s="929">
        <v>6545</v>
      </c>
      <c r="T125" s="886">
        <v>4.5</v>
      </c>
      <c r="U125" s="935" t="s">
        <v>69</v>
      </c>
      <c r="V125" s="900" t="s">
        <v>70</v>
      </c>
      <c r="W125" s="936">
        <v>0.3852</v>
      </c>
      <c r="X125" s="936">
        <v>0.3333</v>
      </c>
      <c r="Y125" s="900" t="s">
        <v>304</v>
      </c>
      <c r="Z125" s="936">
        <v>0.3197</v>
      </c>
      <c r="AA125" s="936">
        <v>0.5</v>
      </c>
      <c r="AB125" s="900" t="s">
        <v>187</v>
      </c>
      <c r="AC125" s="936">
        <v>0.0738</v>
      </c>
      <c r="AD125" s="936">
        <v>0</v>
      </c>
      <c r="AE125" s="909" t="s">
        <v>777</v>
      </c>
      <c r="AF125" s="909"/>
    </row>
    <row r="126" s="141" customFormat="1" customHeight="1" spans="1:32">
      <c r="A126" s="14" t="s">
        <v>778</v>
      </c>
      <c r="B126" s="14" t="s">
        <v>764</v>
      </c>
      <c r="C126" s="15" t="s">
        <v>65</v>
      </c>
      <c r="D126" s="928">
        <v>26.7</v>
      </c>
      <c r="E126" s="929">
        <v>0</v>
      </c>
      <c r="F126" s="929">
        <v>0</v>
      </c>
      <c r="G126" s="929">
        <v>0</v>
      </c>
      <c r="H126" s="887">
        <v>0</v>
      </c>
      <c r="I126" s="890">
        <v>8</v>
      </c>
      <c r="J126" s="890">
        <v>0</v>
      </c>
      <c r="K126" s="929">
        <v>1668</v>
      </c>
      <c r="L126" s="930">
        <v>0</v>
      </c>
      <c r="M126" s="879">
        <v>0</v>
      </c>
      <c r="N126" s="931">
        <v>0.4</v>
      </c>
      <c r="O126" s="932">
        <v>0</v>
      </c>
      <c r="P126" s="933" t="s">
        <v>77</v>
      </c>
      <c r="Q126" s="933" t="s">
        <v>779</v>
      </c>
      <c r="R126" s="934" t="s">
        <v>780</v>
      </c>
      <c r="S126" s="929">
        <v>25449</v>
      </c>
      <c r="T126" s="886">
        <v>4.8</v>
      </c>
      <c r="U126" s="935" t="s">
        <v>69</v>
      </c>
      <c r="V126" s="900" t="s">
        <v>353</v>
      </c>
      <c r="W126" s="936">
        <v>0.16</v>
      </c>
      <c r="X126" s="936">
        <v>0</v>
      </c>
      <c r="Y126" s="900" t="s">
        <v>238</v>
      </c>
      <c r="Z126" s="936">
        <v>0.12</v>
      </c>
      <c r="AA126" s="936">
        <v>0</v>
      </c>
      <c r="AB126" s="900" t="s">
        <v>366</v>
      </c>
      <c r="AC126" s="936">
        <v>0.12</v>
      </c>
      <c r="AD126" s="936">
        <v>0</v>
      </c>
      <c r="AE126" s="909" t="s">
        <v>781</v>
      </c>
      <c r="AF126" s="909"/>
    </row>
    <row r="127" s="141" customFormat="1" customHeight="1" spans="1:32">
      <c r="A127" s="14" t="s">
        <v>782</v>
      </c>
      <c r="B127" s="14" t="s">
        <v>783</v>
      </c>
      <c r="C127" s="15" t="s">
        <v>76</v>
      </c>
      <c r="D127" s="928">
        <v>25.6</v>
      </c>
      <c r="E127" s="929">
        <v>0</v>
      </c>
      <c r="F127" s="929">
        <v>0</v>
      </c>
      <c r="G127" s="929">
        <v>0</v>
      </c>
      <c r="H127" s="887">
        <v>0</v>
      </c>
      <c r="I127" s="890">
        <v>8</v>
      </c>
      <c r="J127" s="890">
        <v>0</v>
      </c>
      <c r="K127" s="929">
        <v>119</v>
      </c>
      <c r="L127" s="930">
        <v>0</v>
      </c>
      <c r="M127" s="879">
        <v>4</v>
      </c>
      <c r="N127" s="931">
        <v>0.75</v>
      </c>
      <c r="O127" s="932">
        <v>0</v>
      </c>
      <c r="P127" s="933" t="s">
        <v>210</v>
      </c>
      <c r="Q127" s="933" t="s">
        <v>784</v>
      </c>
      <c r="R127" s="934" t="s">
        <v>785</v>
      </c>
      <c r="S127" s="929">
        <v>6013</v>
      </c>
      <c r="T127" s="886">
        <v>4.5</v>
      </c>
      <c r="U127" s="935" t="s">
        <v>69</v>
      </c>
      <c r="V127" s="900" t="s">
        <v>70</v>
      </c>
      <c r="W127" s="936">
        <v>0.25</v>
      </c>
      <c r="X127" s="936">
        <v>0</v>
      </c>
      <c r="Y127" s="900" t="s">
        <v>178</v>
      </c>
      <c r="Z127" s="936">
        <v>0.25</v>
      </c>
      <c r="AA127" s="936">
        <v>0</v>
      </c>
      <c r="AB127" s="900" t="s">
        <v>786</v>
      </c>
      <c r="AC127" s="936">
        <v>0.25</v>
      </c>
      <c r="AD127" s="936">
        <v>0</v>
      </c>
      <c r="AE127" s="909" t="s">
        <v>787</v>
      </c>
      <c r="AF127" s="909"/>
    </row>
    <row r="128" s="141" customFormat="1" customHeight="1" spans="1:32">
      <c r="A128" s="14" t="s">
        <v>788</v>
      </c>
      <c r="B128" s="14" t="s">
        <v>788</v>
      </c>
      <c r="C128" s="15" t="s">
        <v>65</v>
      </c>
      <c r="D128" s="928">
        <v>25.6</v>
      </c>
      <c r="E128" s="929">
        <v>0</v>
      </c>
      <c r="F128" s="929">
        <v>0</v>
      </c>
      <c r="G128" s="929">
        <v>0</v>
      </c>
      <c r="H128" s="887">
        <v>0</v>
      </c>
      <c r="I128" s="890">
        <v>8</v>
      </c>
      <c r="J128" s="890">
        <v>0</v>
      </c>
      <c r="K128" s="929">
        <v>111</v>
      </c>
      <c r="L128" s="930">
        <v>0</v>
      </c>
      <c r="M128" s="879">
        <v>0</v>
      </c>
      <c r="N128" s="931">
        <v>1</v>
      </c>
      <c r="O128" s="932">
        <v>0</v>
      </c>
      <c r="P128" s="933" t="s">
        <v>789</v>
      </c>
      <c r="Q128" s="933" t="s">
        <v>790</v>
      </c>
      <c r="R128" s="934" t="s">
        <v>791</v>
      </c>
      <c r="S128" s="929">
        <v>15010</v>
      </c>
      <c r="T128" s="886">
        <v>4.5</v>
      </c>
      <c r="U128" s="935" t="s">
        <v>69</v>
      </c>
      <c r="V128" s="900" t="s">
        <v>353</v>
      </c>
      <c r="W128" s="936">
        <v>0.5</v>
      </c>
      <c r="X128" s="936">
        <v>0</v>
      </c>
      <c r="Y128" s="900" t="s">
        <v>700</v>
      </c>
      <c r="Z128" s="936">
        <v>0.25</v>
      </c>
      <c r="AA128" s="936">
        <v>0</v>
      </c>
      <c r="AB128" s="900" t="s">
        <v>792</v>
      </c>
      <c r="AC128" s="936">
        <v>0.25</v>
      </c>
      <c r="AD128" s="936">
        <v>0</v>
      </c>
      <c r="AE128" s="909" t="s">
        <v>793</v>
      </c>
      <c r="AF128" s="909"/>
    </row>
    <row r="129" s="141" customFormat="1" customHeight="1" spans="1:32">
      <c r="A129" s="14" t="s">
        <v>794</v>
      </c>
      <c r="B129" s="14" t="s">
        <v>795</v>
      </c>
      <c r="C129" s="15" t="s">
        <v>76</v>
      </c>
      <c r="D129" s="928">
        <v>25.6</v>
      </c>
      <c r="E129" s="929">
        <v>0</v>
      </c>
      <c r="F129" s="929">
        <v>0</v>
      </c>
      <c r="G129" s="929">
        <v>0</v>
      </c>
      <c r="H129" s="887">
        <v>0</v>
      </c>
      <c r="I129" s="890">
        <v>8</v>
      </c>
      <c r="J129" s="890">
        <v>0</v>
      </c>
      <c r="K129" s="929">
        <v>1106</v>
      </c>
      <c r="L129" s="930">
        <v>0</v>
      </c>
      <c r="M129" s="879">
        <v>16</v>
      </c>
      <c r="N129" s="931">
        <v>0.75</v>
      </c>
      <c r="O129" s="932">
        <v>0</v>
      </c>
      <c r="P129" s="933" t="s">
        <v>796</v>
      </c>
      <c r="Q129" s="933" t="s">
        <v>797</v>
      </c>
      <c r="R129" s="934" t="s">
        <v>102</v>
      </c>
      <c r="S129" s="929">
        <v>9796</v>
      </c>
      <c r="T129" s="886">
        <v>4.4</v>
      </c>
      <c r="U129" s="935" t="s">
        <v>65</v>
      </c>
      <c r="V129" s="900" t="s">
        <v>798</v>
      </c>
      <c r="W129" s="936">
        <v>0.25</v>
      </c>
      <c r="X129" s="936">
        <v>0</v>
      </c>
      <c r="Y129" s="900" t="s">
        <v>799</v>
      </c>
      <c r="Z129" s="936">
        <v>0.25</v>
      </c>
      <c r="AA129" s="936">
        <v>0</v>
      </c>
      <c r="AB129" s="900" t="s">
        <v>270</v>
      </c>
      <c r="AC129" s="936">
        <v>0.25</v>
      </c>
      <c r="AD129" s="936">
        <v>0</v>
      </c>
      <c r="AE129" s="909" t="s">
        <v>800</v>
      </c>
      <c r="AF129" s="909"/>
    </row>
    <row r="130" s="141" customFormat="1" customHeight="1" spans="1:32">
      <c r="A130" s="14" t="s">
        <v>801</v>
      </c>
      <c r="B130" s="14" t="s">
        <v>802</v>
      </c>
      <c r="C130" s="15" t="s">
        <v>65</v>
      </c>
      <c r="D130" s="928">
        <v>25.6</v>
      </c>
      <c r="E130" s="929">
        <v>0</v>
      </c>
      <c r="F130" s="929">
        <v>0</v>
      </c>
      <c r="G130" s="929">
        <v>0</v>
      </c>
      <c r="H130" s="887">
        <v>0</v>
      </c>
      <c r="I130" s="890">
        <v>8</v>
      </c>
      <c r="J130" s="890">
        <v>0</v>
      </c>
      <c r="K130" s="929">
        <v>5871</v>
      </c>
      <c r="L130" s="930">
        <v>0</v>
      </c>
      <c r="M130" s="879">
        <v>36</v>
      </c>
      <c r="N130" s="931">
        <v>1</v>
      </c>
      <c r="O130" s="932">
        <v>0</v>
      </c>
      <c r="P130" s="933" t="s">
        <v>803</v>
      </c>
      <c r="Q130" s="933" t="s">
        <v>804</v>
      </c>
      <c r="R130" s="934" t="s">
        <v>805</v>
      </c>
      <c r="S130" s="929">
        <v>3679</v>
      </c>
      <c r="T130" s="886">
        <v>4.5</v>
      </c>
      <c r="U130" s="935" t="s">
        <v>69</v>
      </c>
      <c r="V130" s="900" t="s">
        <v>806</v>
      </c>
      <c r="W130" s="936">
        <v>0.6667</v>
      </c>
      <c r="X130" s="936">
        <v>0</v>
      </c>
      <c r="Y130" s="900" t="s">
        <v>807</v>
      </c>
      <c r="Z130" s="936">
        <v>0.3333</v>
      </c>
      <c r="AA130" s="936">
        <v>0</v>
      </c>
      <c r="AB130" s="900"/>
      <c r="AC130" s="936"/>
      <c r="AD130" s="936"/>
      <c r="AE130" s="909" t="s">
        <v>808</v>
      </c>
      <c r="AF130" s="909"/>
    </row>
    <row r="131" s="141" customFormat="1" customHeight="1" spans="1:32">
      <c r="A131" s="900"/>
      <c r="B131" s="900"/>
      <c r="C131" s="900"/>
      <c r="D131" s="901"/>
      <c r="E131" s="901"/>
      <c r="F131" s="902"/>
      <c r="G131" s="902"/>
      <c r="H131" s="903"/>
      <c r="I131" s="900"/>
      <c r="J131" s="900"/>
      <c r="K131" s="902"/>
      <c r="L131" s="904"/>
      <c r="M131" s="904"/>
      <c r="N131" s="905"/>
      <c r="O131" s="905"/>
      <c r="P131" s="906"/>
      <c r="Q131" s="906"/>
      <c r="R131" s="907"/>
      <c r="S131" s="908"/>
      <c r="T131" s="901"/>
      <c r="U131" s="902"/>
      <c r="V131" s="909"/>
      <c r="W131" s="909"/>
      <c r="X131" s="909"/>
      <c r="Y131" s="909"/>
      <c r="Z131" s="909"/>
      <c r="AA131" s="909"/>
      <c r="AB131" s="909"/>
      <c r="AC131" s="909"/>
      <c r="AD131" s="909"/>
    </row>
    <row r="132" s="141" customFormat="1" customHeight="1" spans="1:32">
      <c r="A132" s="900"/>
      <c r="B132" s="900"/>
      <c r="C132" s="900"/>
      <c r="D132" s="901"/>
      <c r="E132" s="901"/>
      <c r="F132" s="902"/>
      <c r="G132" s="902"/>
      <c r="H132" s="903"/>
      <c r="I132" s="900"/>
      <c r="J132" s="900"/>
      <c r="K132" s="902"/>
      <c r="L132" s="904"/>
      <c r="M132" s="904"/>
      <c r="N132" s="905"/>
      <c r="O132" s="905"/>
      <c r="P132" s="906"/>
      <c r="Q132" s="906"/>
      <c r="R132" s="907"/>
      <c r="S132" s="908"/>
      <c r="T132" s="901"/>
      <c r="U132" s="902"/>
      <c r="V132" s="909"/>
      <c r="W132" s="909"/>
      <c r="X132" s="909"/>
      <c r="Y132" s="909"/>
      <c r="Z132" s="909"/>
      <c r="AA132" s="909"/>
      <c r="AB132" s="909"/>
      <c r="AC132" s="909"/>
      <c r="AD132" s="909"/>
    </row>
    <row r="133" s="141" customFormat="1" customHeight="1" spans="1:32">
      <c r="A133" s="900"/>
      <c r="B133" s="900"/>
      <c r="C133" s="900"/>
      <c r="D133" s="901"/>
      <c r="E133" s="901"/>
      <c r="F133" s="902"/>
      <c r="G133" s="902"/>
      <c r="H133" s="903"/>
      <c r="I133" s="900"/>
      <c r="J133" s="900"/>
      <c r="K133" s="902"/>
      <c r="L133" s="904"/>
      <c r="M133" s="904"/>
      <c r="N133" s="905"/>
      <c r="O133" s="905"/>
      <c r="P133" s="906"/>
      <c r="Q133" s="906"/>
      <c r="R133" s="907"/>
      <c r="S133" s="908"/>
      <c r="T133" s="901"/>
      <c r="U133" s="902"/>
      <c r="V133" s="909"/>
      <c r="W133" s="909"/>
      <c r="X133" s="909"/>
      <c r="Y133" s="909"/>
      <c r="Z133" s="909"/>
      <c r="AA133" s="909"/>
      <c r="AB133" s="909"/>
      <c r="AC133" s="909"/>
      <c r="AD133" s="909"/>
    </row>
    <row r="134" s="141" customFormat="1" customHeight="1" spans="1:32">
      <c r="A134" s="900"/>
      <c r="B134" s="900"/>
      <c r="C134" s="900"/>
      <c r="D134" s="901"/>
      <c r="E134" s="901"/>
      <c r="F134" s="902"/>
      <c r="G134" s="902"/>
      <c r="H134" s="903"/>
      <c r="I134" s="900"/>
      <c r="J134" s="900"/>
      <c r="K134" s="902"/>
      <c r="L134" s="904"/>
      <c r="M134" s="904"/>
      <c r="N134" s="905"/>
      <c r="O134" s="905"/>
      <c r="P134" s="906"/>
      <c r="Q134" s="906"/>
      <c r="R134" s="907"/>
      <c r="S134" s="908"/>
      <c r="T134" s="901"/>
      <c r="U134" s="902"/>
      <c r="V134" s="909"/>
      <c r="W134" s="909"/>
      <c r="X134" s="909"/>
      <c r="Y134" s="909"/>
      <c r="Z134" s="909"/>
      <c r="AA134" s="909"/>
      <c r="AB134" s="909"/>
      <c r="AC134" s="909"/>
      <c r="AD134" s="909"/>
    </row>
    <row r="135" s="141" customFormat="1" customHeight="1" spans="1:32">
      <c r="A135" s="900"/>
      <c r="B135" s="900"/>
      <c r="C135" s="900"/>
      <c r="D135" s="901"/>
      <c r="E135" s="901"/>
      <c r="F135" s="902"/>
      <c r="G135" s="902"/>
      <c r="H135" s="903"/>
      <c r="I135" s="900"/>
      <c r="J135" s="900"/>
      <c r="K135" s="902"/>
      <c r="L135" s="904"/>
      <c r="M135" s="904"/>
      <c r="N135" s="905"/>
      <c r="O135" s="905"/>
      <c r="P135" s="906"/>
      <c r="Q135" s="906"/>
      <c r="R135" s="907"/>
      <c r="S135" s="908"/>
      <c r="T135" s="901"/>
      <c r="U135" s="902"/>
      <c r="V135" s="909"/>
      <c r="W135" s="909"/>
      <c r="X135" s="909"/>
      <c r="Y135" s="909"/>
      <c r="Z135" s="909"/>
      <c r="AA135" s="909"/>
      <c r="AB135" s="909"/>
      <c r="AC135" s="909"/>
      <c r="AD135" s="909"/>
    </row>
    <row r="136" s="141" customFormat="1" customHeight="1" spans="1:32">
      <c r="A136" s="900"/>
      <c r="B136" s="900"/>
      <c r="C136" s="900"/>
      <c r="D136" s="901"/>
      <c r="E136" s="901"/>
      <c r="F136" s="902"/>
      <c r="G136" s="902"/>
      <c r="H136" s="903"/>
      <c r="I136" s="900"/>
      <c r="J136" s="900"/>
      <c r="K136" s="902"/>
      <c r="L136" s="904"/>
      <c r="M136" s="904"/>
      <c r="N136" s="905"/>
      <c r="O136" s="905"/>
      <c r="P136" s="906"/>
      <c r="Q136" s="906"/>
      <c r="R136" s="907"/>
      <c r="S136" s="908"/>
      <c r="T136" s="901"/>
      <c r="U136" s="902"/>
      <c r="V136" s="909"/>
      <c r="W136" s="909"/>
      <c r="X136" s="909"/>
      <c r="Y136" s="909"/>
      <c r="Z136" s="909"/>
      <c r="AA136" s="909"/>
      <c r="AB136" s="909"/>
      <c r="AC136" s="909"/>
      <c r="AD136" s="909"/>
    </row>
    <row r="137" s="141" customFormat="1" customHeight="1" spans="1:32">
      <c r="A137" s="900"/>
      <c r="B137" s="900"/>
      <c r="C137" s="900"/>
      <c r="D137" s="901"/>
      <c r="E137" s="901"/>
      <c r="F137" s="902"/>
      <c r="G137" s="902"/>
      <c r="H137" s="903"/>
      <c r="I137" s="900"/>
      <c r="J137" s="900"/>
      <c r="K137" s="902"/>
      <c r="L137" s="904"/>
      <c r="M137" s="904"/>
      <c r="N137" s="905"/>
      <c r="O137" s="905"/>
      <c r="P137" s="906"/>
      <c r="Q137" s="906"/>
      <c r="R137" s="907"/>
      <c r="S137" s="908"/>
      <c r="T137" s="901"/>
      <c r="U137" s="902"/>
      <c r="V137" s="909"/>
      <c r="W137" s="909"/>
      <c r="X137" s="909"/>
      <c r="Y137" s="909"/>
      <c r="Z137" s="909"/>
      <c r="AA137" s="909"/>
      <c r="AB137" s="909"/>
      <c r="AC137" s="909"/>
      <c r="AD137" s="909"/>
    </row>
    <row r="138" s="141" customFormat="1" customHeight="1" spans="1:32">
      <c r="A138" s="900"/>
      <c r="B138" s="900"/>
      <c r="C138" s="900"/>
      <c r="D138" s="901"/>
      <c r="E138" s="901"/>
      <c r="F138" s="902"/>
      <c r="G138" s="902"/>
      <c r="H138" s="903"/>
      <c r="I138" s="900"/>
      <c r="J138" s="900"/>
      <c r="K138" s="902"/>
      <c r="L138" s="904"/>
      <c r="M138" s="904"/>
      <c r="N138" s="905"/>
      <c r="O138" s="905"/>
      <c r="P138" s="906"/>
      <c r="Q138" s="906"/>
      <c r="R138" s="907"/>
      <c r="S138" s="908"/>
      <c r="T138" s="901"/>
      <c r="U138" s="902"/>
      <c r="V138" s="909"/>
      <c r="W138" s="909"/>
      <c r="X138" s="909"/>
      <c r="Y138" s="909"/>
      <c r="Z138" s="909"/>
      <c r="AA138" s="909"/>
      <c r="AB138" s="909"/>
      <c r="AC138" s="909"/>
      <c r="AD138" s="909"/>
    </row>
    <row r="139" s="141" customFormat="1" customHeight="1" spans="1:32">
      <c r="A139" s="900"/>
      <c r="B139" s="900"/>
      <c r="C139" s="900"/>
      <c r="D139" s="901"/>
      <c r="E139" s="901"/>
      <c r="F139" s="902"/>
      <c r="G139" s="902"/>
      <c r="H139" s="903"/>
      <c r="I139" s="900"/>
      <c r="J139" s="900"/>
      <c r="K139" s="902"/>
      <c r="L139" s="904"/>
      <c r="M139" s="904"/>
      <c r="N139" s="905"/>
      <c r="O139" s="905"/>
      <c r="P139" s="906"/>
      <c r="Q139" s="906"/>
      <c r="R139" s="907"/>
      <c r="S139" s="908"/>
      <c r="T139" s="901"/>
      <c r="U139" s="902"/>
      <c r="V139" s="909"/>
      <c r="W139" s="909"/>
      <c r="X139" s="909"/>
      <c r="Y139" s="909"/>
      <c r="Z139" s="909"/>
      <c r="AA139" s="909"/>
      <c r="AB139" s="909"/>
      <c r="AC139" s="909"/>
      <c r="AD139" s="909"/>
    </row>
    <row r="140" s="141" customFormat="1" customHeight="1" spans="1:32">
      <c r="A140" s="900"/>
      <c r="B140" s="900"/>
      <c r="C140" s="900"/>
      <c r="D140" s="901"/>
      <c r="E140" s="901"/>
      <c r="F140" s="902"/>
      <c r="G140" s="902"/>
      <c r="H140" s="903"/>
      <c r="I140" s="900"/>
      <c r="J140" s="900"/>
      <c r="K140" s="902"/>
      <c r="L140" s="904"/>
      <c r="M140" s="904"/>
      <c r="N140" s="905"/>
      <c r="O140" s="905"/>
      <c r="P140" s="906"/>
      <c r="Q140" s="906"/>
      <c r="R140" s="907"/>
      <c r="S140" s="908"/>
      <c r="T140" s="901"/>
      <c r="U140" s="902"/>
      <c r="V140" s="909"/>
      <c r="W140" s="909"/>
      <c r="X140" s="909"/>
      <c r="Y140" s="909"/>
      <c r="Z140" s="909"/>
      <c r="AA140" s="909"/>
      <c r="AB140" s="909"/>
      <c r="AC140" s="909"/>
      <c r="AD140" s="909"/>
    </row>
    <row r="141" s="141" customFormat="1" customHeight="1" spans="1:32">
      <c r="A141" s="900"/>
      <c r="B141" s="900"/>
      <c r="C141" s="900"/>
      <c r="D141" s="901"/>
      <c r="E141" s="901"/>
      <c r="F141" s="902"/>
      <c r="G141" s="902"/>
      <c r="H141" s="903"/>
      <c r="I141" s="900"/>
      <c r="J141" s="900"/>
      <c r="K141" s="902"/>
      <c r="L141" s="904"/>
      <c r="M141" s="904"/>
      <c r="N141" s="905"/>
      <c r="O141" s="905"/>
      <c r="P141" s="906"/>
      <c r="Q141" s="906"/>
      <c r="R141" s="907"/>
      <c r="S141" s="908"/>
      <c r="T141" s="901"/>
      <c r="U141" s="902"/>
      <c r="V141" s="909"/>
      <c r="W141" s="909"/>
      <c r="X141" s="909"/>
      <c r="Y141" s="909"/>
      <c r="Z141" s="909"/>
      <c r="AA141" s="909"/>
      <c r="AB141" s="909"/>
      <c r="AC141" s="909"/>
      <c r="AD141" s="909"/>
    </row>
    <row r="142" s="141" customFormat="1" customHeight="1" spans="1:32">
      <c r="A142" s="900"/>
      <c r="B142" s="900"/>
      <c r="C142" s="900"/>
      <c r="D142" s="901"/>
      <c r="E142" s="901"/>
      <c r="F142" s="902"/>
      <c r="G142" s="902"/>
      <c r="H142" s="903"/>
      <c r="I142" s="900"/>
      <c r="J142" s="900"/>
      <c r="K142" s="902"/>
      <c r="L142" s="904"/>
      <c r="M142" s="904"/>
      <c r="N142" s="905"/>
      <c r="O142" s="905"/>
      <c r="P142" s="906"/>
      <c r="Q142" s="906"/>
      <c r="R142" s="907"/>
      <c r="S142" s="908"/>
      <c r="T142" s="901"/>
      <c r="U142" s="902"/>
      <c r="V142" s="909"/>
      <c r="W142" s="909"/>
      <c r="X142" s="909"/>
      <c r="Y142" s="909"/>
      <c r="Z142" s="909"/>
      <c r="AA142" s="909"/>
      <c r="AB142" s="909"/>
      <c r="AC142" s="909"/>
      <c r="AD142" s="909"/>
    </row>
    <row r="143" s="141" customFormat="1" customHeight="1" spans="1:32">
      <c r="A143" s="900"/>
      <c r="B143" s="900"/>
      <c r="C143" s="900"/>
      <c r="D143" s="901"/>
      <c r="E143" s="901"/>
      <c r="F143" s="902"/>
      <c r="G143" s="902"/>
      <c r="H143" s="903"/>
      <c r="I143" s="900"/>
      <c r="J143" s="900"/>
      <c r="K143" s="902"/>
      <c r="L143" s="904"/>
      <c r="M143" s="904"/>
      <c r="N143" s="905"/>
      <c r="O143" s="905"/>
      <c r="P143" s="906"/>
      <c r="Q143" s="906"/>
      <c r="R143" s="907"/>
      <c r="S143" s="908"/>
      <c r="T143" s="901"/>
      <c r="U143" s="902"/>
      <c r="V143" s="909"/>
      <c r="W143" s="909"/>
      <c r="X143" s="909"/>
      <c r="Y143" s="909"/>
      <c r="Z143" s="909"/>
      <c r="AA143" s="909"/>
      <c r="AB143" s="909"/>
      <c r="AC143" s="909"/>
      <c r="AD143" s="909"/>
    </row>
    <row r="144" s="141" customFormat="1" customHeight="1" spans="1:32">
      <c r="A144" s="900"/>
      <c r="B144" s="900"/>
      <c r="C144" s="900"/>
      <c r="D144" s="901"/>
      <c r="E144" s="901"/>
      <c r="F144" s="902"/>
      <c r="G144" s="902"/>
      <c r="H144" s="903"/>
      <c r="I144" s="900"/>
      <c r="J144" s="900"/>
      <c r="K144" s="902"/>
      <c r="L144" s="904"/>
      <c r="M144" s="904"/>
      <c r="N144" s="905"/>
      <c r="O144" s="905"/>
      <c r="P144" s="906"/>
      <c r="Q144" s="906"/>
      <c r="R144" s="907"/>
      <c r="S144" s="908"/>
      <c r="T144" s="901"/>
      <c r="U144" s="902"/>
      <c r="V144" s="909"/>
      <c r="W144" s="909"/>
      <c r="X144" s="909"/>
      <c r="Y144" s="909"/>
      <c r="Z144" s="909"/>
      <c r="AA144" s="909"/>
      <c r="AB144" s="909"/>
      <c r="AC144" s="909"/>
      <c r="AD144" s="909"/>
    </row>
    <row r="145" s="141" customFormat="1" customHeight="1" spans="1:30">
      <c r="A145" s="900"/>
      <c r="B145" s="900"/>
      <c r="C145" s="900"/>
      <c r="D145" s="901"/>
      <c r="E145" s="901"/>
      <c r="F145" s="902"/>
      <c r="G145" s="902"/>
      <c r="H145" s="903"/>
      <c r="I145" s="900"/>
      <c r="J145" s="900"/>
      <c r="K145" s="902"/>
      <c r="L145" s="904"/>
      <c r="M145" s="904"/>
      <c r="N145" s="905"/>
      <c r="O145" s="905"/>
      <c r="P145" s="906"/>
      <c r="Q145" s="906"/>
      <c r="R145" s="907"/>
      <c r="S145" s="908"/>
      <c r="T145" s="901"/>
      <c r="U145" s="902"/>
      <c r="V145" s="909"/>
      <c r="W145" s="909"/>
      <c r="X145" s="909"/>
      <c r="Y145" s="909"/>
      <c r="Z145" s="909"/>
      <c r="AA145" s="909"/>
      <c r="AB145" s="909"/>
      <c r="AC145" s="909"/>
      <c r="AD145" s="909"/>
    </row>
    <row r="146" s="141" customFormat="1" customHeight="1" spans="1:30">
      <c r="A146" s="900"/>
      <c r="B146" s="900"/>
      <c r="C146" s="900"/>
      <c r="D146" s="901"/>
      <c r="E146" s="901"/>
      <c r="F146" s="902"/>
      <c r="G146" s="902"/>
      <c r="H146" s="903"/>
      <c r="I146" s="900"/>
      <c r="J146" s="900"/>
      <c r="K146" s="902"/>
      <c r="L146" s="904"/>
      <c r="M146" s="904"/>
      <c r="N146" s="905"/>
      <c r="O146" s="905"/>
      <c r="P146" s="906"/>
      <c r="Q146" s="906"/>
      <c r="R146" s="907"/>
      <c r="S146" s="908"/>
      <c r="T146" s="901"/>
      <c r="U146" s="902"/>
      <c r="V146" s="909"/>
      <c r="W146" s="909"/>
      <c r="X146" s="909"/>
      <c r="Y146" s="909"/>
      <c r="Z146" s="909"/>
      <c r="AA146" s="909"/>
      <c r="AB146" s="909"/>
      <c r="AC146" s="909"/>
      <c r="AD146" s="909"/>
    </row>
    <row r="147" s="141" customFormat="1" customHeight="1" spans="1:30">
      <c r="A147" s="900"/>
      <c r="B147" s="900"/>
      <c r="C147" s="900"/>
      <c r="D147" s="901"/>
      <c r="E147" s="901"/>
      <c r="F147" s="902"/>
      <c r="G147" s="902"/>
      <c r="H147" s="903"/>
      <c r="I147" s="900"/>
      <c r="J147" s="900"/>
      <c r="K147" s="902"/>
      <c r="L147" s="904"/>
      <c r="M147" s="904"/>
      <c r="N147" s="905"/>
      <c r="O147" s="905"/>
      <c r="P147" s="906"/>
      <c r="Q147" s="906"/>
      <c r="R147" s="907"/>
      <c r="S147" s="908"/>
      <c r="T147" s="901"/>
      <c r="U147" s="902"/>
      <c r="V147" s="909"/>
      <c r="W147" s="909"/>
      <c r="X147" s="909"/>
      <c r="Y147" s="909"/>
      <c r="Z147" s="909"/>
      <c r="AA147" s="909"/>
      <c r="AB147" s="909"/>
      <c r="AC147" s="909"/>
      <c r="AD147" s="909"/>
    </row>
    <row r="148" s="141" customFormat="1" customHeight="1" spans="1:30">
      <c r="A148" s="900"/>
      <c r="B148" s="900"/>
      <c r="C148" s="900"/>
      <c r="D148" s="901"/>
      <c r="E148" s="901"/>
      <c r="F148" s="902"/>
      <c r="G148" s="902"/>
      <c r="H148" s="903"/>
      <c r="I148" s="900"/>
      <c r="J148" s="900"/>
      <c r="K148" s="902"/>
      <c r="L148" s="904"/>
      <c r="M148" s="904"/>
      <c r="N148" s="905"/>
      <c r="O148" s="905"/>
      <c r="P148" s="906"/>
      <c r="Q148" s="906"/>
      <c r="R148" s="907"/>
      <c r="S148" s="908"/>
      <c r="T148" s="901"/>
      <c r="U148" s="902"/>
      <c r="V148" s="909"/>
      <c r="W148" s="909"/>
      <c r="X148" s="909"/>
      <c r="Y148" s="909"/>
      <c r="Z148" s="909"/>
      <c r="AA148" s="909"/>
      <c r="AB148" s="909"/>
      <c r="AC148" s="909"/>
      <c r="AD148" s="909"/>
    </row>
    <row r="149" s="141" customFormat="1" customHeight="1" spans="1:30">
      <c r="A149" s="900"/>
      <c r="B149" s="900"/>
      <c r="C149" s="900"/>
      <c r="D149" s="901"/>
      <c r="E149" s="901"/>
      <c r="F149" s="902"/>
      <c r="G149" s="902"/>
      <c r="H149" s="903"/>
      <c r="I149" s="900"/>
      <c r="J149" s="900"/>
      <c r="K149" s="902"/>
      <c r="L149" s="904"/>
      <c r="M149" s="904"/>
      <c r="N149" s="905"/>
      <c r="O149" s="905"/>
      <c r="P149" s="906"/>
      <c r="Q149" s="906"/>
      <c r="R149" s="907"/>
      <c r="S149" s="908"/>
      <c r="T149" s="901"/>
      <c r="U149" s="902"/>
      <c r="V149" s="909"/>
      <c r="W149" s="909"/>
      <c r="X149" s="909"/>
      <c r="Y149" s="909"/>
      <c r="Z149" s="909"/>
      <c r="AA149" s="909"/>
      <c r="AB149" s="909"/>
      <c r="AC149" s="909"/>
      <c r="AD149" s="909"/>
    </row>
    <row r="150" s="141" customFormat="1" customHeight="1" spans="1:30">
      <c r="A150" s="900"/>
      <c r="B150" s="900"/>
      <c r="C150" s="900"/>
      <c r="D150" s="901"/>
      <c r="E150" s="901"/>
      <c r="F150" s="902"/>
      <c r="G150" s="902"/>
      <c r="H150" s="903"/>
      <c r="I150" s="900"/>
      <c r="J150" s="900"/>
      <c r="K150" s="902"/>
      <c r="L150" s="904"/>
      <c r="M150" s="904"/>
      <c r="N150" s="905"/>
      <c r="O150" s="905"/>
      <c r="P150" s="906"/>
      <c r="Q150" s="906"/>
      <c r="R150" s="907"/>
      <c r="S150" s="908"/>
      <c r="T150" s="901"/>
      <c r="U150" s="902"/>
      <c r="V150" s="909"/>
      <c r="W150" s="909"/>
      <c r="X150" s="909"/>
      <c r="Y150" s="909"/>
      <c r="Z150" s="909"/>
      <c r="AA150" s="909"/>
      <c r="AB150" s="909"/>
      <c r="AC150" s="909"/>
      <c r="AD150" s="909"/>
    </row>
    <row r="151" s="141" customFormat="1" customHeight="1" spans="1:30">
      <c r="A151" s="900"/>
      <c r="B151" s="900"/>
      <c r="C151" s="900"/>
      <c r="D151" s="901"/>
      <c r="E151" s="901"/>
      <c r="F151" s="902"/>
      <c r="G151" s="902"/>
      <c r="H151" s="903"/>
      <c r="I151" s="900"/>
      <c r="J151" s="900"/>
      <c r="K151" s="902"/>
      <c r="L151" s="904"/>
      <c r="M151" s="904"/>
      <c r="N151" s="905"/>
      <c r="O151" s="905"/>
      <c r="P151" s="906"/>
      <c r="Q151" s="906"/>
      <c r="R151" s="907"/>
      <c r="S151" s="908"/>
      <c r="T151" s="901"/>
      <c r="U151" s="902"/>
      <c r="V151" s="909"/>
      <c r="W151" s="909"/>
      <c r="X151" s="909"/>
      <c r="Y151" s="909"/>
      <c r="Z151" s="909"/>
      <c r="AA151" s="909"/>
      <c r="AB151" s="909"/>
      <c r="AC151" s="909"/>
      <c r="AD151" s="909"/>
    </row>
    <row r="152" s="141" customFormat="1" customHeight="1" spans="1:30">
      <c r="A152" s="900"/>
      <c r="B152" s="900"/>
      <c r="C152" s="900"/>
      <c r="D152" s="901"/>
      <c r="E152" s="901"/>
      <c r="F152" s="902"/>
      <c r="G152" s="902"/>
      <c r="H152" s="903"/>
      <c r="I152" s="900"/>
      <c r="J152" s="900"/>
      <c r="K152" s="902"/>
      <c r="L152" s="904"/>
      <c r="M152" s="904"/>
      <c r="N152" s="905"/>
      <c r="O152" s="905"/>
      <c r="P152" s="906"/>
      <c r="Q152" s="906"/>
      <c r="R152" s="907"/>
      <c r="S152" s="908"/>
      <c r="T152" s="901"/>
      <c r="U152" s="902"/>
      <c r="V152" s="909"/>
      <c r="W152" s="909"/>
      <c r="X152" s="909"/>
      <c r="Y152" s="909"/>
      <c r="Z152" s="909"/>
      <c r="AA152" s="909"/>
      <c r="AB152" s="909"/>
      <c r="AC152" s="909"/>
      <c r="AD152" s="909"/>
    </row>
    <row r="153" s="141" customFormat="1" customHeight="1" spans="1:30">
      <c r="A153" s="900"/>
      <c r="B153" s="900"/>
      <c r="C153" s="900"/>
      <c r="D153" s="901"/>
      <c r="E153" s="901"/>
      <c r="F153" s="902"/>
      <c r="G153" s="902"/>
      <c r="H153" s="903"/>
      <c r="I153" s="900"/>
      <c r="J153" s="900"/>
      <c r="K153" s="902"/>
      <c r="L153" s="904"/>
      <c r="M153" s="904"/>
      <c r="N153" s="905"/>
      <c r="O153" s="905"/>
      <c r="P153" s="906"/>
      <c r="Q153" s="906"/>
      <c r="R153" s="907"/>
      <c r="S153" s="908"/>
      <c r="T153" s="901"/>
      <c r="U153" s="902"/>
      <c r="V153" s="909"/>
      <c r="W153" s="909"/>
      <c r="X153" s="909"/>
      <c r="Y153" s="909"/>
      <c r="Z153" s="909"/>
      <c r="AA153" s="909"/>
      <c r="AB153" s="909"/>
      <c r="AC153" s="909"/>
      <c r="AD153" s="909"/>
    </row>
    <row r="154" s="141" customFormat="1" customHeight="1" spans="1:30">
      <c r="A154" s="900"/>
      <c r="B154" s="900"/>
      <c r="C154" s="900"/>
      <c r="D154" s="901"/>
      <c r="E154" s="901"/>
      <c r="F154" s="902"/>
      <c r="G154" s="902"/>
      <c r="H154" s="903"/>
      <c r="I154" s="900"/>
      <c r="J154" s="900"/>
      <c r="K154" s="902"/>
      <c r="L154" s="904"/>
      <c r="M154" s="904"/>
      <c r="N154" s="905"/>
      <c r="O154" s="905"/>
      <c r="P154" s="906"/>
      <c r="Q154" s="906"/>
      <c r="R154" s="907"/>
      <c r="S154" s="908"/>
      <c r="T154" s="901"/>
      <c r="U154" s="902"/>
      <c r="V154" s="909"/>
      <c r="W154" s="909"/>
      <c r="X154" s="909"/>
      <c r="Y154" s="909"/>
      <c r="Z154" s="909"/>
      <c r="AA154" s="909"/>
      <c r="AB154" s="909"/>
      <c r="AC154" s="909"/>
      <c r="AD154" s="909"/>
    </row>
    <row r="155" s="141" customFormat="1" customHeight="1" spans="1:30">
      <c r="A155" s="900"/>
      <c r="B155" s="900"/>
      <c r="C155" s="900"/>
      <c r="D155" s="901"/>
      <c r="E155" s="901"/>
      <c r="F155" s="902"/>
      <c r="G155" s="902"/>
      <c r="H155" s="903"/>
      <c r="I155" s="900"/>
      <c r="J155" s="900"/>
      <c r="K155" s="902"/>
      <c r="L155" s="904"/>
      <c r="M155" s="904"/>
      <c r="N155" s="905"/>
      <c r="O155" s="905"/>
      <c r="P155" s="906"/>
      <c r="Q155" s="906"/>
      <c r="R155" s="907"/>
      <c r="S155" s="908"/>
      <c r="T155" s="901"/>
      <c r="U155" s="902"/>
      <c r="V155" s="909"/>
      <c r="W155" s="909"/>
      <c r="X155" s="909"/>
      <c r="Y155" s="909"/>
      <c r="Z155" s="909"/>
      <c r="AA155" s="909"/>
      <c r="AB155" s="909"/>
      <c r="AC155" s="909"/>
      <c r="AD155" s="909"/>
    </row>
    <row r="156" s="141" customFormat="1" customHeight="1" spans="1:30">
      <c r="A156" s="900"/>
      <c r="B156" s="900"/>
      <c r="C156" s="900"/>
      <c r="D156" s="901"/>
      <c r="E156" s="901"/>
      <c r="F156" s="902"/>
      <c r="G156" s="902"/>
      <c r="H156" s="903"/>
      <c r="I156" s="900"/>
      <c r="J156" s="900"/>
      <c r="K156" s="902"/>
      <c r="L156" s="904"/>
      <c r="M156" s="904"/>
      <c r="N156" s="905"/>
      <c r="O156" s="905"/>
      <c r="P156" s="906"/>
      <c r="Q156" s="906"/>
      <c r="R156" s="907"/>
      <c r="S156" s="908"/>
      <c r="T156" s="901"/>
      <c r="U156" s="902"/>
      <c r="V156" s="909"/>
      <c r="W156" s="909"/>
      <c r="X156" s="909"/>
      <c r="Y156" s="909"/>
      <c r="Z156" s="909"/>
      <c r="AA156" s="909"/>
      <c r="AB156" s="909"/>
      <c r="AC156" s="909"/>
      <c r="AD156" s="909"/>
    </row>
    <row r="157" s="141" customFormat="1" customHeight="1" spans="1:30">
      <c r="A157" s="900"/>
      <c r="B157" s="900"/>
      <c r="C157" s="900"/>
      <c r="D157" s="901"/>
      <c r="E157" s="901"/>
      <c r="F157" s="902"/>
      <c r="G157" s="902"/>
      <c r="H157" s="903"/>
      <c r="I157" s="900"/>
      <c r="J157" s="900"/>
      <c r="K157" s="902"/>
      <c r="L157" s="904"/>
      <c r="M157" s="904"/>
      <c r="N157" s="905"/>
      <c r="O157" s="905"/>
      <c r="P157" s="906"/>
      <c r="Q157" s="906"/>
      <c r="R157" s="907"/>
      <c r="S157" s="908"/>
      <c r="T157" s="901"/>
      <c r="U157" s="902"/>
      <c r="V157" s="909"/>
      <c r="W157" s="909"/>
      <c r="X157" s="909"/>
      <c r="Y157" s="909"/>
      <c r="Z157" s="909"/>
      <c r="AA157" s="909"/>
      <c r="AB157" s="909"/>
      <c r="AC157" s="909"/>
      <c r="AD157" s="909"/>
    </row>
    <row r="158" s="141" customFormat="1" customHeight="1" spans="1:30">
      <c r="A158" s="900"/>
      <c r="B158" s="900"/>
      <c r="C158" s="900"/>
      <c r="D158" s="901"/>
      <c r="E158" s="901"/>
      <c r="F158" s="902"/>
      <c r="G158" s="902"/>
      <c r="H158" s="903"/>
      <c r="I158" s="900"/>
      <c r="J158" s="900"/>
      <c r="K158" s="902"/>
      <c r="L158" s="904"/>
      <c r="M158" s="904"/>
      <c r="N158" s="905"/>
      <c r="O158" s="905"/>
      <c r="P158" s="906"/>
      <c r="Q158" s="906"/>
      <c r="R158" s="907"/>
      <c r="S158" s="908"/>
      <c r="T158" s="901"/>
      <c r="U158" s="902"/>
      <c r="V158" s="909"/>
      <c r="W158" s="909"/>
      <c r="X158" s="909"/>
      <c r="Y158" s="909"/>
      <c r="Z158" s="909"/>
      <c r="AA158" s="909"/>
      <c r="AB158" s="909"/>
      <c r="AC158" s="909"/>
      <c r="AD158" s="909"/>
    </row>
    <row r="159" s="141" customFormat="1" customHeight="1" spans="1:30">
      <c r="A159" s="900"/>
      <c r="B159" s="900"/>
      <c r="C159" s="900"/>
      <c r="D159" s="901"/>
      <c r="E159" s="901"/>
      <c r="F159" s="902"/>
      <c r="G159" s="902"/>
      <c r="H159" s="903"/>
      <c r="I159" s="900"/>
      <c r="J159" s="900"/>
      <c r="K159" s="902"/>
      <c r="L159" s="904"/>
      <c r="M159" s="904"/>
      <c r="N159" s="905"/>
      <c r="O159" s="905"/>
      <c r="P159" s="906"/>
      <c r="Q159" s="906"/>
      <c r="R159" s="907"/>
      <c r="S159" s="908"/>
      <c r="T159" s="901"/>
      <c r="U159" s="902"/>
      <c r="V159" s="909"/>
      <c r="W159" s="909"/>
      <c r="X159" s="909"/>
      <c r="Y159" s="909"/>
      <c r="Z159" s="909"/>
      <c r="AA159" s="909"/>
      <c r="AB159" s="909"/>
      <c r="AC159" s="909"/>
      <c r="AD159" s="909"/>
    </row>
    <row r="160" s="141" customFormat="1" customHeight="1" spans="1:30">
      <c r="A160" s="900"/>
      <c r="B160" s="900"/>
      <c r="C160" s="900"/>
      <c r="D160" s="901"/>
      <c r="E160" s="901"/>
      <c r="F160" s="902"/>
      <c r="G160" s="902"/>
      <c r="H160" s="903"/>
      <c r="I160" s="900"/>
      <c r="J160" s="900"/>
      <c r="K160" s="902"/>
      <c r="L160" s="904"/>
      <c r="M160" s="904"/>
      <c r="N160" s="905"/>
      <c r="O160" s="905"/>
      <c r="P160" s="906"/>
      <c r="Q160" s="906"/>
      <c r="R160" s="907"/>
      <c r="S160" s="908"/>
      <c r="T160" s="901"/>
      <c r="U160" s="902"/>
      <c r="V160" s="909"/>
      <c r="W160" s="909"/>
      <c r="X160" s="909"/>
      <c r="Y160" s="909"/>
      <c r="Z160" s="909"/>
      <c r="AA160" s="909"/>
      <c r="AB160" s="909"/>
      <c r="AC160" s="909"/>
      <c r="AD160" s="909"/>
    </row>
    <row r="161" s="141" customFormat="1" customHeight="1" spans="1:30">
      <c r="A161" s="900"/>
      <c r="B161" s="900"/>
      <c r="C161" s="900"/>
      <c r="D161" s="901"/>
      <c r="E161" s="901"/>
      <c r="F161" s="902"/>
      <c r="G161" s="902"/>
      <c r="H161" s="903"/>
      <c r="I161" s="900"/>
      <c r="J161" s="900"/>
      <c r="K161" s="902"/>
      <c r="L161" s="904"/>
      <c r="M161" s="904"/>
      <c r="N161" s="905"/>
      <c r="O161" s="905"/>
      <c r="P161" s="906"/>
      <c r="Q161" s="906"/>
      <c r="R161" s="907"/>
      <c r="S161" s="908"/>
      <c r="T161" s="901"/>
      <c r="U161" s="902"/>
      <c r="V161" s="909"/>
      <c r="W161" s="909"/>
      <c r="X161" s="909"/>
      <c r="Y161" s="909"/>
      <c r="Z161" s="909"/>
      <c r="AA161" s="909"/>
      <c r="AB161" s="909"/>
      <c r="AC161" s="909"/>
      <c r="AD161" s="909"/>
    </row>
    <row r="162" s="141" customFormat="1" customHeight="1" spans="1:30">
      <c r="A162" s="900"/>
      <c r="B162" s="900"/>
      <c r="C162" s="900"/>
      <c r="D162" s="901"/>
      <c r="E162" s="901"/>
      <c r="F162" s="902"/>
      <c r="G162" s="902"/>
      <c r="H162" s="903"/>
      <c r="I162" s="900"/>
      <c r="J162" s="900"/>
      <c r="K162" s="902"/>
      <c r="L162" s="904"/>
      <c r="M162" s="904"/>
      <c r="N162" s="905"/>
      <c r="O162" s="905"/>
      <c r="P162" s="906"/>
      <c r="Q162" s="906"/>
      <c r="R162" s="907"/>
      <c r="S162" s="908"/>
      <c r="T162" s="901"/>
      <c r="U162" s="902"/>
      <c r="V162" s="909"/>
      <c r="W162" s="909"/>
      <c r="X162" s="909"/>
      <c r="Y162" s="909"/>
      <c r="Z162" s="909"/>
      <c r="AA162" s="909"/>
      <c r="AB162" s="909"/>
      <c r="AC162" s="909"/>
      <c r="AD162" s="909"/>
    </row>
    <row r="163" s="141" customFormat="1" customHeight="1" spans="1:30">
      <c r="A163" s="900"/>
      <c r="B163" s="900"/>
      <c r="C163" s="900"/>
      <c r="D163" s="901"/>
      <c r="E163" s="901"/>
      <c r="F163" s="902"/>
      <c r="G163" s="902"/>
      <c r="H163" s="903"/>
      <c r="I163" s="900"/>
      <c r="J163" s="900"/>
      <c r="K163" s="902"/>
      <c r="L163" s="904"/>
      <c r="M163" s="904"/>
      <c r="N163" s="905"/>
      <c r="O163" s="905"/>
      <c r="P163" s="906"/>
      <c r="Q163" s="906"/>
      <c r="R163" s="907"/>
      <c r="S163" s="908"/>
      <c r="T163" s="901"/>
      <c r="U163" s="902"/>
      <c r="V163" s="909"/>
      <c r="W163" s="909"/>
      <c r="X163" s="909"/>
      <c r="Y163" s="909"/>
      <c r="Z163" s="909"/>
      <c r="AA163" s="909"/>
      <c r="AB163" s="909"/>
      <c r="AC163" s="909"/>
      <c r="AD163" s="909"/>
    </row>
    <row r="164" s="141" customFormat="1" customHeight="1" spans="1:30">
      <c r="A164" s="900"/>
      <c r="B164" s="900"/>
      <c r="C164" s="900"/>
      <c r="D164" s="901"/>
      <c r="E164" s="901"/>
      <c r="F164" s="902"/>
      <c r="G164" s="902"/>
      <c r="H164" s="903"/>
      <c r="I164" s="900"/>
      <c r="J164" s="900"/>
      <c r="K164" s="902"/>
      <c r="L164" s="904"/>
      <c r="M164" s="904"/>
      <c r="N164" s="905"/>
      <c r="O164" s="905"/>
      <c r="P164" s="906"/>
      <c r="Q164" s="906"/>
      <c r="R164" s="907"/>
      <c r="S164" s="908"/>
      <c r="T164" s="901"/>
      <c r="U164" s="902"/>
      <c r="V164" s="909"/>
      <c r="W164" s="909"/>
      <c r="X164" s="909"/>
      <c r="Y164" s="909"/>
      <c r="Z164" s="909"/>
      <c r="AA164" s="909"/>
      <c r="AB164" s="909"/>
      <c r="AC164" s="909"/>
      <c r="AD164" s="909"/>
    </row>
    <row r="165" s="141" customFormat="1" customHeight="1" spans="1:30">
      <c r="A165" s="900"/>
      <c r="B165" s="900"/>
      <c r="C165" s="900"/>
      <c r="D165" s="901"/>
      <c r="E165" s="901"/>
      <c r="F165" s="902"/>
      <c r="G165" s="902"/>
      <c r="H165" s="903"/>
      <c r="I165" s="900"/>
      <c r="J165" s="900"/>
      <c r="K165" s="902"/>
      <c r="L165" s="904"/>
      <c r="M165" s="904"/>
      <c r="N165" s="905"/>
      <c r="O165" s="905"/>
      <c r="P165" s="906"/>
      <c r="Q165" s="906"/>
      <c r="R165" s="907"/>
      <c r="S165" s="908"/>
      <c r="T165" s="901"/>
      <c r="U165" s="902"/>
      <c r="V165" s="909"/>
      <c r="W165" s="909"/>
      <c r="X165" s="909"/>
      <c r="Y165" s="909"/>
      <c r="Z165" s="909"/>
      <c r="AA165" s="909"/>
      <c r="AB165" s="909"/>
      <c r="AC165" s="909"/>
      <c r="AD165" s="909"/>
    </row>
    <row r="166" s="141" customFormat="1" customHeight="1" spans="1:30">
      <c r="A166" s="900"/>
      <c r="B166" s="900"/>
      <c r="C166" s="900"/>
      <c r="D166" s="901"/>
      <c r="E166" s="901"/>
      <c r="F166" s="902"/>
      <c r="G166" s="902"/>
      <c r="H166" s="903"/>
      <c r="I166" s="900"/>
      <c r="J166" s="900"/>
      <c r="K166" s="902"/>
      <c r="L166" s="904"/>
      <c r="M166" s="904"/>
      <c r="N166" s="905"/>
      <c r="O166" s="905"/>
      <c r="P166" s="906"/>
      <c r="Q166" s="906"/>
      <c r="R166" s="907"/>
      <c r="S166" s="908"/>
      <c r="T166" s="901"/>
      <c r="U166" s="902"/>
      <c r="V166" s="909"/>
      <c r="W166" s="909"/>
      <c r="X166" s="909"/>
      <c r="Y166" s="909"/>
      <c r="Z166" s="909"/>
      <c r="AA166" s="909"/>
      <c r="AB166" s="909"/>
      <c r="AC166" s="909"/>
      <c r="AD166" s="909"/>
    </row>
    <row r="167" s="141" customFormat="1" customHeight="1" spans="1:30">
      <c r="A167" s="900"/>
      <c r="B167" s="900"/>
      <c r="C167" s="900"/>
      <c r="D167" s="901"/>
      <c r="E167" s="901"/>
      <c r="F167" s="902"/>
      <c r="G167" s="902"/>
      <c r="H167" s="903"/>
      <c r="I167" s="900"/>
      <c r="J167" s="900"/>
      <c r="K167" s="902"/>
      <c r="L167" s="904"/>
      <c r="M167" s="904"/>
      <c r="N167" s="905"/>
      <c r="O167" s="905"/>
      <c r="P167" s="906"/>
      <c r="Q167" s="906"/>
      <c r="R167" s="907"/>
      <c r="S167" s="908"/>
      <c r="T167" s="901"/>
      <c r="U167" s="902"/>
      <c r="V167" s="909"/>
      <c r="W167" s="909"/>
      <c r="X167" s="909"/>
      <c r="Y167" s="909"/>
      <c r="Z167" s="909"/>
      <c r="AA167" s="909"/>
      <c r="AB167" s="909"/>
      <c r="AC167" s="909"/>
      <c r="AD167" s="909"/>
    </row>
    <row r="168" s="141" customFormat="1" customHeight="1" spans="1:30">
      <c r="A168" s="900"/>
      <c r="B168" s="900"/>
      <c r="C168" s="900"/>
      <c r="D168" s="901"/>
      <c r="E168" s="901"/>
      <c r="F168" s="902"/>
      <c r="G168" s="902"/>
      <c r="H168" s="903"/>
      <c r="I168" s="900"/>
      <c r="J168" s="900"/>
      <c r="K168" s="902"/>
      <c r="L168" s="904"/>
      <c r="M168" s="904"/>
      <c r="N168" s="905"/>
      <c r="O168" s="905"/>
      <c r="P168" s="906"/>
      <c r="Q168" s="906"/>
      <c r="R168" s="907"/>
      <c r="S168" s="908"/>
      <c r="T168" s="901"/>
      <c r="U168" s="902"/>
      <c r="V168" s="909"/>
      <c r="W168" s="909"/>
      <c r="X168" s="909"/>
      <c r="Y168" s="909"/>
      <c r="Z168" s="909"/>
      <c r="AA168" s="909"/>
      <c r="AB168" s="909"/>
      <c r="AC168" s="909"/>
      <c r="AD168" s="909"/>
    </row>
    <row r="169" s="141" customFormat="1" customHeight="1" spans="1:30">
      <c r="A169" s="900"/>
      <c r="B169" s="900"/>
      <c r="C169" s="900"/>
      <c r="D169" s="901"/>
      <c r="E169" s="901"/>
      <c r="F169" s="902"/>
      <c r="G169" s="902"/>
      <c r="H169" s="903"/>
      <c r="I169" s="900"/>
      <c r="J169" s="900"/>
      <c r="K169" s="902"/>
      <c r="L169" s="904"/>
      <c r="M169" s="904"/>
      <c r="N169" s="905"/>
      <c r="O169" s="905"/>
      <c r="P169" s="906"/>
      <c r="Q169" s="906"/>
      <c r="R169" s="907"/>
      <c r="S169" s="908"/>
      <c r="T169" s="901"/>
      <c r="U169" s="902"/>
      <c r="V169" s="909"/>
      <c r="W169" s="909"/>
      <c r="X169" s="909"/>
      <c r="Y169" s="909"/>
      <c r="Z169" s="909"/>
      <c r="AA169" s="909"/>
      <c r="AB169" s="909"/>
      <c r="AC169" s="909"/>
      <c r="AD169" s="909"/>
    </row>
    <row r="170" s="141" customFormat="1" customHeight="1" spans="1:30">
      <c r="A170" s="900"/>
      <c r="B170" s="900"/>
      <c r="C170" s="900"/>
      <c r="D170" s="901"/>
      <c r="E170" s="901"/>
      <c r="F170" s="902"/>
      <c r="G170" s="902"/>
      <c r="H170" s="903"/>
      <c r="I170" s="900"/>
      <c r="J170" s="900"/>
      <c r="K170" s="902"/>
      <c r="L170" s="904"/>
      <c r="M170" s="904"/>
      <c r="N170" s="905"/>
      <c r="O170" s="905"/>
      <c r="P170" s="906"/>
      <c r="Q170" s="906"/>
      <c r="R170" s="907"/>
      <c r="S170" s="908"/>
      <c r="T170" s="901"/>
      <c r="U170" s="902"/>
      <c r="V170" s="909"/>
      <c r="W170" s="909"/>
      <c r="X170" s="909"/>
      <c r="Y170" s="909"/>
      <c r="Z170" s="909"/>
      <c r="AA170" s="909"/>
      <c r="AB170" s="909"/>
      <c r="AC170" s="909"/>
      <c r="AD170" s="909"/>
    </row>
    <row r="171" s="141" customFormat="1" customHeight="1" spans="1:30">
      <c r="A171" s="900"/>
      <c r="B171" s="900"/>
      <c r="C171" s="900"/>
      <c r="D171" s="901"/>
      <c r="E171" s="901"/>
      <c r="F171" s="902"/>
      <c r="G171" s="902"/>
      <c r="H171" s="903"/>
      <c r="I171" s="900"/>
      <c r="J171" s="900"/>
      <c r="K171" s="902"/>
      <c r="L171" s="904"/>
      <c r="M171" s="904"/>
      <c r="N171" s="905"/>
      <c r="O171" s="905"/>
      <c r="P171" s="906"/>
      <c r="Q171" s="906"/>
      <c r="R171" s="907"/>
      <c r="S171" s="908"/>
      <c r="T171" s="901"/>
      <c r="U171" s="902"/>
      <c r="V171" s="909"/>
      <c r="W171" s="909"/>
      <c r="X171" s="909"/>
      <c r="Y171" s="909"/>
      <c r="Z171" s="909"/>
      <c r="AA171" s="909"/>
      <c r="AB171" s="909"/>
      <c r="AC171" s="909"/>
      <c r="AD171" s="909"/>
    </row>
    <row r="172" s="141" customFormat="1" customHeight="1" spans="1:30">
      <c r="A172" s="900"/>
      <c r="B172" s="900"/>
      <c r="C172" s="900"/>
      <c r="D172" s="901"/>
      <c r="E172" s="901"/>
      <c r="F172" s="902"/>
      <c r="G172" s="902"/>
      <c r="H172" s="903"/>
      <c r="I172" s="900"/>
      <c r="J172" s="900"/>
      <c r="K172" s="902"/>
      <c r="L172" s="904"/>
      <c r="M172" s="904"/>
      <c r="N172" s="905"/>
      <c r="O172" s="905"/>
      <c r="P172" s="906"/>
      <c r="Q172" s="906"/>
      <c r="R172" s="907"/>
      <c r="S172" s="908"/>
      <c r="T172" s="901"/>
      <c r="U172" s="902"/>
      <c r="V172" s="909"/>
      <c r="W172" s="909"/>
      <c r="X172" s="909"/>
      <c r="Y172" s="909"/>
      <c r="Z172" s="909"/>
      <c r="AA172" s="909"/>
      <c r="AB172" s="909"/>
      <c r="AC172" s="909"/>
      <c r="AD172" s="909"/>
    </row>
    <row r="173" s="141" customFormat="1" customHeight="1" spans="1:30">
      <c r="A173" s="900"/>
      <c r="B173" s="900"/>
      <c r="C173" s="900"/>
      <c r="D173" s="901"/>
      <c r="E173" s="901"/>
      <c r="F173" s="902"/>
      <c r="G173" s="902"/>
      <c r="H173" s="903"/>
      <c r="I173" s="900"/>
      <c r="J173" s="900"/>
      <c r="K173" s="902"/>
      <c r="L173" s="904"/>
      <c r="M173" s="904"/>
      <c r="N173" s="905"/>
      <c r="O173" s="905"/>
      <c r="P173" s="906"/>
      <c r="Q173" s="906"/>
      <c r="R173" s="907"/>
      <c r="S173" s="908"/>
      <c r="T173" s="901"/>
      <c r="U173" s="902"/>
      <c r="V173" s="909"/>
      <c r="W173" s="909"/>
      <c r="X173" s="909"/>
      <c r="Y173" s="909"/>
      <c r="Z173" s="909"/>
      <c r="AA173" s="909"/>
      <c r="AB173" s="909"/>
      <c r="AC173" s="909"/>
      <c r="AD173" s="909"/>
    </row>
    <row r="174" s="141" customFormat="1" customHeight="1" spans="1:30">
      <c r="A174" s="900"/>
      <c r="B174" s="900"/>
      <c r="C174" s="900"/>
      <c r="D174" s="901"/>
      <c r="E174" s="901"/>
      <c r="F174" s="902"/>
      <c r="G174" s="902"/>
      <c r="H174" s="903"/>
      <c r="I174" s="900"/>
      <c r="J174" s="900"/>
      <c r="K174" s="902"/>
      <c r="L174" s="904"/>
      <c r="M174" s="904"/>
      <c r="N174" s="905"/>
      <c r="O174" s="905"/>
      <c r="P174" s="906"/>
      <c r="Q174" s="906"/>
      <c r="R174" s="907"/>
      <c r="S174" s="908"/>
      <c r="T174" s="901"/>
      <c r="U174" s="902"/>
      <c r="V174" s="909"/>
      <c r="W174" s="909"/>
      <c r="X174" s="909"/>
      <c r="Y174" s="909"/>
      <c r="Z174" s="909"/>
      <c r="AA174" s="909"/>
      <c r="AB174" s="909"/>
      <c r="AC174" s="909"/>
      <c r="AD174" s="909"/>
    </row>
    <row r="175" s="141" customFormat="1" customHeight="1" spans="1:30">
      <c r="A175" s="900"/>
      <c r="B175" s="900"/>
      <c r="C175" s="900"/>
      <c r="D175" s="901"/>
      <c r="E175" s="901"/>
      <c r="F175" s="902"/>
      <c r="G175" s="902"/>
      <c r="H175" s="903"/>
      <c r="I175" s="900"/>
      <c r="J175" s="900"/>
      <c r="K175" s="902"/>
      <c r="L175" s="904"/>
      <c r="M175" s="904"/>
      <c r="N175" s="905"/>
      <c r="O175" s="905"/>
      <c r="P175" s="906"/>
      <c r="Q175" s="906"/>
      <c r="R175" s="907"/>
      <c r="S175" s="908"/>
      <c r="T175" s="901"/>
      <c r="U175" s="902"/>
      <c r="V175" s="909"/>
      <c r="W175" s="909"/>
      <c r="X175" s="909"/>
      <c r="Y175" s="909"/>
      <c r="Z175" s="909"/>
      <c r="AA175" s="909"/>
      <c r="AB175" s="909"/>
      <c r="AC175" s="909"/>
      <c r="AD175" s="909"/>
    </row>
    <row r="176" s="141" customFormat="1" customHeight="1" spans="1:30">
      <c r="A176" s="900"/>
      <c r="B176" s="900"/>
      <c r="C176" s="900"/>
      <c r="D176" s="901"/>
      <c r="E176" s="901"/>
      <c r="F176" s="902"/>
      <c r="G176" s="902"/>
      <c r="H176" s="903"/>
      <c r="I176" s="900"/>
      <c r="J176" s="900"/>
      <c r="K176" s="902"/>
      <c r="L176" s="904"/>
      <c r="M176" s="904"/>
      <c r="N176" s="905"/>
      <c r="O176" s="905"/>
      <c r="P176" s="906"/>
      <c r="Q176" s="906"/>
      <c r="R176" s="907"/>
      <c r="S176" s="908"/>
      <c r="T176" s="901"/>
      <c r="U176" s="902"/>
      <c r="V176" s="909"/>
      <c r="W176" s="909"/>
      <c r="X176" s="909"/>
      <c r="Y176" s="909"/>
      <c r="Z176" s="909"/>
      <c r="AA176" s="909"/>
      <c r="AB176" s="909"/>
      <c r="AC176" s="909"/>
      <c r="AD176" s="909"/>
    </row>
    <row r="177" s="141" customFormat="1" customHeight="1" spans="1:30">
      <c r="A177" s="900"/>
      <c r="B177" s="900"/>
      <c r="C177" s="900"/>
      <c r="D177" s="901"/>
      <c r="E177" s="901"/>
      <c r="F177" s="902"/>
      <c r="G177" s="902"/>
      <c r="H177" s="903"/>
      <c r="I177" s="900"/>
      <c r="J177" s="900"/>
      <c r="K177" s="902"/>
      <c r="L177" s="904"/>
      <c r="M177" s="904"/>
      <c r="N177" s="905"/>
      <c r="O177" s="905"/>
      <c r="P177" s="906"/>
      <c r="Q177" s="906"/>
      <c r="R177" s="907"/>
      <c r="S177" s="908"/>
      <c r="T177" s="901"/>
      <c r="U177" s="902"/>
      <c r="V177" s="909"/>
      <c r="W177" s="909"/>
      <c r="X177" s="909"/>
      <c r="Y177" s="909"/>
      <c r="Z177" s="909"/>
      <c r="AA177" s="909"/>
      <c r="AB177" s="909"/>
      <c r="AC177" s="909"/>
      <c r="AD177" s="909"/>
    </row>
    <row r="178" s="141" customFormat="1" customHeight="1" spans="1:30">
      <c r="A178" s="900"/>
      <c r="B178" s="900"/>
      <c r="C178" s="900"/>
      <c r="D178" s="901"/>
      <c r="E178" s="901"/>
      <c r="F178" s="902"/>
      <c r="G178" s="902"/>
      <c r="H178" s="903"/>
      <c r="I178" s="900"/>
      <c r="J178" s="900"/>
      <c r="K178" s="902"/>
      <c r="L178" s="904"/>
      <c r="M178" s="904"/>
      <c r="N178" s="905"/>
      <c r="O178" s="905"/>
      <c r="P178" s="906"/>
      <c r="Q178" s="906"/>
      <c r="R178" s="907"/>
      <c r="S178" s="908"/>
      <c r="T178" s="901"/>
      <c r="U178" s="902"/>
      <c r="V178" s="909"/>
      <c r="W178" s="909"/>
      <c r="X178" s="909"/>
      <c r="Y178" s="909"/>
      <c r="Z178" s="909"/>
      <c r="AA178" s="909"/>
      <c r="AB178" s="909"/>
      <c r="AC178" s="909"/>
      <c r="AD178" s="909"/>
    </row>
    <row r="179" s="141" customFormat="1" customHeight="1" spans="1:30">
      <c r="A179" s="900"/>
      <c r="B179" s="900"/>
      <c r="C179" s="900"/>
      <c r="D179" s="901"/>
      <c r="E179" s="901"/>
      <c r="F179" s="902"/>
      <c r="G179" s="902"/>
      <c r="H179" s="903"/>
      <c r="I179" s="900"/>
      <c r="J179" s="900"/>
      <c r="K179" s="902"/>
      <c r="L179" s="904"/>
      <c r="M179" s="904"/>
      <c r="N179" s="905"/>
      <c r="O179" s="905"/>
      <c r="P179" s="906"/>
      <c r="Q179" s="906"/>
      <c r="R179" s="907"/>
      <c r="S179" s="908"/>
      <c r="T179" s="901"/>
      <c r="U179" s="902"/>
      <c r="V179" s="909"/>
      <c r="W179" s="909"/>
      <c r="X179" s="909"/>
      <c r="Y179" s="909"/>
      <c r="Z179" s="909"/>
      <c r="AA179" s="909"/>
      <c r="AB179" s="909"/>
      <c r="AC179" s="909"/>
      <c r="AD179" s="909"/>
    </row>
    <row r="180" s="141" customFormat="1" customHeight="1" spans="1:30">
      <c r="A180" s="900"/>
      <c r="B180" s="900"/>
      <c r="C180" s="900"/>
      <c r="D180" s="901"/>
      <c r="E180" s="901"/>
      <c r="F180" s="902"/>
      <c r="G180" s="902"/>
      <c r="H180" s="903"/>
      <c r="I180" s="900"/>
      <c r="J180" s="900"/>
      <c r="K180" s="902"/>
      <c r="L180" s="904"/>
      <c r="M180" s="904"/>
      <c r="N180" s="905"/>
      <c r="O180" s="905"/>
      <c r="P180" s="906"/>
      <c r="Q180" s="906"/>
      <c r="R180" s="907"/>
      <c r="S180" s="908"/>
      <c r="T180" s="901"/>
      <c r="U180" s="902"/>
      <c r="V180" s="909"/>
      <c r="W180" s="909"/>
      <c r="X180" s="909"/>
      <c r="Y180" s="909"/>
      <c r="Z180" s="909"/>
      <c r="AA180" s="909"/>
      <c r="AB180" s="909"/>
      <c r="AC180" s="909"/>
      <c r="AD180" s="909"/>
    </row>
    <row r="181" s="141" customFormat="1" customHeight="1" spans="1:30">
      <c r="A181" s="900"/>
      <c r="B181" s="900"/>
      <c r="C181" s="900"/>
      <c r="D181" s="901"/>
      <c r="E181" s="901"/>
      <c r="F181" s="902"/>
      <c r="G181" s="902"/>
      <c r="H181" s="903"/>
      <c r="I181" s="900"/>
      <c r="J181" s="900"/>
      <c r="K181" s="902"/>
      <c r="L181" s="904"/>
      <c r="M181" s="904"/>
      <c r="N181" s="905"/>
      <c r="O181" s="905"/>
      <c r="P181" s="906"/>
      <c r="Q181" s="906"/>
      <c r="R181" s="907"/>
      <c r="S181" s="908"/>
      <c r="T181" s="901"/>
      <c r="U181" s="902"/>
      <c r="V181" s="909"/>
      <c r="W181" s="909"/>
      <c r="X181" s="909"/>
      <c r="Y181" s="909"/>
      <c r="Z181" s="909"/>
      <c r="AA181" s="909"/>
      <c r="AB181" s="909"/>
      <c r="AC181" s="909"/>
      <c r="AD181" s="909"/>
    </row>
    <row r="182" s="141" customFormat="1" customHeight="1" spans="1:30">
      <c r="A182" s="900"/>
      <c r="B182" s="900"/>
      <c r="C182" s="900"/>
      <c r="D182" s="901"/>
      <c r="E182" s="901"/>
      <c r="F182" s="902"/>
      <c r="G182" s="902"/>
      <c r="H182" s="903"/>
      <c r="I182" s="900"/>
      <c r="J182" s="900"/>
      <c r="K182" s="902"/>
      <c r="L182" s="904"/>
      <c r="M182" s="904"/>
      <c r="N182" s="905"/>
      <c r="O182" s="905"/>
      <c r="P182" s="906"/>
      <c r="Q182" s="906"/>
      <c r="R182" s="907"/>
      <c r="S182" s="908"/>
      <c r="T182" s="901"/>
      <c r="U182" s="902"/>
      <c r="V182" s="909"/>
      <c r="W182" s="909"/>
      <c r="X182" s="909"/>
      <c r="Y182" s="909"/>
      <c r="Z182" s="909"/>
      <c r="AA182" s="909"/>
      <c r="AB182" s="909"/>
      <c r="AC182" s="909"/>
      <c r="AD182" s="909"/>
    </row>
    <row r="183" s="141" customFormat="1" customHeight="1" spans="1:30">
      <c r="A183" s="900"/>
      <c r="B183" s="900"/>
      <c r="C183" s="900"/>
      <c r="D183" s="901"/>
      <c r="E183" s="901"/>
      <c r="F183" s="902"/>
      <c r="G183" s="902"/>
      <c r="H183" s="903"/>
      <c r="I183" s="900"/>
      <c r="J183" s="900"/>
      <c r="K183" s="902"/>
      <c r="L183" s="904"/>
      <c r="M183" s="904"/>
      <c r="N183" s="905"/>
      <c r="O183" s="905"/>
      <c r="P183" s="906"/>
      <c r="Q183" s="906"/>
      <c r="R183" s="907"/>
      <c r="S183" s="908"/>
      <c r="T183" s="901"/>
      <c r="U183" s="902"/>
      <c r="V183" s="909"/>
      <c r="W183" s="909"/>
      <c r="X183" s="909"/>
      <c r="Y183" s="909"/>
      <c r="Z183" s="909"/>
      <c r="AA183" s="909"/>
      <c r="AB183" s="909"/>
      <c r="AC183" s="909"/>
      <c r="AD183" s="909"/>
    </row>
    <row r="184" s="141" customFormat="1" customHeight="1" spans="1:30">
      <c r="A184" s="900"/>
      <c r="B184" s="900"/>
      <c r="C184" s="900"/>
      <c r="D184" s="901"/>
      <c r="E184" s="901"/>
      <c r="F184" s="902"/>
      <c r="G184" s="902"/>
      <c r="H184" s="903"/>
      <c r="I184" s="900"/>
      <c r="J184" s="900"/>
      <c r="K184" s="902"/>
      <c r="L184" s="904"/>
      <c r="M184" s="904"/>
      <c r="N184" s="905"/>
      <c r="O184" s="905"/>
      <c r="P184" s="906"/>
      <c r="Q184" s="906"/>
      <c r="R184" s="907"/>
      <c r="S184" s="908"/>
      <c r="T184" s="901"/>
      <c r="U184" s="902"/>
      <c r="V184" s="909"/>
      <c r="W184" s="909"/>
      <c r="X184" s="909"/>
      <c r="Y184" s="909"/>
      <c r="Z184" s="909"/>
      <c r="AA184" s="909"/>
      <c r="AB184" s="909"/>
      <c r="AC184" s="909"/>
      <c r="AD184" s="909"/>
    </row>
    <row r="185" s="141" customFormat="1" customHeight="1" spans="1:30">
      <c r="A185" s="900"/>
      <c r="B185" s="900"/>
      <c r="C185" s="900"/>
      <c r="D185" s="901"/>
      <c r="E185" s="901"/>
      <c r="F185" s="902"/>
      <c r="G185" s="902"/>
      <c r="H185" s="903"/>
      <c r="I185" s="900"/>
      <c r="J185" s="900"/>
      <c r="K185" s="902"/>
      <c r="L185" s="904"/>
      <c r="M185" s="904"/>
      <c r="N185" s="905"/>
      <c r="O185" s="905"/>
      <c r="P185" s="906"/>
      <c r="Q185" s="906"/>
      <c r="R185" s="907"/>
      <c r="S185" s="908"/>
      <c r="T185" s="901"/>
      <c r="U185" s="902"/>
      <c r="V185" s="909"/>
      <c r="W185" s="909"/>
      <c r="X185" s="909"/>
      <c r="Y185" s="909"/>
      <c r="Z185" s="909"/>
      <c r="AA185" s="909"/>
      <c r="AB185" s="909"/>
      <c r="AC185" s="909"/>
      <c r="AD185" s="909"/>
    </row>
    <row r="186" s="141" customFormat="1" customHeight="1" spans="1:30">
      <c r="A186" s="900"/>
      <c r="B186" s="900"/>
      <c r="C186" s="900"/>
      <c r="D186" s="901"/>
      <c r="E186" s="901"/>
      <c r="F186" s="902"/>
      <c r="G186" s="902"/>
      <c r="H186" s="903"/>
      <c r="I186" s="900"/>
      <c r="J186" s="900"/>
      <c r="K186" s="902"/>
      <c r="L186" s="904"/>
      <c r="M186" s="904"/>
      <c r="N186" s="905"/>
      <c r="O186" s="905"/>
      <c r="P186" s="906"/>
      <c r="Q186" s="906"/>
      <c r="R186" s="907"/>
      <c r="S186" s="908"/>
      <c r="T186" s="901"/>
      <c r="U186" s="902"/>
      <c r="V186" s="909"/>
      <c r="W186" s="909"/>
      <c r="X186" s="909"/>
      <c r="Y186" s="909"/>
      <c r="Z186" s="909"/>
      <c r="AA186" s="909"/>
      <c r="AB186" s="909"/>
      <c r="AC186" s="909"/>
      <c r="AD186" s="909"/>
    </row>
    <row r="187" s="141" customFormat="1" customHeight="1" spans="1:30">
      <c r="A187" s="900"/>
      <c r="B187" s="900"/>
      <c r="C187" s="900"/>
      <c r="D187" s="901"/>
      <c r="E187" s="901"/>
      <c r="F187" s="902"/>
      <c r="G187" s="902"/>
      <c r="H187" s="903"/>
      <c r="I187" s="900"/>
      <c r="J187" s="900"/>
      <c r="K187" s="902"/>
      <c r="L187" s="904"/>
      <c r="M187" s="904"/>
      <c r="N187" s="905"/>
      <c r="O187" s="905"/>
      <c r="P187" s="906"/>
      <c r="Q187" s="906"/>
      <c r="R187" s="907"/>
      <c r="S187" s="908"/>
      <c r="T187" s="901"/>
      <c r="U187" s="902"/>
      <c r="V187" s="909"/>
      <c r="W187" s="909"/>
      <c r="X187" s="909"/>
      <c r="Y187" s="909"/>
      <c r="Z187" s="909"/>
      <c r="AA187" s="909"/>
      <c r="AB187" s="909"/>
      <c r="AC187" s="909"/>
      <c r="AD187" s="909"/>
    </row>
    <row r="188" s="141" customFormat="1" customHeight="1" spans="1:30">
      <c r="A188" s="900"/>
      <c r="B188" s="900"/>
      <c r="C188" s="900"/>
      <c r="D188" s="901"/>
      <c r="E188" s="901"/>
      <c r="F188" s="902"/>
      <c r="G188" s="902"/>
      <c r="H188" s="903"/>
      <c r="I188" s="900"/>
      <c r="J188" s="900"/>
      <c r="K188" s="902"/>
      <c r="L188" s="904"/>
      <c r="M188" s="904"/>
      <c r="N188" s="905"/>
      <c r="O188" s="905"/>
      <c r="P188" s="906"/>
      <c r="Q188" s="906"/>
      <c r="R188" s="907"/>
      <c r="S188" s="908"/>
      <c r="T188" s="901"/>
      <c r="U188" s="902"/>
      <c r="V188" s="909"/>
      <c r="W188" s="909"/>
      <c r="X188" s="909"/>
      <c r="Y188" s="909"/>
      <c r="Z188" s="909"/>
      <c r="AA188" s="909"/>
      <c r="AB188" s="909"/>
      <c r="AC188" s="909"/>
      <c r="AD188" s="909"/>
    </row>
    <row r="189" s="141" customFormat="1" customHeight="1" spans="1:30">
      <c r="A189" s="900"/>
      <c r="B189" s="900"/>
      <c r="C189" s="900"/>
      <c r="D189" s="901"/>
      <c r="E189" s="901"/>
      <c r="F189" s="902"/>
      <c r="G189" s="902"/>
      <c r="H189" s="903"/>
      <c r="I189" s="900"/>
      <c r="J189" s="900"/>
      <c r="K189" s="902"/>
      <c r="L189" s="904"/>
      <c r="M189" s="904"/>
      <c r="N189" s="905"/>
      <c r="O189" s="905"/>
      <c r="P189" s="906"/>
      <c r="Q189" s="906"/>
      <c r="R189" s="907"/>
      <c r="S189" s="908"/>
      <c r="T189" s="901"/>
      <c r="U189" s="902"/>
      <c r="V189" s="909"/>
      <c r="W189" s="909"/>
      <c r="X189" s="909"/>
      <c r="Y189" s="909"/>
      <c r="Z189" s="909"/>
      <c r="AA189" s="909"/>
      <c r="AB189" s="909"/>
      <c r="AC189" s="909"/>
      <c r="AD189" s="909"/>
    </row>
    <row r="190" s="141" customFormat="1" customHeight="1" spans="1:30">
      <c r="A190" s="900"/>
      <c r="B190" s="900"/>
      <c r="C190" s="900"/>
      <c r="D190" s="901"/>
      <c r="E190" s="901"/>
      <c r="F190" s="902"/>
      <c r="G190" s="902"/>
      <c r="H190" s="903"/>
      <c r="I190" s="900"/>
      <c r="J190" s="900"/>
      <c r="K190" s="902"/>
      <c r="L190" s="904"/>
      <c r="M190" s="904"/>
      <c r="N190" s="905"/>
      <c r="O190" s="905"/>
      <c r="P190" s="906"/>
      <c r="Q190" s="906"/>
      <c r="R190" s="907"/>
      <c r="S190" s="908"/>
      <c r="T190" s="901"/>
      <c r="U190" s="902"/>
      <c r="V190" s="909"/>
      <c r="W190" s="909"/>
      <c r="X190" s="909"/>
      <c r="Y190" s="909"/>
      <c r="Z190" s="909"/>
      <c r="AA190" s="909"/>
      <c r="AB190" s="909"/>
      <c r="AC190" s="909"/>
      <c r="AD190" s="909"/>
    </row>
    <row r="191" s="141" customFormat="1" customHeight="1" spans="1:30">
      <c r="A191" s="900"/>
      <c r="B191" s="900"/>
      <c r="C191" s="900"/>
      <c r="D191" s="901"/>
      <c r="E191" s="901"/>
      <c r="F191" s="902"/>
      <c r="G191" s="902"/>
      <c r="H191" s="903"/>
      <c r="I191" s="900"/>
      <c r="J191" s="900"/>
      <c r="K191" s="902"/>
      <c r="L191" s="904"/>
      <c r="M191" s="904"/>
      <c r="N191" s="905"/>
      <c r="O191" s="905"/>
      <c r="P191" s="906"/>
      <c r="Q191" s="906"/>
      <c r="R191" s="907"/>
      <c r="S191" s="908"/>
      <c r="T191" s="901"/>
      <c r="U191" s="902"/>
      <c r="V191" s="909"/>
      <c r="W191" s="909"/>
      <c r="X191" s="909"/>
      <c r="Y191" s="909"/>
      <c r="Z191" s="909"/>
      <c r="AA191" s="909"/>
      <c r="AB191" s="909"/>
      <c r="AC191" s="909"/>
      <c r="AD191" s="909"/>
    </row>
    <row r="192" s="141" customFormat="1" customHeight="1" spans="1:30">
      <c r="A192" s="900"/>
      <c r="B192" s="900"/>
      <c r="C192" s="900"/>
      <c r="D192" s="901"/>
      <c r="E192" s="901"/>
      <c r="F192" s="902"/>
      <c r="G192" s="902"/>
      <c r="H192" s="903"/>
      <c r="I192" s="900"/>
      <c r="J192" s="900"/>
      <c r="K192" s="902"/>
      <c r="L192" s="904"/>
      <c r="M192" s="904"/>
      <c r="N192" s="905"/>
      <c r="O192" s="905"/>
      <c r="P192" s="906"/>
      <c r="Q192" s="906"/>
      <c r="R192" s="907"/>
      <c r="S192" s="908"/>
      <c r="T192" s="901"/>
      <c r="U192" s="902"/>
      <c r="V192" s="909"/>
      <c r="W192" s="909"/>
      <c r="X192" s="909"/>
      <c r="Y192" s="909"/>
      <c r="Z192" s="909"/>
      <c r="AA192" s="909"/>
      <c r="AB192" s="909"/>
      <c r="AC192" s="909"/>
      <c r="AD192" s="909"/>
    </row>
    <row r="193" s="141" customFormat="1" customHeight="1" spans="1:30">
      <c r="A193" s="900"/>
      <c r="B193" s="900"/>
      <c r="C193" s="900"/>
      <c r="D193" s="901"/>
      <c r="E193" s="901"/>
      <c r="F193" s="902"/>
      <c r="G193" s="902"/>
      <c r="H193" s="903"/>
      <c r="I193" s="900"/>
      <c r="J193" s="900"/>
      <c r="K193" s="902"/>
      <c r="L193" s="904"/>
      <c r="M193" s="904"/>
      <c r="N193" s="905"/>
      <c r="O193" s="905"/>
      <c r="P193" s="906"/>
      <c r="Q193" s="906"/>
      <c r="R193" s="907"/>
      <c r="S193" s="908"/>
      <c r="T193" s="901"/>
      <c r="U193" s="902"/>
      <c r="V193" s="909"/>
      <c r="W193" s="909"/>
      <c r="X193" s="909"/>
      <c r="Y193" s="909"/>
      <c r="Z193" s="909"/>
      <c r="AA193" s="909"/>
      <c r="AB193" s="909"/>
      <c r="AC193" s="909"/>
      <c r="AD193" s="909"/>
    </row>
    <row r="194" s="141" customFormat="1" customHeight="1" spans="1:30">
      <c r="A194" s="900"/>
      <c r="B194" s="900"/>
      <c r="C194" s="900"/>
      <c r="D194" s="901"/>
      <c r="E194" s="901"/>
      <c r="F194" s="902"/>
      <c r="G194" s="902"/>
      <c r="H194" s="903"/>
      <c r="I194" s="900"/>
      <c r="J194" s="900"/>
      <c r="K194" s="902"/>
      <c r="L194" s="904"/>
      <c r="M194" s="904"/>
      <c r="N194" s="905"/>
      <c r="O194" s="905"/>
      <c r="P194" s="906"/>
      <c r="Q194" s="906"/>
      <c r="R194" s="907"/>
      <c r="S194" s="908"/>
      <c r="T194" s="901"/>
      <c r="U194" s="902"/>
      <c r="V194" s="909"/>
      <c r="W194" s="909"/>
      <c r="X194" s="909"/>
      <c r="Y194" s="909"/>
      <c r="Z194" s="909"/>
      <c r="AA194" s="909"/>
      <c r="AB194" s="909"/>
      <c r="AC194" s="909"/>
      <c r="AD194" s="909"/>
    </row>
    <row r="195" s="141" customFormat="1" customHeight="1" spans="1:30">
      <c r="A195" s="900"/>
      <c r="B195" s="900"/>
      <c r="C195" s="900"/>
      <c r="D195" s="901"/>
      <c r="E195" s="901"/>
      <c r="F195" s="902"/>
      <c r="G195" s="902"/>
      <c r="H195" s="903"/>
      <c r="I195" s="900"/>
      <c r="J195" s="900"/>
      <c r="K195" s="902"/>
      <c r="L195" s="904"/>
      <c r="M195" s="904"/>
      <c r="N195" s="905"/>
      <c r="O195" s="905"/>
      <c r="P195" s="906"/>
      <c r="Q195" s="906"/>
      <c r="R195" s="907"/>
      <c r="S195" s="908"/>
      <c r="T195" s="901"/>
      <c r="U195" s="902"/>
      <c r="V195" s="909"/>
      <c r="W195" s="909"/>
      <c r="X195" s="909"/>
      <c r="Y195" s="909"/>
      <c r="Z195" s="909"/>
      <c r="AA195" s="909"/>
      <c r="AB195" s="909"/>
      <c r="AC195" s="909"/>
      <c r="AD195" s="909"/>
    </row>
    <row r="196" s="141" customFormat="1" customHeight="1" spans="1:30">
      <c r="A196" s="900"/>
      <c r="B196" s="900"/>
      <c r="C196" s="900"/>
      <c r="D196" s="901"/>
      <c r="E196" s="901"/>
      <c r="F196" s="902"/>
      <c r="G196" s="902"/>
      <c r="H196" s="903"/>
      <c r="I196" s="900"/>
      <c r="J196" s="900"/>
      <c r="K196" s="902"/>
      <c r="L196" s="904"/>
      <c r="M196" s="904"/>
      <c r="N196" s="905"/>
      <c r="O196" s="905"/>
      <c r="P196" s="906"/>
      <c r="Q196" s="906"/>
      <c r="R196" s="907"/>
      <c r="S196" s="908"/>
      <c r="T196" s="901"/>
      <c r="U196" s="902"/>
      <c r="V196" s="909"/>
      <c r="W196" s="909"/>
      <c r="X196" s="909"/>
      <c r="Y196" s="909"/>
      <c r="Z196" s="909"/>
      <c r="AA196" s="909"/>
      <c r="AB196" s="909"/>
      <c r="AC196" s="909"/>
      <c r="AD196" s="909"/>
    </row>
    <row r="197" s="141" customFormat="1" customHeight="1" spans="1:30">
      <c r="A197" s="900"/>
      <c r="B197" s="900"/>
      <c r="C197" s="900"/>
      <c r="D197" s="901"/>
      <c r="E197" s="901"/>
      <c r="F197" s="902"/>
      <c r="G197" s="902"/>
      <c r="H197" s="903"/>
      <c r="I197" s="900"/>
      <c r="J197" s="900"/>
      <c r="K197" s="902"/>
      <c r="L197" s="904"/>
      <c r="M197" s="904"/>
      <c r="N197" s="905"/>
      <c r="O197" s="905"/>
      <c r="P197" s="906"/>
      <c r="Q197" s="906"/>
      <c r="R197" s="907"/>
      <c r="S197" s="908"/>
      <c r="T197" s="901"/>
      <c r="U197" s="902"/>
      <c r="V197" s="909"/>
      <c r="W197" s="909"/>
      <c r="X197" s="909"/>
      <c r="Y197" s="909"/>
      <c r="Z197" s="909"/>
      <c r="AA197" s="909"/>
      <c r="AB197" s="909"/>
      <c r="AC197" s="909"/>
      <c r="AD197" s="909"/>
    </row>
    <row r="198" s="141" customFormat="1" customHeight="1" spans="1:30">
      <c r="A198" s="900"/>
      <c r="B198" s="900"/>
      <c r="C198" s="900"/>
      <c r="D198" s="901"/>
      <c r="E198" s="901"/>
      <c r="F198" s="902"/>
      <c r="G198" s="902"/>
      <c r="H198" s="903"/>
      <c r="I198" s="900"/>
      <c r="J198" s="900"/>
      <c r="K198" s="902"/>
      <c r="L198" s="904"/>
      <c r="M198" s="904"/>
      <c r="N198" s="905"/>
      <c r="O198" s="905"/>
      <c r="P198" s="906"/>
      <c r="Q198" s="906"/>
      <c r="R198" s="907"/>
      <c r="S198" s="908"/>
      <c r="T198" s="901"/>
      <c r="U198" s="902"/>
      <c r="V198" s="909"/>
      <c r="W198" s="909"/>
      <c r="X198" s="909"/>
      <c r="Y198" s="909"/>
      <c r="Z198" s="909"/>
      <c r="AA198" s="909"/>
      <c r="AB198" s="909"/>
      <c r="AC198" s="909"/>
      <c r="AD198" s="909"/>
    </row>
    <row r="199" s="141" customFormat="1" customHeight="1" spans="1:30">
      <c r="A199" s="900"/>
      <c r="B199" s="900"/>
      <c r="C199" s="900"/>
      <c r="D199" s="901"/>
      <c r="E199" s="901"/>
      <c r="F199" s="902"/>
      <c r="G199" s="902"/>
      <c r="H199" s="903"/>
      <c r="I199" s="900"/>
      <c r="J199" s="900"/>
      <c r="K199" s="902"/>
      <c r="L199" s="904"/>
      <c r="M199" s="904"/>
      <c r="N199" s="905"/>
      <c r="O199" s="905"/>
      <c r="P199" s="906"/>
      <c r="Q199" s="906"/>
      <c r="R199" s="907"/>
      <c r="S199" s="908"/>
      <c r="T199" s="901"/>
      <c r="U199" s="902"/>
      <c r="V199" s="909"/>
      <c r="W199" s="909"/>
      <c r="X199" s="909"/>
      <c r="Y199" s="909"/>
      <c r="Z199" s="909"/>
      <c r="AA199" s="909"/>
      <c r="AB199" s="909"/>
      <c r="AC199" s="909"/>
      <c r="AD199" s="909"/>
    </row>
    <row r="200" s="141" customFormat="1" customHeight="1" spans="1:30">
      <c r="A200" s="900"/>
      <c r="B200" s="900"/>
      <c r="C200" s="900"/>
      <c r="D200" s="901"/>
      <c r="E200" s="901"/>
      <c r="F200" s="902"/>
      <c r="G200" s="902"/>
      <c r="H200" s="903"/>
      <c r="I200" s="900"/>
      <c r="J200" s="900"/>
      <c r="K200" s="902"/>
      <c r="L200" s="904"/>
      <c r="M200" s="904"/>
      <c r="N200" s="905"/>
      <c r="O200" s="905"/>
      <c r="P200" s="906"/>
      <c r="Q200" s="906"/>
      <c r="R200" s="907"/>
      <c r="S200" s="908"/>
      <c r="T200" s="901"/>
      <c r="U200" s="902"/>
      <c r="V200" s="909"/>
      <c r="W200" s="909"/>
      <c r="X200" s="909"/>
      <c r="Y200" s="909"/>
      <c r="Z200" s="909"/>
      <c r="AA200" s="909"/>
      <c r="AB200" s="909"/>
      <c r="AC200" s="909"/>
      <c r="AD200" s="909"/>
    </row>
    <row r="201" s="141" customFormat="1" customHeight="1" spans="1:30">
      <c r="A201" s="900"/>
      <c r="B201" s="900"/>
      <c r="C201" s="900"/>
      <c r="D201" s="901"/>
      <c r="E201" s="901"/>
      <c r="F201" s="902"/>
      <c r="G201" s="902"/>
      <c r="H201" s="903"/>
      <c r="I201" s="900"/>
      <c r="J201" s="900"/>
      <c r="K201" s="902"/>
      <c r="L201" s="904"/>
      <c r="M201" s="904"/>
      <c r="N201" s="905"/>
      <c r="O201" s="905"/>
      <c r="P201" s="906"/>
      <c r="Q201" s="906"/>
      <c r="R201" s="907"/>
      <c r="S201" s="908"/>
      <c r="T201" s="901"/>
      <c r="U201" s="902"/>
      <c r="V201" s="909"/>
      <c r="W201" s="909"/>
      <c r="X201" s="909"/>
      <c r="Y201" s="909"/>
      <c r="Z201" s="909"/>
      <c r="AA201" s="909"/>
      <c r="AB201" s="909"/>
      <c r="AC201" s="909"/>
      <c r="AD201" s="909"/>
    </row>
    <row r="202" s="141" customFormat="1" customHeight="1" spans="1:30">
      <c r="A202" s="900"/>
      <c r="B202" s="900"/>
      <c r="C202" s="900"/>
      <c r="D202" s="901"/>
      <c r="E202" s="901"/>
      <c r="F202" s="902"/>
      <c r="G202" s="902"/>
      <c r="H202" s="903"/>
      <c r="I202" s="900"/>
      <c r="J202" s="900"/>
      <c r="K202" s="902"/>
      <c r="L202" s="904"/>
      <c r="M202" s="904"/>
      <c r="N202" s="905"/>
      <c r="O202" s="905"/>
      <c r="P202" s="906"/>
      <c r="Q202" s="906"/>
      <c r="R202" s="907"/>
      <c r="S202" s="908"/>
      <c r="T202" s="901"/>
      <c r="U202" s="902"/>
      <c r="V202" s="909"/>
      <c r="W202" s="909"/>
      <c r="X202" s="909"/>
      <c r="Y202" s="909"/>
      <c r="Z202" s="909"/>
      <c r="AA202" s="909"/>
      <c r="AB202" s="909"/>
      <c r="AC202" s="909"/>
      <c r="AD202" s="909"/>
    </row>
    <row r="203" s="141" customFormat="1" customHeight="1" spans="1:30">
      <c r="A203" s="900"/>
      <c r="B203" s="900"/>
      <c r="C203" s="900"/>
      <c r="D203" s="901"/>
      <c r="E203" s="901"/>
      <c r="F203" s="902"/>
      <c r="G203" s="902"/>
      <c r="H203" s="903"/>
      <c r="I203" s="900"/>
      <c r="J203" s="900"/>
      <c r="K203" s="902"/>
      <c r="L203" s="904"/>
      <c r="M203" s="904"/>
      <c r="N203" s="905"/>
      <c r="O203" s="905"/>
      <c r="P203" s="906"/>
      <c r="Q203" s="906"/>
      <c r="R203" s="907"/>
      <c r="S203" s="908"/>
      <c r="T203" s="901"/>
      <c r="U203" s="902"/>
      <c r="V203" s="909"/>
      <c r="W203" s="909"/>
      <c r="X203" s="909"/>
      <c r="Y203" s="909"/>
      <c r="Z203" s="909"/>
      <c r="AA203" s="909"/>
      <c r="AB203" s="909"/>
      <c r="AC203" s="909"/>
      <c r="AD203" s="909"/>
    </row>
    <row r="204" s="141" customFormat="1" customHeight="1" spans="1:30">
      <c r="A204" s="900"/>
      <c r="B204" s="900"/>
      <c r="C204" s="900"/>
      <c r="D204" s="901"/>
      <c r="E204" s="901"/>
      <c r="F204" s="902"/>
      <c r="G204" s="902"/>
      <c r="H204" s="903"/>
      <c r="I204" s="900"/>
      <c r="J204" s="900"/>
      <c r="K204" s="902"/>
      <c r="L204" s="904"/>
      <c r="M204" s="904"/>
      <c r="N204" s="905"/>
      <c r="O204" s="905"/>
      <c r="P204" s="906"/>
      <c r="Q204" s="906"/>
      <c r="R204" s="907"/>
      <c r="S204" s="908"/>
      <c r="T204" s="901"/>
      <c r="U204" s="902"/>
      <c r="V204" s="909"/>
      <c r="W204" s="909"/>
      <c r="X204" s="909"/>
      <c r="Y204" s="909"/>
      <c r="Z204" s="909"/>
      <c r="AA204" s="909"/>
      <c r="AB204" s="909"/>
      <c r="AC204" s="909"/>
      <c r="AD204" s="909"/>
    </row>
    <row r="205" s="141" customFormat="1" customHeight="1" spans="1:30">
      <c r="A205" s="900"/>
      <c r="B205" s="900"/>
      <c r="C205" s="900"/>
      <c r="D205" s="901"/>
      <c r="E205" s="901"/>
      <c r="F205" s="902"/>
      <c r="G205" s="902"/>
      <c r="H205" s="903"/>
      <c r="I205" s="900"/>
      <c r="J205" s="900"/>
      <c r="K205" s="902"/>
      <c r="L205" s="904"/>
      <c r="M205" s="904"/>
      <c r="N205" s="905"/>
      <c r="O205" s="905"/>
      <c r="P205" s="906"/>
      <c r="Q205" s="906"/>
      <c r="R205" s="907"/>
      <c r="S205" s="908"/>
      <c r="T205" s="901"/>
      <c r="U205" s="902"/>
      <c r="V205" s="909"/>
      <c r="W205" s="909"/>
      <c r="X205" s="909"/>
      <c r="Y205" s="909"/>
      <c r="Z205" s="909"/>
      <c r="AA205" s="909"/>
      <c r="AB205" s="909"/>
      <c r="AC205" s="909"/>
      <c r="AD205" s="909"/>
    </row>
    <row r="206" s="141" customFormat="1" customHeight="1" spans="1:30">
      <c r="A206" s="900"/>
      <c r="B206" s="900"/>
      <c r="C206" s="900"/>
      <c r="D206" s="901"/>
      <c r="E206" s="901"/>
      <c r="F206" s="902"/>
      <c r="G206" s="902"/>
      <c r="H206" s="903"/>
      <c r="I206" s="900"/>
      <c r="J206" s="900"/>
      <c r="K206" s="902"/>
      <c r="L206" s="904"/>
      <c r="M206" s="904"/>
      <c r="N206" s="905"/>
      <c r="O206" s="905"/>
      <c r="P206" s="906"/>
      <c r="Q206" s="906"/>
      <c r="R206" s="907"/>
      <c r="S206" s="908"/>
      <c r="T206" s="901"/>
      <c r="U206" s="902"/>
      <c r="V206" s="909"/>
      <c r="W206" s="909"/>
      <c r="X206" s="909"/>
      <c r="Y206" s="909"/>
      <c r="Z206" s="909"/>
      <c r="AA206" s="909"/>
      <c r="AB206" s="909"/>
      <c r="AC206" s="909"/>
      <c r="AD206" s="909"/>
    </row>
    <row r="207" s="141" customFormat="1" customHeight="1" spans="1:30">
      <c r="A207" s="900"/>
      <c r="B207" s="900"/>
      <c r="C207" s="900"/>
      <c r="D207" s="901"/>
      <c r="E207" s="901"/>
      <c r="F207" s="902"/>
      <c r="G207" s="902"/>
      <c r="H207" s="903"/>
      <c r="I207" s="900"/>
      <c r="J207" s="900"/>
      <c r="K207" s="902"/>
      <c r="L207" s="904"/>
      <c r="M207" s="904"/>
      <c r="N207" s="905"/>
      <c r="O207" s="905"/>
      <c r="P207" s="906"/>
      <c r="Q207" s="906"/>
      <c r="R207" s="907"/>
      <c r="S207" s="908"/>
      <c r="T207" s="901"/>
      <c r="U207" s="902"/>
      <c r="V207" s="909"/>
      <c r="W207" s="909"/>
      <c r="X207" s="909"/>
      <c r="Y207" s="909"/>
      <c r="Z207" s="909"/>
      <c r="AA207" s="909"/>
      <c r="AB207" s="909"/>
      <c r="AC207" s="909"/>
      <c r="AD207" s="909"/>
    </row>
    <row r="208" s="141" customFormat="1" customHeight="1" spans="1:30">
      <c r="A208" s="900"/>
      <c r="B208" s="900"/>
      <c r="C208" s="900"/>
      <c r="D208" s="901"/>
      <c r="E208" s="901"/>
      <c r="F208" s="902"/>
      <c r="G208" s="902"/>
      <c r="H208" s="903"/>
      <c r="I208" s="900"/>
      <c r="J208" s="900"/>
      <c r="K208" s="902"/>
      <c r="L208" s="904"/>
      <c r="M208" s="904"/>
      <c r="N208" s="905"/>
      <c r="O208" s="905"/>
      <c r="P208" s="906"/>
      <c r="Q208" s="906"/>
      <c r="R208" s="907"/>
      <c r="S208" s="908"/>
      <c r="T208" s="901"/>
      <c r="U208" s="902"/>
      <c r="V208" s="909"/>
      <c r="W208" s="909"/>
      <c r="X208" s="909"/>
      <c r="Y208" s="909"/>
      <c r="Z208" s="909"/>
      <c r="AA208" s="909"/>
      <c r="AB208" s="909"/>
      <c r="AC208" s="909"/>
      <c r="AD208" s="909"/>
    </row>
    <row r="209" s="141" customFormat="1" customHeight="1" spans="1:30">
      <c r="A209" s="900"/>
      <c r="B209" s="900"/>
      <c r="C209" s="900"/>
      <c r="D209" s="901"/>
      <c r="E209" s="901"/>
      <c r="F209" s="902"/>
      <c r="G209" s="902"/>
      <c r="H209" s="903"/>
      <c r="I209" s="900"/>
      <c r="J209" s="900"/>
      <c r="K209" s="902"/>
      <c r="L209" s="904"/>
      <c r="M209" s="904"/>
      <c r="N209" s="905"/>
      <c r="O209" s="905"/>
      <c r="P209" s="906"/>
      <c r="Q209" s="906"/>
      <c r="R209" s="907"/>
      <c r="S209" s="908"/>
      <c r="T209" s="901"/>
      <c r="U209" s="902"/>
      <c r="V209" s="909"/>
      <c r="W209" s="909"/>
      <c r="X209" s="909"/>
      <c r="Y209" s="909"/>
      <c r="Z209" s="909"/>
      <c r="AA209" s="909"/>
      <c r="AB209" s="909"/>
      <c r="AC209" s="909"/>
      <c r="AD209" s="909"/>
    </row>
    <row r="210" s="141" customFormat="1" customHeight="1" spans="1:30">
      <c r="A210" s="900"/>
      <c r="B210" s="900"/>
      <c r="C210" s="900"/>
      <c r="D210" s="901"/>
      <c r="E210" s="901"/>
      <c r="F210" s="902"/>
      <c r="G210" s="902"/>
      <c r="H210" s="903"/>
      <c r="I210" s="900"/>
      <c r="J210" s="900"/>
      <c r="K210" s="902"/>
      <c r="L210" s="904"/>
      <c r="M210" s="904"/>
      <c r="N210" s="905"/>
      <c r="O210" s="905"/>
      <c r="P210" s="906"/>
      <c r="Q210" s="906"/>
      <c r="R210" s="907"/>
      <c r="S210" s="908"/>
      <c r="T210" s="901"/>
      <c r="U210" s="902"/>
      <c r="V210" s="909"/>
      <c r="W210" s="909"/>
      <c r="X210" s="909"/>
      <c r="Y210" s="909"/>
      <c r="Z210" s="909"/>
      <c r="AA210" s="909"/>
      <c r="AB210" s="909"/>
      <c r="AC210" s="909"/>
      <c r="AD210" s="909"/>
    </row>
    <row r="211" s="141" customFormat="1" customHeight="1" spans="1:30">
      <c r="A211" s="900"/>
      <c r="B211" s="900"/>
      <c r="C211" s="900"/>
      <c r="D211" s="901"/>
      <c r="E211" s="901"/>
      <c r="F211" s="902"/>
      <c r="G211" s="902"/>
      <c r="H211" s="903"/>
      <c r="I211" s="900"/>
      <c r="J211" s="900"/>
      <c r="K211" s="902"/>
      <c r="L211" s="904"/>
      <c r="M211" s="904"/>
      <c r="N211" s="905"/>
      <c r="O211" s="905"/>
      <c r="P211" s="906"/>
      <c r="Q211" s="906"/>
      <c r="R211" s="907"/>
      <c r="S211" s="908"/>
      <c r="T211" s="901"/>
      <c r="U211" s="902"/>
      <c r="V211" s="909"/>
      <c r="W211" s="909"/>
      <c r="X211" s="909"/>
      <c r="Y211" s="909"/>
      <c r="Z211" s="909"/>
      <c r="AA211" s="909"/>
      <c r="AB211" s="909"/>
      <c r="AC211" s="909"/>
      <c r="AD211" s="909"/>
    </row>
    <row r="212" s="141" customFormat="1" customHeight="1" spans="1:30">
      <c r="A212" s="900"/>
      <c r="B212" s="900"/>
      <c r="C212" s="900"/>
      <c r="D212" s="901"/>
      <c r="E212" s="901"/>
      <c r="F212" s="902"/>
      <c r="G212" s="902"/>
      <c r="H212" s="903"/>
      <c r="I212" s="900"/>
      <c r="J212" s="900"/>
      <c r="K212" s="902"/>
      <c r="L212" s="904"/>
      <c r="M212" s="904"/>
      <c r="N212" s="905"/>
      <c r="O212" s="905"/>
      <c r="P212" s="906"/>
      <c r="Q212" s="906"/>
      <c r="R212" s="907"/>
      <c r="S212" s="908"/>
      <c r="T212" s="901"/>
      <c r="U212" s="902"/>
      <c r="V212" s="909"/>
      <c r="W212" s="909"/>
      <c r="X212" s="909"/>
      <c r="Y212" s="909"/>
      <c r="Z212" s="909"/>
      <c r="AA212" s="909"/>
      <c r="AB212" s="909"/>
      <c r="AC212" s="909"/>
      <c r="AD212" s="909"/>
    </row>
    <row r="213" s="141" customFormat="1" customHeight="1" spans="1:30">
      <c r="A213" s="900"/>
      <c r="B213" s="900"/>
      <c r="C213" s="900"/>
      <c r="D213" s="901"/>
      <c r="E213" s="901"/>
      <c r="F213" s="902"/>
      <c r="G213" s="902"/>
      <c r="H213" s="903"/>
      <c r="I213" s="900"/>
      <c r="J213" s="900"/>
      <c r="K213" s="902"/>
      <c r="L213" s="904"/>
      <c r="M213" s="904"/>
      <c r="N213" s="905"/>
      <c r="O213" s="905"/>
      <c r="P213" s="906"/>
      <c r="Q213" s="906"/>
      <c r="R213" s="907"/>
      <c r="S213" s="908"/>
      <c r="T213" s="901"/>
      <c r="U213" s="902"/>
      <c r="V213" s="909"/>
      <c r="W213" s="909"/>
      <c r="X213" s="909"/>
      <c r="Y213" s="909"/>
      <c r="Z213" s="909"/>
      <c r="AA213" s="909"/>
      <c r="AB213" s="909"/>
      <c r="AC213" s="909"/>
      <c r="AD213" s="909"/>
    </row>
    <row r="214" s="141" customFormat="1" customHeight="1" spans="1:30">
      <c r="A214" s="900"/>
      <c r="B214" s="900"/>
      <c r="C214" s="900"/>
      <c r="D214" s="901"/>
      <c r="E214" s="901"/>
      <c r="F214" s="902"/>
      <c r="G214" s="902"/>
      <c r="H214" s="903"/>
      <c r="I214" s="900"/>
      <c r="J214" s="900"/>
      <c r="K214" s="902"/>
      <c r="L214" s="904"/>
      <c r="M214" s="904"/>
      <c r="N214" s="905"/>
      <c r="O214" s="905"/>
      <c r="P214" s="906"/>
      <c r="Q214" s="906"/>
      <c r="R214" s="907"/>
      <c r="S214" s="908"/>
      <c r="T214" s="901"/>
      <c r="U214" s="902"/>
      <c r="V214" s="909"/>
      <c r="W214" s="909"/>
      <c r="X214" s="909"/>
      <c r="Y214" s="909"/>
      <c r="Z214" s="909"/>
      <c r="AA214" s="909"/>
      <c r="AB214" s="909"/>
      <c r="AC214" s="909"/>
      <c r="AD214" s="909"/>
    </row>
    <row r="215" s="141" customFormat="1" customHeight="1" spans="1:30">
      <c r="A215" s="900"/>
      <c r="B215" s="900"/>
      <c r="C215" s="900"/>
      <c r="D215" s="901"/>
      <c r="E215" s="901"/>
      <c r="F215" s="902"/>
      <c r="G215" s="902"/>
      <c r="H215" s="903"/>
      <c r="I215" s="900"/>
      <c r="J215" s="900"/>
      <c r="K215" s="902"/>
      <c r="L215" s="904"/>
      <c r="M215" s="904"/>
      <c r="N215" s="905"/>
      <c r="O215" s="905"/>
      <c r="P215" s="906"/>
      <c r="Q215" s="906"/>
      <c r="R215" s="907"/>
      <c r="S215" s="908"/>
      <c r="T215" s="901"/>
      <c r="U215" s="902"/>
      <c r="V215" s="909"/>
      <c r="W215" s="909"/>
      <c r="X215" s="909"/>
      <c r="Y215" s="909"/>
      <c r="Z215" s="909"/>
      <c r="AA215" s="909"/>
      <c r="AB215" s="909"/>
      <c r="AC215" s="909"/>
      <c r="AD215" s="909"/>
    </row>
    <row r="216" s="141" customFormat="1" customHeight="1" spans="1:30">
      <c r="A216" s="900"/>
      <c r="B216" s="900"/>
      <c r="C216" s="900"/>
      <c r="D216" s="901"/>
      <c r="E216" s="901"/>
      <c r="F216" s="902"/>
      <c r="G216" s="902"/>
      <c r="H216" s="903"/>
      <c r="I216" s="900"/>
      <c r="J216" s="900"/>
      <c r="K216" s="902"/>
      <c r="L216" s="904"/>
      <c r="M216" s="904"/>
      <c r="N216" s="905"/>
      <c r="O216" s="905"/>
      <c r="P216" s="906"/>
      <c r="Q216" s="906"/>
      <c r="R216" s="907"/>
      <c r="S216" s="908"/>
      <c r="T216" s="901"/>
      <c r="U216" s="902"/>
      <c r="V216" s="909"/>
      <c r="W216" s="909"/>
      <c r="X216" s="909"/>
      <c r="Y216" s="909"/>
      <c r="Z216" s="909"/>
      <c r="AA216" s="909"/>
      <c r="AB216" s="909"/>
      <c r="AC216" s="909"/>
      <c r="AD216" s="909"/>
    </row>
    <row r="217" s="141" customFormat="1" customHeight="1" spans="1:30">
      <c r="A217" s="900"/>
      <c r="B217" s="900"/>
      <c r="C217" s="900"/>
      <c r="D217" s="901"/>
      <c r="E217" s="901"/>
      <c r="F217" s="902"/>
      <c r="G217" s="902"/>
      <c r="H217" s="903"/>
      <c r="I217" s="900"/>
      <c r="J217" s="900"/>
      <c r="K217" s="902"/>
      <c r="L217" s="904"/>
      <c r="M217" s="904"/>
      <c r="N217" s="905"/>
      <c r="O217" s="905"/>
      <c r="P217" s="906"/>
      <c r="Q217" s="906"/>
      <c r="R217" s="907"/>
      <c r="S217" s="908"/>
      <c r="T217" s="901"/>
      <c r="U217" s="902"/>
      <c r="V217" s="909"/>
      <c r="W217" s="909"/>
      <c r="X217" s="909"/>
      <c r="Y217" s="909"/>
      <c r="Z217" s="909"/>
      <c r="AA217" s="909"/>
      <c r="AB217" s="909"/>
      <c r="AC217" s="909"/>
      <c r="AD217" s="909"/>
    </row>
    <row r="218" s="141" customFormat="1" customHeight="1" spans="1:30">
      <c r="A218" s="900"/>
      <c r="B218" s="900"/>
      <c r="C218" s="900"/>
      <c r="D218" s="901"/>
      <c r="E218" s="901"/>
      <c r="F218" s="902"/>
      <c r="G218" s="902"/>
      <c r="H218" s="903"/>
      <c r="I218" s="900"/>
      <c r="J218" s="900"/>
      <c r="K218" s="902"/>
      <c r="L218" s="904"/>
      <c r="M218" s="904"/>
      <c r="N218" s="905"/>
      <c r="O218" s="905"/>
      <c r="P218" s="906"/>
      <c r="Q218" s="906"/>
      <c r="R218" s="907"/>
      <c r="S218" s="908"/>
      <c r="T218" s="901"/>
      <c r="U218" s="902"/>
      <c r="V218" s="909"/>
      <c r="W218" s="909"/>
      <c r="X218" s="909"/>
      <c r="Y218" s="909"/>
      <c r="Z218" s="909"/>
      <c r="AA218" s="909"/>
      <c r="AB218" s="909"/>
      <c r="AC218" s="909"/>
      <c r="AD218" s="909"/>
    </row>
    <row r="219" s="141" customFormat="1" customHeight="1" spans="1:30">
      <c r="A219" s="900"/>
      <c r="B219" s="900"/>
      <c r="C219" s="900"/>
      <c r="D219" s="901"/>
      <c r="E219" s="901"/>
      <c r="F219" s="902"/>
      <c r="G219" s="902"/>
      <c r="H219" s="903"/>
      <c r="I219" s="900"/>
      <c r="J219" s="900"/>
      <c r="K219" s="902"/>
      <c r="L219" s="904"/>
      <c r="M219" s="904"/>
      <c r="N219" s="905"/>
      <c r="O219" s="905"/>
      <c r="P219" s="906"/>
      <c r="Q219" s="906"/>
      <c r="R219" s="907"/>
      <c r="S219" s="908"/>
      <c r="T219" s="901"/>
      <c r="U219" s="902"/>
      <c r="V219" s="909"/>
      <c r="W219" s="909"/>
      <c r="X219" s="909"/>
      <c r="Y219" s="909"/>
      <c r="Z219" s="909"/>
      <c r="AA219" s="909"/>
      <c r="AB219" s="909"/>
      <c r="AC219" s="909"/>
      <c r="AD219" s="909"/>
    </row>
    <row r="220" s="141" customFormat="1" customHeight="1" spans="1:30">
      <c r="A220" s="900"/>
      <c r="B220" s="900"/>
      <c r="C220" s="900"/>
      <c r="D220" s="901"/>
      <c r="E220" s="901"/>
      <c r="F220" s="902"/>
      <c r="G220" s="902"/>
      <c r="H220" s="903"/>
      <c r="I220" s="900"/>
      <c r="J220" s="900"/>
      <c r="K220" s="902"/>
      <c r="L220" s="904"/>
      <c r="M220" s="904"/>
      <c r="N220" s="905"/>
      <c r="O220" s="905"/>
      <c r="P220" s="906"/>
      <c r="Q220" s="906"/>
      <c r="R220" s="907"/>
      <c r="S220" s="908"/>
      <c r="T220" s="901"/>
      <c r="U220" s="902"/>
      <c r="V220" s="909"/>
      <c r="W220" s="909"/>
      <c r="X220" s="909"/>
      <c r="Y220" s="909"/>
      <c r="Z220" s="909"/>
      <c r="AA220" s="909"/>
      <c r="AB220" s="909"/>
      <c r="AC220" s="909"/>
      <c r="AD220" s="909"/>
    </row>
    <row r="221" s="141" customFormat="1" customHeight="1" spans="1:30">
      <c r="A221" s="900"/>
      <c r="B221" s="900"/>
      <c r="C221" s="900"/>
      <c r="D221" s="901"/>
      <c r="E221" s="901"/>
      <c r="F221" s="902"/>
      <c r="G221" s="902"/>
      <c r="H221" s="903"/>
      <c r="I221" s="900"/>
      <c r="J221" s="900"/>
      <c r="K221" s="902"/>
      <c r="L221" s="904"/>
      <c r="M221" s="904"/>
      <c r="N221" s="905"/>
      <c r="O221" s="905"/>
      <c r="P221" s="906"/>
      <c r="Q221" s="906"/>
      <c r="R221" s="907"/>
      <c r="S221" s="908"/>
      <c r="T221" s="901"/>
      <c r="U221" s="902"/>
      <c r="V221" s="909"/>
      <c r="W221" s="909"/>
      <c r="X221" s="909"/>
      <c r="Y221" s="909"/>
      <c r="Z221" s="909"/>
      <c r="AA221" s="909"/>
      <c r="AB221" s="909"/>
      <c r="AC221" s="909"/>
      <c r="AD221" s="909"/>
    </row>
    <row r="222" s="141" customFormat="1" customHeight="1" spans="1:30">
      <c r="A222" s="900"/>
      <c r="B222" s="900"/>
      <c r="C222" s="900"/>
      <c r="D222" s="901"/>
      <c r="E222" s="901"/>
      <c r="F222" s="902"/>
      <c r="G222" s="902"/>
      <c r="H222" s="903"/>
      <c r="I222" s="900"/>
      <c r="J222" s="900"/>
      <c r="K222" s="902"/>
      <c r="L222" s="904"/>
      <c r="M222" s="904"/>
      <c r="N222" s="905"/>
      <c r="O222" s="905"/>
      <c r="P222" s="906"/>
      <c r="Q222" s="906"/>
      <c r="R222" s="907"/>
      <c r="S222" s="908"/>
      <c r="T222" s="901"/>
      <c r="U222" s="902"/>
      <c r="V222" s="909"/>
      <c r="W222" s="909"/>
      <c r="X222" s="909"/>
      <c r="Y222" s="909"/>
      <c r="Z222" s="909"/>
      <c r="AA222" s="909"/>
      <c r="AB222" s="909"/>
      <c r="AC222" s="909"/>
      <c r="AD222" s="909"/>
    </row>
    <row r="223" s="141" customFormat="1" customHeight="1" spans="1:30">
      <c r="A223" s="900"/>
      <c r="B223" s="900"/>
      <c r="C223" s="900"/>
      <c r="D223" s="901"/>
      <c r="E223" s="901"/>
      <c r="F223" s="902"/>
      <c r="G223" s="902"/>
      <c r="H223" s="903"/>
      <c r="I223" s="900"/>
      <c r="J223" s="900"/>
      <c r="K223" s="902"/>
      <c r="L223" s="904"/>
      <c r="M223" s="904"/>
      <c r="N223" s="905"/>
      <c r="O223" s="905"/>
      <c r="P223" s="906"/>
      <c r="Q223" s="906"/>
      <c r="R223" s="907"/>
      <c r="S223" s="908"/>
      <c r="T223" s="901"/>
      <c r="U223" s="902"/>
      <c r="V223" s="909"/>
      <c r="W223" s="909"/>
      <c r="X223" s="909"/>
      <c r="Y223" s="909"/>
      <c r="Z223" s="909"/>
      <c r="AA223" s="909"/>
      <c r="AB223" s="909"/>
      <c r="AC223" s="909"/>
      <c r="AD223" s="909"/>
    </row>
    <row r="224" s="141" customFormat="1" customHeight="1" spans="1:30">
      <c r="A224" s="900"/>
      <c r="B224" s="900"/>
      <c r="C224" s="900"/>
      <c r="D224" s="901"/>
      <c r="E224" s="901"/>
      <c r="F224" s="902"/>
      <c r="G224" s="902"/>
      <c r="H224" s="903"/>
      <c r="I224" s="900"/>
      <c r="J224" s="900"/>
      <c r="K224" s="902"/>
      <c r="L224" s="904"/>
      <c r="M224" s="904"/>
      <c r="N224" s="905"/>
      <c r="O224" s="905"/>
      <c r="P224" s="906"/>
      <c r="Q224" s="906"/>
      <c r="R224" s="907"/>
      <c r="S224" s="908"/>
      <c r="T224" s="901"/>
      <c r="U224" s="902"/>
      <c r="V224" s="909"/>
      <c r="W224" s="909"/>
      <c r="X224" s="909"/>
      <c r="Y224" s="909"/>
      <c r="Z224" s="909"/>
      <c r="AA224" s="909"/>
      <c r="AB224" s="909"/>
      <c r="AC224" s="909"/>
      <c r="AD224" s="909"/>
    </row>
    <row r="225" s="141" customFormat="1" customHeight="1" spans="1:30">
      <c r="A225" s="900"/>
      <c r="B225" s="900"/>
      <c r="C225" s="900"/>
      <c r="D225" s="901"/>
      <c r="E225" s="901"/>
      <c r="F225" s="902"/>
      <c r="G225" s="902"/>
      <c r="H225" s="903"/>
      <c r="I225" s="900"/>
      <c r="J225" s="900"/>
      <c r="K225" s="902"/>
      <c r="L225" s="904"/>
      <c r="M225" s="904"/>
      <c r="N225" s="905"/>
      <c r="O225" s="905"/>
      <c r="P225" s="906"/>
      <c r="Q225" s="906"/>
      <c r="R225" s="907"/>
      <c r="S225" s="908"/>
      <c r="T225" s="901"/>
      <c r="U225" s="902"/>
      <c r="V225" s="909"/>
      <c r="W225" s="909"/>
      <c r="X225" s="909"/>
      <c r="Y225" s="909"/>
      <c r="Z225" s="909"/>
      <c r="AA225" s="909"/>
      <c r="AB225" s="909"/>
      <c r="AC225" s="909"/>
      <c r="AD225" s="909"/>
    </row>
    <row r="226" s="141" customFormat="1" customHeight="1" spans="1:30">
      <c r="A226" s="900"/>
      <c r="B226" s="900"/>
      <c r="C226" s="900"/>
      <c r="D226" s="901"/>
      <c r="E226" s="901"/>
      <c r="F226" s="902"/>
      <c r="G226" s="902"/>
      <c r="H226" s="903"/>
      <c r="I226" s="900"/>
      <c r="J226" s="900"/>
      <c r="K226" s="902"/>
      <c r="L226" s="904"/>
      <c r="M226" s="904"/>
      <c r="N226" s="905"/>
      <c r="O226" s="905"/>
      <c r="P226" s="906"/>
      <c r="Q226" s="906"/>
      <c r="R226" s="907"/>
      <c r="S226" s="908"/>
      <c r="T226" s="901"/>
      <c r="U226" s="902"/>
      <c r="V226" s="909"/>
      <c r="W226" s="909"/>
      <c r="X226" s="909"/>
      <c r="Y226" s="909"/>
      <c r="Z226" s="909"/>
      <c r="AA226" s="909"/>
      <c r="AB226" s="909"/>
      <c r="AC226" s="909"/>
      <c r="AD226" s="909"/>
    </row>
    <row r="227" s="141" customFormat="1" customHeight="1" spans="1:30">
      <c r="A227" s="900"/>
      <c r="B227" s="900"/>
      <c r="C227" s="900"/>
      <c r="D227" s="901"/>
      <c r="E227" s="901"/>
      <c r="F227" s="902"/>
      <c r="G227" s="902"/>
      <c r="H227" s="903"/>
      <c r="I227" s="900"/>
      <c r="J227" s="900"/>
      <c r="K227" s="902"/>
      <c r="L227" s="904"/>
      <c r="M227" s="904"/>
      <c r="N227" s="905"/>
      <c r="O227" s="905"/>
      <c r="P227" s="906"/>
      <c r="Q227" s="906"/>
      <c r="R227" s="907"/>
      <c r="S227" s="908"/>
      <c r="T227" s="901"/>
      <c r="U227" s="902"/>
      <c r="V227" s="909"/>
      <c r="W227" s="909"/>
      <c r="X227" s="909"/>
      <c r="Y227" s="909"/>
      <c r="Z227" s="909"/>
      <c r="AA227" s="909"/>
      <c r="AB227" s="909"/>
      <c r="AC227" s="909"/>
      <c r="AD227" s="909"/>
    </row>
    <row r="228" s="141" customFormat="1" customHeight="1" spans="1:30">
      <c r="A228" s="900"/>
      <c r="B228" s="900"/>
      <c r="C228" s="900"/>
      <c r="D228" s="901"/>
      <c r="E228" s="901"/>
      <c r="F228" s="902"/>
      <c r="G228" s="902"/>
      <c r="H228" s="903"/>
      <c r="I228" s="900"/>
      <c r="J228" s="900"/>
      <c r="K228" s="902"/>
      <c r="L228" s="904"/>
      <c r="M228" s="904"/>
      <c r="N228" s="905"/>
      <c r="O228" s="905"/>
      <c r="P228" s="906"/>
      <c r="Q228" s="906"/>
      <c r="R228" s="907"/>
      <c r="S228" s="908"/>
      <c r="T228" s="901"/>
      <c r="U228" s="902"/>
      <c r="V228" s="909"/>
      <c r="W228" s="909"/>
      <c r="X228" s="909"/>
      <c r="Y228" s="909"/>
      <c r="Z228" s="909"/>
      <c r="AA228" s="909"/>
      <c r="AB228" s="909"/>
      <c r="AC228" s="909"/>
      <c r="AD228" s="909"/>
    </row>
    <row r="229" s="141" customFormat="1" customHeight="1" spans="1:30">
      <c r="A229" s="900"/>
      <c r="B229" s="900"/>
      <c r="C229" s="900"/>
      <c r="D229" s="901"/>
      <c r="E229" s="901"/>
      <c r="F229" s="902"/>
      <c r="G229" s="902"/>
      <c r="H229" s="903"/>
      <c r="I229" s="900"/>
      <c r="J229" s="900"/>
      <c r="K229" s="902"/>
      <c r="L229" s="904"/>
      <c r="M229" s="904"/>
      <c r="N229" s="905"/>
      <c r="O229" s="905"/>
      <c r="P229" s="906"/>
      <c r="Q229" s="906"/>
      <c r="R229" s="907"/>
      <c r="S229" s="908"/>
      <c r="T229" s="901"/>
      <c r="U229" s="902"/>
      <c r="V229" s="909"/>
      <c r="W229" s="909"/>
      <c r="X229" s="909"/>
      <c r="Y229" s="909"/>
      <c r="Z229" s="909"/>
      <c r="AA229" s="909"/>
      <c r="AB229" s="909"/>
      <c r="AC229" s="909"/>
      <c r="AD229" s="909"/>
    </row>
    <row r="230" s="141" customFormat="1" customHeight="1" spans="1:30">
      <c r="A230" s="900"/>
      <c r="B230" s="900"/>
      <c r="C230" s="900"/>
      <c r="D230" s="901"/>
      <c r="E230" s="901"/>
      <c r="F230" s="902"/>
      <c r="G230" s="902"/>
      <c r="H230" s="903"/>
      <c r="I230" s="900"/>
      <c r="J230" s="900"/>
      <c r="K230" s="902"/>
      <c r="L230" s="904"/>
      <c r="M230" s="904"/>
      <c r="N230" s="905"/>
      <c r="O230" s="905"/>
      <c r="P230" s="906"/>
      <c r="Q230" s="906"/>
      <c r="R230" s="907"/>
      <c r="S230" s="908"/>
      <c r="T230" s="901"/>
      <c r="U230" s="902"/>
      <c r="V230" s="909"/>
      <c r="W230" s="909"/>
      <c r="X230" s="909"/>
      <c r="Y230" s="909"/>
      <c r="Z230" s="909"/>
      <c r="AA230" s="909"/>
      <c r="AB230" s="909"/>
      <c r="AC230" s="909"/>
      <c r="AD230" s="909"/>
    </row>
    <row r="231" s="141" customFormat="1" customHeight="1" spans="1:30">
      <c r="A231" s="900"/>
      <c r="B231" s="900"/>
      <c r="C231" s="900"/>
      <c r="D231" s="901"/>
      <c r="E231" s="901"/>
      <c r="F231" s="902"/>
      <c r="G231" s="902"/>
      <c r="H231" s="903"/>
      <c r="I231" s="900"/>
      <c r="J231" s="900"/>
      <c r="K231" s="902"/>
      <c r="L231" s="904"/>
      <c r="M231" s="904"/>
      <c r="N231" s="905"/>
      <c r="O231" s="905"/>
      <c r="P231" s="906"/>
      <c r="Q231" s="906"/>
      <c r="R231" s="907"/>
      <c r="S231" s="908"/>
      <c r="T231" s="901"/>
      <c r="U231" s="902"/>
      <c r="V231" s="909"/>
      <c r="W231" s="909"/>
      <c r="X231" s="909"/>
      <c r="Y231" s="909"/>
      <c r="Z231" s="909"/>
      <c r="AA231" s="909"/>
      <c r="AB231" s="909"/>
      <c r="AC231" s="909"/>
      <c r="AD231" s="909"/>
    </row>
    <row r="232" s="141" customFormat="1" customHeight="1" spans="1:30">
      <c r="A232" s="900"/>
      <c r="B232" s="900"/>
      <c r="C232" s="900"/>
      <c r="D232" s="901"/>
      <c r="E232" s="901"/>
      <c r="F232" s="902"/>
      <c r="G232" s="902"/>
      <c r="H232" s="903"/>
      <c r="I232" s="900"/>
      <c r="J232" s="900"/>
      <c r="K232" s="902"/>
      <c r="L232" s="904"/>
      <c r="M232" s="904"/>
      <c r="N232" s="905"/>
      <c r="O232" s="905"/>
      <c r="P232" s="906"/>
      <c r="Q232" s="906"/>
      <c r="R232" s="907"/>
      <c r="S232" s="908"/>
      <c r="T232" s="901"/>
      <c r="U232" s="902"/>
      <c r="V232" s="909"/>
      <c r="W232" s="909"/>
      <c r="X232" s="909"/>
      <c r="Y232" s="909"/>
      <c r="Z232" s="909"/>
      <c r="AA232" s="909"/>
      <c r="AB232" s="909"/>
      <c r="AC232" s="909"/>
      <c r="AD232" s="909"/>
    </row>
    <row r="233" s="141" customFormat="1" customHeight="1" spans="1:30">
      <c r="A233" s="900"/>
      <c r="B233" s="900"/>
      <c r="C233" s="900"/>
      <c r="D233" s="901"/>
      <c r="E233" s="901"/>
      <c r="F233" s="902"/>
      <c r="G233" s="902"/>
      <c r="H233" s="903"/>
      <c r="I233" s="900"/>
      <c r="J233" s="900"/>
      <c r="K233" s="902"/>
      <c r="L233" s="904"/>
      <c r="M233" s="904"/>
      <c r="N233" s="905"/>
      <c r="O233" s="905"/>
      <c r="P233" s="906"/>
      <c r="Q233" s="906"/>
      <c r="R233" s="907"/>
      <c r="S233" s="908"/>
      <c r="T233" s="901"/>
      <c r="U233" s="902"/>
      <c r="V233" s="909"/>
      <c r="W233" s="909"/>
      <c r="X233" s="909"/>
      <c r="Y233" s="909"/>
      <c r="Z233" s="909"/>
      <c r="AA233" s="909"/>
      <c r="AB233" s="909"/>
      <c r="AC233" s="909"/>
      <c r="AD233" s="909"/>
    </row>
    <row r="234" s="141" customFormat="1" customHeight="1" spans="1:30">
      <c r="A234" s="900"/>
      <c r="B234" s="900"/>
      <c r="C234" s="900"/>
      <c r="D234" s="901"/>
      <c r="E234" s="901"/>
      <c r="F234" s="902"/>
      <c r="G234" s="902"/>
      <c r="H234" s="903"/>
      <c r="I234" s="900"/>
      <c r="J234" s="900"/>
      <c r="K234" s="902"/>
      <c r="L234" s="904"/>
      <c r="M234" s="904"/>
      <c r="N234" s="905"/>
      <c r="O234" s="905"/>
      <c r="P234" s="906"/>
      <c r="Q234" s="906"/>
      <c r="R234" s="907"/>
      <c r="S234" s="908"/>
      <c r="T234" s="901"/>
      <c r="U234" s="902"/>
      <c r="V234" s="909"/>
      <c r="W234" s="909"/>
      <c r="X234" s="909"/>
      <c r="Y234" s="909"/>
      <c r="Z234" s="909"/>
      <c r="AA234" s="909"/>
      <c r="AB234" s="909"/>
      <c r="AC234" s="909"/>
      <c r="AD234" s="909"/>
    </row>
    <row r="235" s="141" customFormat="1" customHeight="1" spans="1:30">
      <c r="A235" s="900"/>
      <c r="B235" s="900"/>
      <c r="C235" s="900"/>
      <c r="D235" s="901"/>
      <c r="E235" s="901"/>
      <c r="F235" s="902"/>
      <c r="G235" s="902"/>
      <c r="H235" s="903"/>
      <c r="I235" s="900"/>
      <c r="J235" s="900"/>
      <c r="K235" s="902"/>
      <c r="L235" s="904"/>
      <c r="M235" s="904"/>
      <c r="N235" s="905"/>
      <c r="O235" s="905"/>
      <c r="P235" s="906"/>
      <c r="Q235" s="906"/>
      <c r="R235" s="907"/>
      <c r="S235" s="908"/>
      <c r="T235" s="901"/>
      <c r="U235" s="902"/>
      <c r="V235" s="909"/>
      <c r="W235" s="909"/>
      <c r="X235" s="909"/>
      <c r="Y235" s="909"/>
      <c r="Z235" s="909"/>
      <c r="AA235" s="909"/>
      <c r="AB235" s="909"/>
      <c r="AC235" s="909"/>
      <c r="AD235" s="909"/>
    </row>
    <row r="236" s="141" customFormat="1" customHeight="1" spans="1:30">
      <c r="A236" s="900"/>
      <c r="B236" s="900"/>
      <c r="C236" s="900"/>
      <c r="D236" s="901"/>
      <c r="E236" s="901"/>
      <c r="F236" s="902"/>
      <c r="G236" s="902"/>
      <c r="H236" s="903"/>
      <c r="I236" s="900"/>
      <c r="J236" s="900"/>
      <c r="K236" s="902"/>
      <c r="L236" s="904"/>
      <c r="M236" s="904"/>
      <c r="N236" s="905"/>
      <c r="O236" s="905"/>
      <c r="P236" s="906"/>
      <c r="Q236" s="906"/>
      <c r="R236" s="907"/>
      <c r="S236" s="908"/>
      <c r="T236" s="901"/>
      <c r="U236" s="902"/>
      <c r="V236" s="909"/>
      <c r="W236" s="909"/>
      <c r="X236" s="909"/>
      <c r="Y236" s="909"/>
      <c r="Z236" s="909"/>
      <c r="AA236" s="909"/>
      <c r="AB236" s="909"/>
      <c r="AC236" s="909"/>
      <c r="AD236" s="909"/>
    </row>
    <row r="237" s="141" customFormat="1" customHeight="1" spans="1:30">
      <c r="A237" s="900"/>
      <c r="B237" s="900"/>
      <c r="C237" s="900"/>
      <c r="D237" s="901"/>
      <c r="E237" s="901"/>
      <c r="F237" s="902"/>
      <c r="G237" s="902"/>
      <c r="H237" s="903"/>
      <c r="I237" s="900"/>
      <c r="J237" s="900"/>
      <c r="K237" s="902"/>
      <c r="L237" s="904"/>
      <c r="M237" s="904"/>
      <c r="N237" s="905"/>
      <c r="O237" s="905"/>
      <c r="P237" s="906"/>
      <c r="Q237" s="906"/>
      <c r="R237" s="907"/>
      <c r="S237" s="908"/>
      <c r="T237" s="901"/>
      <c r="U237" s="902"/>
      <c r="V237" s="909"/>
      <c r="W237" s="909"/>
      <c r="X237" s="909"/>
      <c r="Y237" s="909"/>
      <c r="Z237" s="909"/>
      <c r="AA237" s="909"/>
      <c r="AB237" s="909"/>
      <c r="AC237" s="909"/>
      <c r="AD237" s="909"/>
    </row>
    <row r="238" s="141" customFormat="1" customHeight="1" spans="1:30">
      <c r="A238" s="900"/>
      <c r="B238" s="900"/>
      <c r="C238" s="900"/>
      <c r="D238" s="901"/>
      <c r="E238" s="901"/>
      <c r="F238" s="902"/>
      <c r="G238" s="902"/>
      <c r="H238" s="903"/>
      <c r="I238" s="900"/>
      <c r="J238" s="900"/>
      <c r="K238" s="902"/>
      <c r="L238" s="904"/>
      <c r="M238" s="904"/>
      <c r="N238" s="905"/>
      <c r="O238" s="905"/>
      <c r="P238" s="906"/>
      <c r="Q238" s="906"/>
      <c r="R238" s="907"/>
      <c r="S238" s="908"/>
      <c r="T238" s="901"/>
      <c r="U238" s="902"/>
      <c r="V238" s="909"/>
      <c r="W238" s="909"/>
      <c r="X238" s="909"/>
      <c r="Y238" s="909"/>
      <c r="Z238" s="909"/>
      <c r="AA238" s="909"/>
      <c r="AB238" s="909"/>
      <c r="AC238" s="909"/>
      <c r="AD238" s="909"/>
    </row>
    <row r="239" s="141" customFormat="1" customHeight="1" spans="1:30">
      <c r="A239" s="900"/>
      <c r="B239" s="900"/>
      <c r="C239" s="900"/>
      <c r="D239" s="901"/>
      <c r="E239" s="901"/>
      <c r="F239" s="902"/>
      <c r="G239" s="902"/>
      <c r="H239" s="903"/>
      <c r="I239" s="900"/>
      <c r="J239" s="900"/>
      <c r="K239" s="902"/>
      <c r="L239" s="904"/>
      <c r="M239" s="904"/>
      <c r="N239" s="905"/>
      <c r="O239" s="905"/>
      <c r="P239" s="906"/>
      <c r="Q239" s="906"/>
      <c r="R239" s="907"/>
      <c r="S239" s="908"/>
      <c r="T239" s="901"/>
      <c r="U239" s="902"/>
      <c r="V239" s="909"/>
      <c r="W239" s="909"/>
      <c r="X239" s="909"/>
      <c r="Y239" s="909"/>
      <c r="Z239" s="909"/>
      <c r="AA239" s="909"/>
      <c r="AB239" s="909"/>
      <c r="AC239" s="909"/>
      <c r="AD239" s="909"/>
    </row>
    <row r="240" s="141" customFormat="1" customHeight="1" spans="1:30">
      <c r="A240" s="900"/>
      <c r="B240" s="900"/>
      <c r="C240" s="900"/>
      <c r="D240" s="901"/>
      <c r="E240" s="901"/>
      <c r="F240" s="902"/>
      <c r="G240" s="902"/>
      <c r="H240" s="903"/>
      <c r="I240" s="900"/>
      <c r="J240" s="900"/>
      <c r="K240" s="902"/>
      <c r="L240" s="904"/>
      <c r="M240" s="904"/>
      <c r="N240" s="905"/>
      <c r="O240" s="905"/>
      <c r="P240" s="906"/>
      <c r="Q240" s="906"/>
      <c r="R240" s="907"/>
      <c r="S240" s="908"/>
      <c r="T240" s="901"/>
      <c r="U240" s="902"/>
      <c r="V240" s="909"/>
      <c r="W240" s="909"/>
      <c r="X240" s="909"/>
      <c r="Y240" s="909"/>
      <c r="Z240" s="909"/>
      <c r="AA240" s="909"/>
      <c r="AB240" s="909"/>
      <c r="AC240" s="909"/>
      <c r="AD240" s="909"/>
    </row>
    <row r="241" s="141" customFormat="1" customHeight="1" spans="1:30">
      <c r="A241" s="900"/>
      <c r="B241" s="900"/>
      <c r="C241" s="900"/>
      <c r="D241" s="901"/>
      <c r="E241" s="901"/>
      <c r="F241" s="902"/>
      <c r="G241" s="902"/>
      <c r="H241" s="903"/>
      <c r="I241" s="900"/>
      <c r="J241" s="900"/>
      <c r="K241" s="902"/>
      <c r="L241" s="904"/>
      <c r="M241" s="904"/>
      <c r="N241" s="905"/>
      <c r="O241" s="905"/>
      <c r="P241" s="906"/>
      <c r="Q241" s="906"/>
      <c r="R241" s="907"/>
      <c r="S241" s="908"/>
      <c r="T241" s="901"/>
      <c r="U241" s="902"/>
      <c r="V241" s="909"/>
      <c r="W241" s="909"/>
      <c r="X241" s="909"/>
      <c r="Y241" s="909"/>
      <c r="Z241" s="909"/>
      <c r="AA241" s="909"/>
      <c r="AB241" s="909"/>
      <c r="AC241" s="909"/>
      <c r="AD241" s="909"/>
    </row>
    <row r="242" s="141" customFormat="1" customHeight="1" spans="1:30">
      <c r="A242" s="900"/>
      <c r="B242" s="900"/>
      <c r="C242" s="900"/>
      <c r="D242" s="901"/>
      <c r="E242" s="901"/>
      <c r="F242" s="902"/>
      <c r="G242" s="902"/>
      <c r="H242" s="903"/>
      <c r="I242" s="900"/>
      <c r="J242" s="900"/>
      <c r="K242" s="902"/>
      <c r="L242" s="904"/>
      <c r="M242" s="904"/>
      <c r="N242" s="905"/>
      <c r="O242" s="905"/>
      <c r="P242" s="906"/>
      <c r="Q242" s="906"/>
      <c r="R242" s="907"/>
      <c r="S242" s="908"/>
      <c r="T242" s="901"/>
      <c r="U242" s="902"/>
      <c r="V242" s="909"/>
      <c r="W242" s="909"/>
      <c r="X242" s="909"/>
      <c r="Y242" s="909"/>
      <c r="Z242" s="909"/>
      <c r="AA242" s="909"/>
      <c r="AB242" s="909"/>
      <c r="AC242" s="909"/>
      <c r="AD242" s="909"/>
    </row>
    <row r="243" s="141" customFormat="1" customHeight="1" spans="1:30">
      <c r="A243" s="900"/>
      <c r="B243" s="900"/>
      <c r="C243" s="900"/>
      <c r="D243" s="901"/>
      <c r="E243" s="901"/>
      <c r="F243" s="902"/>
      <c r="G243" s="902"/>
      <c r="H243" s="903"/>
      <c r="I243" s="900"/>
      <c r="J243" s="900"/>
      <c r="K243" s="902"/>
      <c r="L243" s="904"/>
      <c r="M243" s="904"/>
      <c r="N243" s="905"/>
      <c r="O243" s="905"/>
      <c r="P243" s="906"/>
      <c r="Q243" s="906"/>
      <c r="R243" s="907"/>
      <c r="S243" s="908"/>
      <c r="T243" s="901"/>
      <c r="U243" s="902"/>
      <c r="V243" s="909"/>
      <c r="W243" s="909"/>
      <c r="X243" s="909"/>
      <c r="Y243" s="909"/>
      <c r="Z243" s="909"/>
      <c r="AA243" s="909"/>
      <c r="AB243" s="909"/>
      <c r="AC243" s="909"/>
      <c r="AD243" s="909"/>
    </row>
    <row r="244" s="141" customFormat="1" customHeight="1" spans="1:30">
      <c r="A244" s="900"/>
      <c r="B244" s="900"/>
      <c r="C244" s="900"/>
      <c r="D244" s="901"/>
      <c r="E244" s="901"/>
      <c r="F244" s="902"/>
      <c r="G244" s="902"/>
      <c r="H244" s="903"/>
      <c r="I244" s="900"/>
      <c r="J244" s="900"/>
      <c r="K244" s="902"/>
      <c r="L244" s="904"/>
      <c r="M244" s="904"/>
      <c r="N244" s="905"/>
      <c r="O244" s="905"/>
      <c r="P244" s="906"/>
      <c r="Q244" s="906"/>
      <c r="R244" s="907"/>
      <c r="S244" s="908"/>
      <c r="T244" s="901"/>
      <c r="U244" s="902"/>
      <c r="V244" s="909"/>
      <c r="W244" s="909"/>
      <c r="X244" s="909"/>
      <c r="Y244" s="909"/>
      <c r="Z244" s="909"/>
      <c r="AA244" s="909"/>
      <c r="AB244" s="909"/>
      <c r="AC244" s="909"/>
      <c r="AD244" s="909"/>
    </row>
    <row r="245" s="141" customFormat="1" customHeight="1" spans="1:30">
      <c r="A245" s="900"/>
      <c r="B245" s="900"/>
      <c r="C245" s="900"/>
      <c r="D245" s="901"/>
      <c r="E245" s="901"/>
      <c r="F245" s="902"/>
      <c r="G245" s="902"/>
      <c r="H245" s="903"/>
      <c r="I245" s="900"/>
      <c r="J245" s="900"/>
      <c r="K245" s="902"/>
      <c r="L245" s="904"/>
      <c r="M245" s="904"/>
      <c r="N245" s="905"/>
      <c r="O245" s="905"/>
      <c r="P245" s="906"/>
      <c r="Q245" s="906"/>
      <c r="R245" s="907"/>
      <c r="S245" s="908"/>
      <c r="T245" s="901"/>
      <c r="U245" s="902"/>
      <c r="V245" s="909"/>
      <c r="W245" s="909"/>
      <c r="X245" s="909"/>
      <c r="Y245" s="909"/>
      <c r="Z245" s="909"/>
      <c r="AA245" s="909"/>
      <c r="AB245" s="909"/>
      <c r="AC245" s="909"/>
      <c r="AD245" s="909"/>
    </row>
    <row r="246" s="141" customFormat="1" customHeight="1" spans="1:30">
      <c r="A246" s="900"/>
      <c r="B246" s="900"/>
      <c r="C246" s="900"/>
      <c r="D246" s="901"/>
      <c r="E246" s="901"/>
      <c r="F246" s="902"/>
      <c r="G246" s="902"/>
      <c r="H246" s="903"/>
      <c r="I246" s="900"/>
      <c r="J246" s="900"/>
      <c r="K246" s="902"/>
      <c r="L246" s="904"/>
      <c r="M246" s="904"/>
      <c r="N246" s="905"/>
      <c r="O246" s="905"/>
      <c r="P246" s="906"/>
      <c r="Q246" s="906"/>
      <c r="R246" s="907"/>
      <c r="S246" s="908"/>
      <c r="T246" s="901"/>
      <c r="U246" s="902"/>
      <c r="V246" s="909"/>
      <c r="W246" s="909"/>
      <c r="X246" s="909"/>
      <c r="Y246" s="909"/>
      <c r="Z246" s="909"/>
      <c r="AA246" s="909"/>
      <c r="AB246" s="909"/>
      <c r="AC246" s="909"/>
      <c r="AD246" s="909"/>
    </row>
    <row r="247" s="141" customFormat="1" customHeight="1" spans="1:30">
      <c r="A247" s="900"/>
      <c r="B247" s="900"/>
      <c r="C247" s="900"/>
      <c r="D247" s="901"/>
      <c r="E247" s="901"/>
      <c r="F247" s="902"/>
      <c r="G247" s="902"/>
      <c r="H247" s="903"/>
      <c r="I247" s="900"/>
      <c r="J247" s="900"/>
      <c r="K247" s="902"/>
      <c r="L247" s="904"/>
      <c r="M247" s="904"/>
      <c r="N247" s="905"/>
      <c r="O247" s="905"/>
      <c r="P247" s="906"/>
      <c r="Q247" s="906"/>
      <c r="R247" s="907"/>
      <c r="S247" s="908"/>
      <c r="T247" s="901"/>
      <c r="U247" s="902"/>
      <c r="V247" s="909"/>
      <c r="W247" s="909"/>
      <c r="X247" s="909"/>
      <c r="Y247" s="909"/>
      <c r="Z247" s="909"/>
      <c r="AA247" s="909"/>
      <c r="AB247" s="909"/>
      <c r="AC247" s="909"/>
      <c r="AD247" s="909"/>
    </row>
    <row r="248" s="141" customFormat="1" customHeight="1" spans="1:30">
      <c r="A248" s="900"/>
      <c r="B248" s="900"/>
      <c r="C248" s="900"/>
      <c r="D248" s="901"/>
      <c r="E248" s="901"/>
      <c r="F248" s="902"/>
      <c r="G248" s="902"/>
      <c r="H248" s="903"/>
      <c r="I248" s="900"/>
      <c r="J248" s="900"/>
      <c r="K248" s="902"/>
      <c r="L248" s="904"/>
      <c r="M248" s="904"/>
      <c r="N248" s="905"/>
      <c r="O248" s="905"/>
      <c r="P248" s="906"/>
      <c r="Q248" s="906"/>
      <c r="R248" s="907"/>
      <c r="S248" s="908"/>
      <c r="T248" s="901"/>
      <c r="U248" s="902"/>
      <c r="V248" s="909"/>
      <c r="W248" s="909"/>
      <c r="X248" s="909"/>
      <c r="Y248" s="909"/>
      <c r="Z248" s="909"/>
      <c r="AA248" s="909"/>
      <c r="AB248" s="909"/>
      <c r="AC248" s="909"/>
      <c r="AD248" s="909"/>
    </row>
    <row r="249" s="141" customFormat="1" customHeight="1" spans="1:30">
      <c r="A249" s="900"/>
      <c r="B249" s="900"/>
      <c r="C249" s="900"/>
      <c r="D249" s="901"/>
      <c r="E249" s="901"/>
      <c r="F249" s="902"/>
      <c r="G249" s="902"/>
      <c r="H249" s="903"/>
      <c r="I249" s="900"/>
      <c r="J249" s="900"/>
      <c r="K249" s="902"/>
      <c r="L249" s="904"/>
      <c r="M249" s="904"/>
      <c r="N249" s="905"/>
      <c r="O249" s="905"/>
      <c r="P249" s="906"/>
      <c r="Q249" s="906"/>
      <c r="R249" s="907"/>
      <c r="S249" s="908"/>
      <c r="T249" s="901"/>
      <c r="U249" s="902"/>
      <c r="V249" s="909"/>
      <c r="W249" s="909"/>
      <c r="X249" s="909"/>
      <c r="Y249" s="909"/>
      <c r="Z249" s="909"/>
      <c r="AA249" s="909"/>
      <c r="AB249" s="909"/>
      <c r="AC249" s="909"/>
      <c r="AD249" s="909"/>
    </row>
    <row r="250" s="141" customFormat="1" customHeight="1" spans="1:30">
      <c r="A250" s="900"/>
      <c r="B250" s="900"/>
      <c r="C250" s="900"/>
      <c r="D250" s="901"/>
      <c r="E250" s="901"/>
      <c r="F250" s="902"/>
      <c r="G250" s="902"/>
      <c r="H250" s="903"/>
      <c r="I250" s="900"/>
      <c r="J250" s="900"/>
      <c r="K250" s="902"/>
      <c r="L250" s="904"/>
      <c r="M250" s="904"/>
      <c r="N250" s="905"/>
      <c r="O250" s="905"/>
      <c r="P250" s="906"/>
      <c r="Q250" s="906"/>
      <c r="R250" s="907"/>
      <c r="S250" s="908"/>
      <c r="T250" s="901"/>
      <c r="U250" s="902"/>
      <c r="V250" s="909"/>
      <c r="W250" s="909"/>
      <c r="X250" s="909"/>
      <c r="Y250" s="909"/>
      <c r="Z250" s="909"/>
      <c r="AA250" s="909"/>
      <c r="AB250" s="909"/>
      <c r="AC250" s="909"/>
      <c r="AD250" s="909"/>
    </row>
    <row r="251" s="141" customFormat="1" customHeight="1" spans="1:30">
      <c r="A251" s="900"/>
      <c r="B251" s="900"/>
      <c r="C251" s="900"/>
      <c r="D251" s="901"/>
      <c r="E251" s="901"/>
      <c r="F251" s="902"/>
      <c r="G251" s="902"/>
      <c r="H251" s="903"/>
      <c r="I251" s="900"/>
      <c r="J251" s="900"/>
      <c r="K251" s="902"/>
      <c r="L251" s="904"/>
      <c r="M251" s="904"/>
      <c r="N251" s="905"/>
      <c r="O251" s="905"/>
      <c r="P251" s="906"/>
      <c r="Q251" s="906"/>
      <c r="R251" s="907"/>
      <c r="S251" s="908"/>
      <c r="T251" s="901"/>
      <c r="U251" s="902"/>
      <c r="V251" s="909"/>
      <c r="W251" s="909"/>
      <c r="X251" s="909"/>
      <c r="Y251" s="909"/>
      <c r="Z251" s="909"/>
      <c r="AA251" s="909"/>
      <c r="AB251" s="909"/>
      <c r="AC251" s="909"/>
      <c r="AD251" s="909"/>
    </row>
    <row r="252" s="141" customFormat="1" customHeight="1" spans="1:30">
      <c r="A252" s="900"/>
      <c r="B252" s="900"/>
      <c r="C252" s="900"/>
      <c r="D252" s="901"/>
      <c r="E252" s="901"/>
      <c r="F252" s="902"/>
      <c r="G252" s="902"/>
      <c r="H252" s="903"/>
      <c r="I252" s="900"/>
      <c r="J252" s="900"/>
      <c r="K252" s="902"/>
      <c r="L252" s="904"/>
      <c r="M252" s="904"/>
      <c r="N252" s="905"/>
      <c r="O252" s="905"/>
      <c r="P252" s="906"/>
      <c r="Q252" s="906"/>
      <c r="R252" s="907"/>
      <c r="S252" s="908"/>
      <c r="T252" s="901"/>
      <c r="U252" s="902"/>
      <c r="V252" s="909"/>
      <c r="W252" s="909"/>
      <c r="X252" s="909"/>
      <c r="Y252" s="909"/>
      <c r="Z252" s="909"/>
      <c r="AA252" s="909"/>
      <c r="AB252" s="909"/>
      <c r="AC252" s="909"/>
      <c r="AD252" s="909"/>
    </row>
    <row r="253" s="141" customFormat="1" customHeight="1" spans="1:30">
      <c r="A253" s="900"/>
      <c r="B253" s="900"/>
      <c r="C253" s="900"/>
      <c r="D253" s="901"/>
      <c r="E253" s="901"/>
      <c r="F253" s="902"/>
      <c r="G253" s="902"/>
      <c r="H253" s="903"/>
      <c r="I253" s="900"/>
      <c r="J253" s="900"/>
      <c r="K253" s="902"/>
      <c r="L253" s="904"/>
      <c r="M253" s="904"/>
      <c r="N253" s="905"/>
      <c r="O253" s="905"/>
      <c r="P253" s="906"/>
      <c r="Q253" s="906"/>
      <c r="R253" s="907"/>
      <c r="S253" s="908"/>
      <c r="T253" s="901"/>
      <c r="U253" s="902"/>
      <c r="V253" s="909"/>
      <c r="W253" s="909"/>
      <c r="X253" s="909"/>
      <c r="Y253" s="909"/>
      <c r="Z253" s="909"/>
      <c r="AA253" s="909"/>
      <c r="AB253" s="909"/>
      <c r="AC253" s="909"/>
      <c r="AD253" s="909"/>
    </row>
    <row r="254" s="141" customFormat="1" customHeight="1" spans="1:30">
      <c r="A254" s="900"/>
      <c r="B254" s="900"/>
      <c r="C254" s="900"/>
      <c r="D254" s="901"/>
      <c r="E254" s="901"/>
      <c r="F254" s="902"/>
      <c r="G254" s="902"/>
      <c r="H254" s="903"/>
      <c r="I254" s="900"/>
      <c r="J254" s="900"/>
      <c r="K254" s="902"/>
      <c r="L254" s="904"/>
      <c r="M254" s="904"/>
      <c r="N254" s="905"/>
      <c r="O254" s="905"/>
      <c r="P254" s="906"/>
      <c r="Q254" s="906"/>
      <c r="R254" s="907"/>
      <c r="S254" s="908"/>
      <c r="T254" s="901"/>
      <c r="U254" s="902"/>
      <c r="V254" s="909"/>
      <c r="W254" s="909"/>
      <c r="X254" s="909"/>
      <c r="Y254" s="909"/>
      <c r="Z254" s="909"/>
      <c r="AA254" s="909"/>
      <c r="AB254" s="909"/>
      <c r="AC254" s="909"/>
      <c r="AD254" s="909"/>
    </row>
    <row r="255" s="141" customFormat="1" customHeight="1" spans="1:30">
      <c r="A255" s="900"/>
      <c r="B255" s="900"/>
      <c r="C255" s="900"/>
      <c r="D255" s="901"/>
      <c r="E255" s="901"/>
      <c r="F255" s="902"/>
      <c r="G255" s="902"/>
      <c r="H255" s="903"/>
      <c r="I255" s="900"/>
      <c r="J255" s="900"/>
      <c r="K255" s="902"/>
      <c r="L255" s="904"/>
      <c r="M255" s="904"/>
      <c r="N255" s="905"/>
      <c r="O255" s="905"/>
      <c r="P255" s="906"/>
      <c r="Q255" s="906"/>
      <c r="R255" s="907"/>
      <c r="S255" s="908"/>
      <c r="T255" s="901"/>
      <c r="U255" s="902"/>
      <c r="V255" s="909"/>
      <c r="W255" s="909"/>
      <c r="X255" s="909"/>
      <c r="Y255" s="909"/>
      <c r="Z255" s="909"/>
      <c r="AA255" s="909"/>
      <c r="AB255" s="909"/>
      <c r="AC255" s="909"/>
      <c r="AD255" s="909"/>
    </row>
    <row r="256" s="141" customFormat="1" customHeight="1" spans="1:30">
      <c r="A256" s="900"/>
      <c r="B256" s="900"/>
      <c r="C256" s="900"/>
      <c r="D256" s="901"/>
      <c r="E256" s="901"/>
      <c r="F256" s="902"/>
      <c r="G256" s="902"/>
      <c r="H256" s="903"/>
      <c r="I256" s="900"/>
      <c r="J256" s="900"/>
      <c r="K256" s="902"/>
      <c r="L256" s="904"/>
      <c r="M256" s="904"/>
      <c r="N256" s="905"/>
      <c r="O256" s="905"/>
      <c r="P256" s="906"/>
      <c r="Q256" s="906"/>
      <c r="R256" s="907"/>
      <c r="S256" s="908"/>
      <c r="T256" s="901"/>
      <c r="U256" s="902"/>
      <c r="V256" s="909"/>
      <c r="W256" s="909"/>
      <c r="X256" s="909"/>
      <c r="Y256" s="909"/>
      <c r="Z256" s="909"/>
      <c r="AA256" s="909"/>
      <c r="AB256" s="909"/>
      <c r="AC256" s="909"/>
      <c r="AD256" s="909"/>
    </row>
    <row r="257" s="141" customFormat="1" customHeight="1" spans="1:30">
      <c r="A257" s="900"/>
      <c r="B257" s="900"/>
      <c r="C257" s="900"/>
      <c r="D257" s="901"/>
      <c r="E257" s="901"/>
      <c r="F257" s="902"/>
      <c r="G257" s="902"/>
      <c r="H257" s="903"/>
      <c r="I257" s="900"/>
      <c r="J257" s="900"/>
      <c r="K257" s="902"/>
      <c r="L257" s="904"/>
      <c r="M257" s="904"/>
      <c r="N257" s="905"/>
      <c r="O257" s="905"/>
      <c r="P257" s="906"/>
      <c r="Q257" s="906"/>
      <c r="R257" s="907"/>
      <c r="S257" s="908"/>
      <c r="T257" s="901"/>
      <c r="U257" s="902"/>
      <c r="V257" s="909"/>
      <c r="W257" s="909"/>
      <c r="X257" s="909"/>
      <c r="Y257" s="909"/>
      <c r="Z257" s="909"/>
      <c r="AA257" s="909"/>
      <c r="AB257" s="909"/>
      <c r="AC257" s="909"/>
      <c r="AD257" s="909"/>
    </row>
    <row r="258" s="141" customFormat="1" customHeight="1" spans="1:30">
      <c r="A258" s="900"/>
      <c r="B258" s="900"/>
      <c r="C258" s="900"/>
      <c r="D258" s="901"/>
      <c r="E258" s="901"/>
      <c r="F258" s="902"/>
      <c r="G258" s="902"/>
      <c r="H258" s="903"/>
      <c r="I258" s="900"/>
      <c r="J258" s="900"/>
      <c r="K258" s="902"/>
      <c r="L258" s="904"/>
      <c r="M258" s="904"/>
      <c r="N258" s="905"/>
      <c r="O258" s="905"/>
      <c r="P258" s="906"/>
      <c r="Q258" s="906"/>
      <c r="R258" s="907"/>
      <c r="S258" s="908"/>
      <c r="T258" s="901"/>
      <c r="U258" s="902"/>
      <c r="V258" s="909"/>
      <c r="W258" s="909"/>
      <c r="X258" s="909"/>
      <c r="Y258" s="909"/>
      <c r="Z258" s="909"/>
      <c r="AA258" s="909"/>
      <c r="AB258" s="909"/>
      <c r="AC258" s="909"/>
      <c r="AD258" s="909"/>
    </row>
    <row r="259" s="141" customFormat="1" customHeight="1" spans="1:30">
      <c r="A259" s="900"/>
      <c r="B259" s="900"/>
      <c r="C259" s="900"/>
      <c r="D259" s="901"/>
      <c r="E259" s="901"/>
      <c r="F259" s="902"/>
      <c r="G259" s="902"/>
      <c r="H259" s="903"/>
      <c r="I259" s="900"/>
      <c r="J259" s="900"/>
      <c r="K259" s="902"/>
      <c r="L259" s="904"/>
      <c r="M259" s="904"/>
      <c r="N259" s="905"/>
      <c r="O259" s="905"/>
      <c r="P259" s="906"/>
      <c r="Q259" s="906"/>
      <c r="R259" s="907"/>
      <c r="S259" s="908"/>
      <c r="T259" s="901"/>
      <c r="U259" s="902"/>
      <c r="V259" s="909"/>
      <c r="W259" s="909"/>
      <c r="X259" s="909"/>
      <c r="Y259" s="909"/>
      <c r="Z259" s="909"/>
      <c r="AA259" s="909"/>
      <c r="AB259" s="909"/>
      <c r="AC259" s="909"/>
      <c r="AD259" s="909"/>
    </row>
    <row r="260" s="141" customFormat="1" customHeight="1" spans="1:30">
      <c r="A260" s="900"/>
      <c r="B260" s="900"/>
      <c r="C260" s="900"/>
      <c r="D260" s="901"/>
      <c r="E260" s="901"/>
      <c r="F260" s="902"/>
      <c r="G260" s="902"/>
      <c r="H260" s="903"/>
      <c r="I260" s="900"/>
      <c r="J260" s="900"/>
      <c r="K260" s="902"/>
      <c r="L260" s="904"/>
      <c r="M260" s="904"/>
      <c r="N260" s="905"/>
      <c r="O260" s="905"/>
      <c r="P260" s="906"/>
      <c r="Q260" s="906"/>
      <c r="R260" s="907"/>
      <c r="S260" s="908"/>
      <c r="T260" s="901"/>
      <c r="U260" s="902"/>
      <c r="V260" s="909"/>
      <c r="W260" s="909"/>
      <c r="X260" s="909"/>
      <c r="Y260" s="909"/>
      <c r="Z260" s="909"/>
      <c r="AA260" s="909"/>
      <c r="AB260" s="909"/>
      <c r="AC260" s="909"/>
      <c r="AD260" s="909"/>
    </row>
    <row r="261" s="141" customFormat="1" customHeight="1" spans="1:30">
      <c r="A261" s="900"/>
      <c r="B261" s="900"/>
      <c r="C261" s="900"/>
      <c r="D261" s="901"/>
      <c r="E261" s="901"/>
      <c r="F261" s="902"/>
      <c r="G261" s="902"/>
      <c r="H261" s="903"/>
      <c r="I261" s="900"/>
      <c r="J261" s="900"/>
      <c r="K261" s="902"/>
      <c r="L261" s="904"/>
      <c r="M261" s="904"/>
      <c r="N261" s="905"/>
      <c r="O261" s="905"/>
      <c r="P261" s="906"/>
      <c r="Q261" s="906"/>
      <c r="R261" s="907"/>
      <c r="S261" s="908"/>
      <c r="T261" s="901"/>
      <c r="U261" s="902"/>
      <c r="V261" s="909"/>
      <c r="W261" s="909"/>
      <c r="X261" s="909"/>
      <c r="Y261" s="909"/>
      <c r="Z261" s="909"/>
      <c r="AA261" s="909"/>
      <c r="AB261" s="909"/>
      <c r="AC261" s="909"/>
      <c r="AD261" s="909"/>
    </row>
    <row r="262" s="141" customFormat="1" customHeight="1" spans="1:30">
      <c r="A262" s="900"/>
      <c r="B262" s="900"/>
      <c r="C262" s="900"/>
      <c r="D262" s="901"/>
      <c r="E262" s="901"/>
      <c r="F262" s="902"/>
      <c r="G262" s="902"/>
      <c r="H262" s="903"/>
      <c r="I262" s="900"/>
      <c r="J262" s="900"/>
      <c r="K262" s="902"/>
      <c r="L262" s="904"/>
      <c r="M262" s="904"/>
      <c r="N262" s="905"/>
      <c r="O262" s="905"/>
      <c r="P262" s="906"/>
      <c r="Q262" s="906"/>
      <c r="R262" s="907"/>
      <c r="S262" s="908"/>
      <c r="T262" s="901"/>
      <c r="U262" s="902"/>
      <c r="V262" s="909"/>
      <c r="W262" s="909"/>
      <c r="X262" s="909"/>
      <c r="Y262" s="909"/>
      <c r="Z262" s="909"/>
      <c r="AA262" s="909"/>
      <c r="AB262" s="909"/>
      <c r="AC262" s="909"/>
      <c r="AD262" s="909"/>
    </row>
    <row r="263" s="141" customFormat="1" customHeight="1" spans="1:30">
      <c r="A263" s="900"/>
      <c r="B263" s="900"/>
      <c r="C263" s="900"/>
      <c r="D263" s="901"/>
      <c r="E263" s="901"/>
      <c r="F263" s="902"/>
      <c r="G263" s="902"/>
      <c r="H263" s="903"/>
      <c r="I263" s="900"/>
      <c r="J263" s="900"/>
      <c r="K263" s="902"/>
      <c r="L263" s="904"/>
      <c r="M263" s="904"/>
      <c r="N263" s="905"/>
      <c r="O263" s="905"/>
      <c r="P263" s="906"/>
      <c r="Q263" s="906"/>
      <c r="R263" s="907"/>
      <c r="S263" s="908"/>
      <c r="T263" s="901"/>
      <c r="U263" s="902"/>
      <c r="V263" s="909"/>
      <c r="W263" s="909"/>
      <c r="X263" s="909"/>
      <c r="Y263" s="909"/>
      <c r="Z263" s="909"/>
      <c r="AA263" s="909"/>
      <c r="AB263" s="909"/>
      <c r="AC263" s="909"/>
      <c r="AD263" s="909"/>
    </row>
    <row r="264" s="141" customFormat="1" customHeight="1" spans="1:30">
      <c r="A264" s="900"/>
      <c r="B264" s="900"/>
      <c r="C264" s="900"/>
      <c r="D264" s="901"/>
      <c r="E264" s="901"/>
      <c r="F264" s="902"/>
      <c r="G264" s="902"/>
      <c r="H264" s="903"/>
      <c r="I264" s="900"/>
      <c r="J264" s="900"/>
      <c r="K264" s="902"/>
      <c r="L264" s="904"/>
      <c r="M264" s="904"/>
      <c r="N264" s="905"/>
      <c r="O264" s="905"/>
      <c r="P264" s="906"/>
      <c r="Q264" s="906"/>
      <c r="R264" s="907"/>
      <c r="S264" s="908"/>
      <c r="T264" s="901"/>
      <c r="U264" s="902"/>
      <c r="V264" s="909"/>
      <c r="W264" s="909"/>
      <c r="X264" s="909"/>
      <c r="Y264" s="909"/>
      <c r="Z264" s="909"/>
      <c r="AA264" s="909"/>
      <c r="AB264" s="909"/>
      <c r="AC264" s="909"/>
      <c r="AD264" s="909"/>
    </row>
    <row r="265" s="141" customFormat="1" customHeight="1" spans="1:30">
      <c r="A265" s="900"/>
      <c r="B265" s="900"/>
      <c r="C265" s="900"/>
      <c r="D265" s="901"/>
      <c r="E265" s="901"/>
      <c r="F265" s="902"/>
      <c r="G265" s="902"/>
      <c r="H265" s="903"/>
      <c r="I265" s="900"/>
      <c r="J265" s="900"/>
      <c r="K265" s="902"/>
      <c r="L265" s="904"/>
      <c r="M265" s="904"/>
      <c r="N265" s="905"/>
      <c r="O265" s="905"/>
      <c r="P265" s="906"/>
      <c r="Q265" s="906"/>
      <c r="R265" s="907"/>
      <c r="S265" s="908"/>
      <c r="T265" s="901"/>
      <c r="U265" s="902"/>
      <c r="V265" s="909"/>
      <c r="W265" s="909"/>
      <c r="X265" s="909"/>
      <c r="Y265" s="909"/>
      <c r="Z265" s="909"/>
      <c r="AA265" s="909"/>
      <c r="AB265" s="909"/>
      <c r="AC265" s="909"/>
      <c r="AD265" s="909"/>
    </row>
    <row r="266" s="141" customFormat="1" customHeight="1" spans="1:30">
      <c r="A266" s="900"/>
      <c r="B266" s="900"/>
      <c r="C266" s="900"/>
      <c r="D266" s="901"/>
      <c r="E266" s="901"/>
      <c r="F266" s="902"/>
      <c r="G266" s="902"/>
      <c r="H266" s="903"/>
      <c r="I266" s="900"/>
      <c r="J266" s="900"/>
      <c r="K266" s="902"/>
      <c r="L266" s="904"/>
      <c r="M266" s="904"/>
      <c r="N266" s="905"/>
      <c r="O266" s="905"/>
      <c r="P266" s="906"/>
      <c r="Q266" s="906"/>
      <c r="R266" s="907"/>
      <c r="S266" s="908"/>
      <c r="T266" s="901"/>
      <c r="U266" s="902"/>
      <c r="V266" s="909"/>
      <c r="W266" s="909"/>
      <c r="X266" s="909"/>
      <c r="Y266" s="909"/>
      <c r="Z266" s="909"/>
      <c r="AA266" s="909"/>
      <c r="AB266" s="909"/>
      <c r="AC266" s="909"/>
      <c r="AD266" s="909"/>
    </row>
    <row r="267" s="141" customFormat="1" customHeight="1" spans="1:30">
      <c r="A267" s="900"/>
      <c r="B267" s="900"/>
      <c r="C267" s="900"/>
      <c r="D267" s="901"/>
      <c r="E267" s="901"/>
      <c r="F267" s="902"/>
      <c r="G267" s="902"/>
      <c r="H267" s="903"/>
      <c r="I267" s="900"/>
      <c r="J267" s="900"/>
      <c r="K267" s="902"/>
      <c r="L267" s="904"/>
      <c r="M267" s="904"/>
      <c r="N267" s="905"/>
      <c r="O267" s="905"/>
      <c r="P267" s="906"/>
      <c r="Q267" s="906"/>
      <c r="R267" s="907"/>
      <c r="S267" s="908"/>
      <c r="T267" s="901"/>
      <c r="U267" s="902"/>
      <c r="V267" s="909"/>
      <c r="W267" s="909"/>
      <c r="X267" s="909"/>
      <c r="Y267" s="909"/>
      <c r="Z267" s="909"/>
      <c r="AA267" s="909"/>
      <c r="AB267" s="909"/>
      <c r="AC267" s="909"/>
      <c r="AD267" s="909"/>
    </row>
    <row r="268" s="141" customFormat="1" customHeight="1" spans="1:30">
      <c r="A268" s="900"/>
      <c r="B268" s="900"/>
      <c r="C268" s="900"/>
      <c r="D268" s="901"/>
      <c r="E268" s="901"/>
      <c r="F268" s="902"/>
      <c r="G268" s="902"/>
      <c r="H268" s="903"/>
      <c r="I268" s="900"/>
      <c r="J268" s="900"/>
      <c r="K268" s="902"/>
      <c r="L268" s="904"/>
      <c r="M268" s="904"/>
      <c r="N268" s="905"/>
      <c r="O268" s="905"/>
      <c r="P268" s="906"/>
      <c r="Q268" s="906"/>
      <c r="R268" s="907"/>
      <c r="S268" s="908"/>
      <c r="T268" s="901"/>
      <c r="U268" s="902"/>
      <c r="V268" s="909"/>
      <c r="W268" s="909"/>
      <c r="X268" s="909"/>
      <c r="Y268" s="909"/>
      <c r="Z268" s="909"/>
      <c r="AA268" s="909"/>
      <c r="AB268" s="909"/>
      <c r="AC268" s="909"/>
      <c r="AD268" s="909"/>
    </row>
    <row r="269" s="141" customFormat="1" customHeight="1" spans="1:30">
      <c r="A269" s="900"/>
      <c r="B269" s="900"/>
      <c r="C269" s="900"/>
      <c r="D269" s="901"/>
      <c r="E269" s="901"/>
      <c r="F269" s="902"/>
      <c r="G269" s="902"/>
      <c r="H269" s="903"/>
      <c r="I269" s="900"/>
      <c r="J269" s="900"/>
      <c r="K269" s="902"/>
      <c r="L269" s="904"/>
      <c r="M269" s="904"/>
      <c r="N269" s="905"/>
      <c r="O269" s="905"/>
      <c r="P269" s="906"/>
      <c r="Q269" s="906"/>
      <c r="R269" s="907"/>
      <c r="S269" s="908"/>
      <c r="T269" s="901"/>
      <c r="U269" s="902"/>
      <c r="V269" s="909"/>
      <c r="W269" s="909"/>
      <c r="X269" s="909"/>
      <c r="Y269" s="909"/>
      <c r="Z269" s="909"/>
      <c r="AA269" s="909"/>
      <c r="AB269" s="909"/>
      <c r="AC269" s="909"/>
      <c r="AD269" s="909"/>
    </row>
    <row r="270" s="141" customFormat="1" customHeight="1" spans="1:30">
      <c r="A270" s="900"/>
      <c r="B270" s="900"/>
      <c r="C270" s="900"/>
      <c r="D270" s="901"/>
      <c r="E270" s="901"/>
      <c r="F270" s="902"/>
      <c r="G270" s="902"/>
      <c r="H270" s="903"/>
      <c r="I270" s="900"/>
      <c r="J270" s="900"/>
      <c r="K270" s="902"/>
      <c r="L270" s="904"/>
      <c r="M270" s="904"/>
      <c r="N270" s="905"/>
      <c r="O270" s="905"/>
      <c r="P270" s="906"/>
      <c r="Q270" s="906"/>
      <c r="R270" s="907"/>
      <c r="S270" s="908"/>
      <c r="T270" s="901"/>
      <c r="U270" s="902"/>
      <c r="V270" s="909"/>
      <c r="W270" s="909"/>
      <c r="X270" s="909"/>
      <c r="Y270" s="909"/>
      <c r="Z270" s="909"/>
      <c r="AA270" s="909"/>
      <c r="AB270" s="909"/>
      <c r="AC270" s="909"/>
      <c r="AD270" s="909"/>
    </row>
    <row r="271" s="141" customFormat="1" customHeight="1" spans="1:30">
      <c r="A271" s="900"/>
      <c r="B271" s="900"/>
      <c r="C271" s="900"/>
      <c r="D271" s="901"/>
      <c r="E271" s="901"/>
      <c r="F271" s="902"/>
      <c r="G271" s="902"/>
      <c r="H271" s="903"/>
      <c r="I271" s="900"/>
      <c r="J271" s="900"/>
      <c r="K271" s="902"/>
      <c r="L271" s="904"/>
      <c r="M271" s="904"/>
      <c r="N271" s="905"/>
      <c r="O271" s="905"/>
      <c r="P271" s="906"/>
      <c r="Q271" s="906"/>
      <c r="R271" s="907"/>
      <c r="S271" s="908"/>
      <c r="T271" s="901"/>
      <c r="U271" s="902"/>
      <c r="V271" s="909"/>
      <c r="W271" s="909"/>
      <c r="X271" s="909"/>
      <c r="Y271" s="909"/>
      <c r="Z271" s="909"/>
      <c r="AA271" s="909"/>
      <c r="AB271" s="909"/>
      <c r="AC271" s="909"/>
      <c r="AD271" s="909"/>
    </row>
    <row r="272" s="141" customFormat="1" customHeight="1" spans="1:30">
      <c r="A272" s="900"/>
      <c r="B272" s="900"/>
      <c r="C272" s="900"/>
      <c r="D272" s="901"/>
      <c r="E272" s="901"/>
      <c r="F272" s="902"/>
      <c r="G272" s="902"/>
      <c r="H272" s="903"/>
      <c r="I272" s="900"/>
      <c r="J272" s="900"/>
      <c r="K272" s="902"/>
      <c r="L272" s="904"/>
      <c r="M272" s="904"/>
      <c r="N272" s="905"/>
      <c r="O272" s="905"/>
      <c r="P272" s="906"/>
      <c r="Q272" s="906"/>
      <c r="R272" s="907"/>
      <c r="S272" s="908"/>
      <c r="T272" s="901"/>
      <c r="U272" s="902"/>
      <c r="V272" s="909"/>
      <c r="W272" s="909"/>
      <c r="X272" s="909"/>
      <c r="Y272" s="909"/>
      <c r="Z272" s="909"/>
      <c r="AA272" s="909"/>
      <c r="AB272" s="909"/>
      <c r="AC272" s="909"/>
      <c r="AD272" s="909"/>
    </row>
    <row r="273" s="141" customFormat="1" customHeight="1" spans="1:30">
      <c r="A273" s="900"/>
      <c r="B273" s="900"/>
      <c r="C273" s="900"/>
      <c r="D273" s="901"/>
      <c r="E273" s="901"/>
      <c r="F273" s="902"/>
      <c r="G273" s="902"/>
      <c r="H273" s="903"/>
      <c r="I273" s="900"/>
      <c r="J273" s="900"/>
      <c r="K273" s="902"/>
      <c r="L273" s="904"/>
      <c r="M273" s="904"/>
      <c r="N273" s="905"/>
      <c r="O273" s="905"/>
      <c r="P273" s="906"/>
      <c r="Q273" s="906"/>
      <c r="R273" s="907"/>
      <c r="S273" s="908"/>
      <c r="T273" s="901"/>
      <c r="U273" s="902"/>
      <c r="V273" s="909"/>
      <c r="W273" s="909"/>
      <c r="X273" s="909"/>
      <c r="Y273" s="909"/>
      <c r="Z273" s="909"/>
      <c r="AA273" s="909"/>
      <c r="AB273" s="909"/>
      <c r="AC273" s="909"/>
      <c r="AD273" s="909"/>
    </row>
    <row r="274" s="141" customFormat="1" customHeight="1" spans="1:30">
      <c r="A274" s="900"/>
      <c r="B274" s="900"/>
      <c r="C274" s="900"/>
      <c r="D274" s="901"/>
      <c r="E274" s="901"/>
      <c r="F274" s="902"/>
      <c r="G274" s="902"/>
      <c r="H274" s="903"/>
      <c r="I274" s="900"/>
      <c r="J274" s="900"/>
      <c r="K274" s="902"/>
      <c r="L274" s="904"/>
      <c r="M274" s="904"/>
      <c r="N274" s="905"/>
      <c r="O274" s="905"/>
      <c r="P274" s="906"/>
      <c r="Q274" s="906"/>
      <c r="R274" s="907"/>
      <c r="S274" s="908"/>
      <c r="T274" s="901"/>
      <c r="U274" s="902"/>
      <c r="V274" s="909"/>
      <c r="W274" s="909"/>
      <c r="X274" s="909"/>
      <c r="Y274" s="909"/>
      <c r="Z274" s="909"/>
      <c r="AA274" s="909"/>
      <c r="AB274" s="909"/>
      <c r="AC274" s="909"/>
      <c r="AD274" s="909"/>
    </row>
    <row r="275" s="141" customFormat="1" customHeight="1" spans="1:30">
      <c r="A275" s="900"/>
      <c r="B275" s="900"/>
      <c r="C275" s="900"/>
      <c r="D275" s="901"/>
      <c r="E275" s="901"/>
      <c r="F275" s="902"/>
      <c r="G275" s="902"/>
      <c r="H275" s="903"/>
      <c r="I275" s="900"/>
      <c r="J275" s="900"/>
      <c r="K275" s="902"/>
      <c r="L275" s="904"/>
      <c r="M275" s="904"/>
      <c r="N275" s="905"/>
      <c r="O275" s="905"/>
      <c r="P275" s="906"/>
      <c r="Q275" s="906"/>
      <c r="R275" s="907"/>
      <c r="S275" s="908"/>
      <c r="T275" s="901"/>
      <c r="U275" s="902"/>
      <c r="V275" s="909"/>
      <c r="W275" s="909"/>
      <c r="X275" s="909"/>
      <c r="Y275" s="909"/>
      <c r="Z275" s="909"/>
      <c r="AA275" s="909"/>
      <c r="AB275" s="909"/>
      <c r="AC275" s="909"/>
      <c r="AD275" s="909"/>
    </row>
    <row r="276" s="141" customFormat="1" customHeight="1" spans="1:30">
      <c r="A276" s="900"/>
      <c r="B276" s="900"/>
      <c r="C276" s="900"/>
      <c r="D276" s="901"/>
      <c r="E276" s="901"/>
      <c r="F276" s="902"/>
      <c r="G276" s="902"/>
      <c r="H276" s="903"/>
      <c r="I276" s="900"/>
      <c r="J276" s="900"/>
      <c r="K276" s="902"/>
      <c r="L276" s="904"/>
      <c r="M276" s="904"/>
      <c r="N276" s="905"/>
      <c r="O276" s="905"/>
      <c r="P276" s="906"/>
      <c r="Q276" s="906"/>
      <c r="R276" s="907"/>
      <c r="S276" s="908"/>
      <c r="T276" s="901"/>
      <c r="U276" s="902"/>
      <c r="V276" s="909"/>
      <c r="W276" s="909"/>
      <c r="X276" s="909"/>
      <c r="Y276" s="909"/>
      <c r="Z276" s="909"/>
      <c r="AA276" s="909"/>
      <c r="AB276" s="909"/>
      <c r="AC276" s="909"/>
      <c r="AD276" s="909"/>
    </row>
    <row r="277" s="141" customFormat="1" customHeight="1" spans="1:30">
      <c r="A277" s="900"/>
      <c r="B277" s="900"/>
      <c r="C277" s="900"/>
      <c r="D277" s="901"/>
      <c r="E277" s="901"/>
      <c r="F277" s="902"/>
      <c r="G277" s="902"/>
      <c r="H277" s="903"/>
      <c r="I277" s="900"/>
      <c r="J277" s="900"/>
      <c r="K277" s="902"/>
      <c r="L277" s="904"/>
      <c r="M277" s="904"/>
      <c r="N277" s="905"/>
      <c r="O277" s="905"/>
      <c r="P277" s="906"/>
      <c r="Q277" s="906"/>
      <c r="R277" s="907"/>
      <c r="S277" s="908"/>
      <c r="T277" s="901"/>
      <c r="U277" s="902"/>
      <c r="V277" s="909"/>
      <c r="W277" s="909"/>
      <c r="X277" s="909"/>
      <c r="Y277" s="909"/>
      <c r="Z277" s="909"/>
      <c r="AA277" s="909"/>
      <c r="AB277" s="909"/>
      <c r="AC277" s="909"/>
      <c r="AD277" s="909"/>
    </row>
    <row r="278" s="141" customFormat="1" customHeight="1" spans="1:30">
      <c r="A278" s="900"/>
      <c r="B278" s="900"/>
      <c r="C278" s="900"/>
      <c r="D278" s="901"/>
      <c r="E278" s="901"/>
      <c r="F278" s="902"/>
      <c r="G278" s="902"/>
      <c r="H278" s="903"/>
      <c r="I278" s="900"/>
      <c r="J278" s="900"/>
      <c r="K278" s="902"/>
      <c r="L278" s="904"/>
      <c r="M278" s="904"/>
      <c r="N278" s="905"/>
      <c r="O278" s="905"/>
      <c r="P278" s="906"/>
      <c r="Q278" s="906"/>
      <c r="R278" s="907"/>
      <c r="S278" s="908"/>
      <c r="T278" s="901"/>
      <c r="U278" s="902"/>
      <c r="V278" s="909"/>
      <c r="W278" s="909"/>
      <c r="X278" s="909"/>
      <c r="Y278" s="909"/>
      <c r="Z278" s="909"/>
      <c r="AA278" s="909"/>
      <c r="AB278" s="909"/>
      <c r="AC278" s="909"/>
      <c r="AD278" s="909"/>
    </row>
    <row r="279" s="141" customFormat="1" customHeight="1" spans="1:30">
      <c r="A279" s="900"/>
      <c r="B279" s="900"/>
      <c r="C279" s="900"/>
      <c r="D279" s="901"/>
      <c r="E279" s="901"/>
      <c r="F279" s="902"/>
      <c r="G279" s="902"/>
      <c r="H279" s="903"/>
      <c r="I279" s="900"/>
      <c r="J279" s="900"/>
      <c r="K279" s="902"/>
      <c r="L279" s="904"/>
      <c r="M279" s="904"/>
      <c r="N279" s="905"/>
      <c r="O279" s="905"/>
      <c r="P279" s="906"/>
      <c r="Q279" s="906"/>
      <c r="R279" s="907"/>
      <c r="S279" s="908"/>
      <c r="T279" s="901"/>
      <c r="U279" s="902"/>
      <c r="V279" s="909"/>
      <c r="W279" s="909"/>
      <c r="X279" s="909"/>
      <c r="Y279" s="909"/>
      <c r="Z279" s="909"/>
      <c r="AA279" s="909"/>
      <c r="AB279" s="909"/>
      <c r="AC279" s="909"/>
      <c r="AD279" s="909"/>
    </row>
    <row r="280" s="141" customFormat="1" customHeight="1" spans="1:30">
      <c r="A280" s="900"/>
      <c r="B280" s="900"/>
      <c r="C280" s="900"/>
      <c r="D280" s="901"/>
      <c r="E280" s="901"/>
      <c r="F280" s="902"/>
      <c r="G280" s="902"/>
      <c r="H280" s="903"/>
      <c r="I280" s="900"/>
      <c r="J280" s="900"/>
      <c r="K280" s="902"/>
      <c r="L280" s="904"/>
      <c r="M280" s="904"/>
      <c r="N280" s="905"/>
      <c r="O280" s="905"/>
      <c r="P280" s="906"/>
      <c r="Q280" s="906"/>
      <c r="R280" s="907"/>
      <c r="S280" s="908"/>
      <c r="T280" s="901"/>
      <c r="U280" s="902"/>
      <c r="V280" s="909"/>
      <c r="W280" s="909"/>
      <c r="X280" s="909"/>
      <c r="Y280" s="909"/>
      <c r="Z280" s="909"/>
      <c r="AA280" s="909"/>
      <c r="AB280" s="909"/>
      <c r="AC280" s="909"/>
      <c r="AD280" s="909"/>
    </row>
    <row r="281" s="141" customFormat="1" customHeight="1" spans="1:30">
      <c r="A281" s="900"/>
      <c r="B281" s="900"/>
      <c r="C281" s="900"/>
      <c r="D281" s="901"/>
      <c r="E281" s="901"/>
      <c r="F281" s="902"/>
      <c r="G281" s="902"/>
      <c r="H281" s="903"/>
      <c r="I281" s="900"/>
      <c r="J281" s="900"/>
      <c r="K281" s="902"/>
      <c r="L281" s="904"/>
      <c r="M281" s="904"/>
      <c r="N281" s="905"/>
      <c r="O281" s="905"/>
      <c r="P281" s="906"/>
      <c r="Q281" s="906"/>
      <c r="R281" s="907"/>
      <c r="S281" s="908"/>
      <c r="T281" s="901"/>
      <c r="U281" s="902"/>
      <c r="V281" s="909"/>
      <c r="W281" s="909"/>
      <c r="X281" s="909"/>
      <c r="Y281" s="909"/>
      <c r="Z281" s="909"/>
      <c r="AA281" s="909"/>
      <c r="AB281" s="909"/>
      <c r="AC281" s="909"/>
      <c r="AD281" s="909"/>
    </row>
    <row r="282" s="141" customFormat="1" customHeight="1" spans="1:30">
      <c r="A282" s="900"/>
      <c r="B282" s="900"/>
      <c r="C282" s="900"/>
      <c r="D282" s="901"/>
      <c r="E282" s="901"/>
      <c r="F282" s="902"/>
      <c r="G282" s="902"/>
      <c r="H282" s="903"/>
      <c r="I282" s="900"/>
      <c r="J282" s="900"/>
      <c r="K282" s="902"/>
      <c r="L282" s="904"/>
      <c r="M282" s="904"/>
      <c r="N282" s="905"/>
      <c r="O282" s="905"/>
      <c r="P282" s="906"/>
      <c r="Q282" s="906"/>
      <c r="R282" s="907"/>
      <c r="S282" s="908"/>
      <c r="T282" s="901"/>
      <c r="U282" s="902"/>
      <c r="V282" s="909"/>
      <c r="W282" s="909"/>
      <c r="X282" s="909"/>
      <c r="Y282" s="909"/>
      <c r="Z282" s="909"/>
      <c r="AA282" s="909"/>
      <c r="AB282" s="909"/>
      <c r="AC282" s="909"/>
      <c r="AD282" s="909"/>
    </row>
    <row r="283" s="141" customFormat="1" customHeight="1" spans="1:30">
      <c r="A283" s="900"/>
      <c r="B283" s="900"/>
      <c r="C283" s="900"/>
      <c r="D283" s="901"/>
      <c r="E283" s="901"/>
      <c r="F283" s="902"/>
      <c r="G283" s="902"/>
      <c r="H283" s="903"/>
      <c r="I283" s="900"/>
      <c r="J283" s="900"/>
      <c r="K283" s="902"/>
      <c r="L283" s="904"/>
      <c r="M283" s="904"/>
      <c r="N283" s="905"/>
      <c r="O283" s="905"/>
      <c r="P283" s="906"/>
      <c r="Q283" s="906"/>
      <c r="R283" s="907"/>
      <c r="S283" s="908"/>
      <c r="T283" s="901"/>
      <c r="U283" s="902"/>
      <c r="V283" s="909"/>
      <c r="W283" s="909"/>
      <c r="X283" s="909"/>
      <c r="Y283" s="909"/>
      <c r="Z283" s="909"/>
      <c r="AA283" s="909"/>
      <c r="AB283" s="909"/>
      <c r="AC283" s="909"/>
      <c r="AD283" s="909"/>
    </row>
    <row r="284" s="141" customFormat="1" customHeight="1" spans="1:30">
      <c r="A284" s="900"/>
      <c r="B284" s="900"/>
      <c r="C284" s="900"/>
      <c r="D284" s="901"/>
      <c r="E284" s="901"/>
      <c r="F284" s="902"/>
      <c r="G284" s="902"/>
      <c r="H284" s="903"/>
      <c r="I284" s="900"/>
      <c r="J284" s="900"/>
      <c r="K284" s="902"/>
      <c r="L284" s="904"/>
      <c r="M284" s="904"/>
      <c r="N284" s="905"/>
      <c r="O284" s="905"/>
      <c r="P284" s="906"/>
      <c r="Q284" s="906"/>
      <c r="R284" s="907"/>
      <c r="S284" s="908"/>
      <c r="T284" s="901"/>
      <c r="U284" s="902"/>
      <c r="V284" s="909"/>
      <c r="W284" s="909"/>
      <c r="X284" s="909"/>
      <c r="Y284" s="909"/>
      <c r="Z284" s="909"/>
      <c r="AA284" s="909"/>
      <c r="AB284" s="909"/>
      <c r="AC284" s="909"/>
      <c r="AD284" s="909"/>
    </row>
    <row r="285" s="141" customFormat="1" customHeight="1" spans="1:30">
      <c r="A285" s="900"/>
      <c r="B285" s="900"/>
      <c r="C285" s="900"/>
      <c r="D285" s="901"/>
      <c r="E285" s="901"/>
      <c r="F285" s="902"/>
      <c r="G285" s="902"/>
      <c r="H285" s="903"/>
      <c r="I285" s="900"/>
      <c r="J285" s="900"/>
      <c r="K285" s="902"/>
      <c r="L285" s="904"/>
      <c r="M285" s="904"/>
      <c r="N285" s="905"/>
      <c r="O285" s="905"/>
      <c r="P285" s="906"/>
      <c r="Q285" s="906"/>
      <c r="R285" s="907"/>
      <c r="S285" s="908"/>
      <c r="T285" s="901"/>
      <c r="U285" s="902"/>
      <c r="V285" s="909"/>
      <c r="W285" s="909"/>
      <c r="X285" s="909"/>
      <c r="Y285" s="909"/>
      <c r="Z285" s="909"/>
      <c r="AA285" s="909"/>
      <c r="AB285" s="909"/>
      <c r="AC285" s="909"/>
      <c r="AD285" s="909"/>
    </row>
    <row r="286" s="141" customFormat="1" customHeight="1" spans="1:30">
      <c r="A286" s="900"/>
      <c r="B286" s="900"/>
      <c r="C286" s="900"/>
      <c r="D286" s="901"/>
      <c r="E286" s="901"/>
      <c r="F286" s="902"/>
      <c r="G286" s="902"/>
      <c r="H286" s="903"/>
      <c r="I286" s="900"/>
      <c r="J286" s="900"/>
      <c r="K286" s="902"/>
      <c r="L286" s="904"/>
      <c r="M286" s="904"/>
      <c r="N286" s="905"/>
      <c r="O286" s="905"/>
      <c r="P286" s="906"/>
      <c r="Q286" s="906"/>
      <c r="R286" s="907"/>
      <c r="S286" s="908"/>
      <c r="T286" s="901"/>
      <c r="U286" s="902"/>
      <c r="V286" s="909"/>
      <c r="W286" s="909"/>
      <c r="X286" s="909"/>
      <c r="Y286" s="909"/>
      <c r="Z286" s="909"/>
      <c r="AA286" s="909"/>
      <c r="AB286" s="909"/>
      <c r="AC286" s="909"/>
      <c r="AD286" s="909"/>
    </row>
    <row r="287" s="141" customFormat="1" customHeight="1" spans="1:30">
      <c r="A287" s="900"/>
      <c r="B287" s="900"/>
      <c r="C287" s="900"/>
      <c r="D287" s="901"/>
      <c r="E287" s="901"/>
      <c r="F287" s="902"/>
      <c r="G287" s="902"/>
      <c r="H287" s="903"/>
      <c r="I287" s="900"/>
      <c r="J287" s="900"/>
      <c r="K287" s="902"/>
      <c r="L287" s="904"/>
      <c r="M287" s="904"/>
      <c r="N287" s="905"/>
      <c r="O287" s="905"/>
      <c r="P287" s="906"/>
      <c r="Q287" s="906"/>
      <c r="R287" s="907"/>
      <c r="S287" s="908"/>
      <c r="T287" s="901"/>
      <c r="U287" s="902"/>
      <c r="V287" s="909"/>
      <c r="W287" s="909"/>
      <c r="X287" s="909"/>
      <c r="Y287" s="909"/>
      <c r="Z287" s="909"/>
      <c r="AA287" s="909"/>
      <c r="AB287" s="909"/>
      <c r="AC287" s="909"/>
      <c r="AD287" s="909"/>
    </row>
    <row r="288" s="141" customFormat="1" customHeight="1" spans="1:30">
      <c r="A288" s="900"/>
      <c r="B288" s="900"/>
      <c r="C288" s="900"/>
      <c r="D288" s="901"/>
      <c r="E288" s="901"/>
      <c r="F288" s="902"/>
      <c r="G288" s="902"/>
      <c r="H288" s="903"/>
      <c r="I288" s="900"/>
      <c r="J288" s="900"/>
      <c r="K288" s="902"/>
      <c r="L288" s="904"/>
      <c r="M288" s="904"/>
      <c r="N288" s="905"/>
      <c r="O288" s="905"/>
      <c r="P288" s="906"/>
      <c r="Q288" s="906"/>
      <c r="R288" s="907"/>
      <c r="S288" s="908"/>
      <c r="T288" s="901"/>
      <c r="U288" s="902"/>
      <c r="V288" s="909"/>
      <c r="W288" s="909"/>
      <c r="X288" s="909"/>
      <c r="Y288" s="909"/>
      <c r="Z288" s="909"/>
      <c r="AA288" s="909"/>
      <c r="AB288" s="909"/>
      <c r="AC288" s="909"/>
      <c r="AD288" s="909"/>
    </row>
    <row r="289" s="141" customFormat="1" customHeight="1" spans="1:30">
      <c r="A289" s="900"/>
      <c r="B289" s="900"/>
      <c r="C289" s="900"/>
      <c r="D289" s="901"/>
      <c r="E289" s="901"/>
      <c r="F289" s="902"/>
      <c r="G289" s="902"/>
      <c r="H289" s="903"/>
      <c r="I289" s="900"/>
      <c r="J289" s="900"/>
      <c r="K289" s="902"/>
      <c r="L289" s="904"/>
      <c r="M289" s="904"/>
      <c r="N289" s="905"/>
      <c r="O289" s="905"/>
      <c r="P289" s="906"/>
      <c r="Q289" s="906"/>
      <c r="R289" s="907"/>
      <c r="S289" s="908"/>
      <c r="T289" s="901"/>
      <c r="U289" s="902"/>
      <c r="V289" s="909"/>
      <c r="W289" s="909"/>
      <c r="X289" s="909"/>
      <c r="Y289" s="909"/>
      <c r="Z289" s="909"/>
      <c r="AA289" s="909"/>
      <c r="AB289" s="909"/>
      <c r="AC289" s="909"/>
      <c r="AD289" s="909"/>
    </row>
    <row r="290" s="141" customFormat="1" customHeight="1" spans="1:30">
      <c r="A290" s="900"/>
      <c r="B290" s="900"/>
      <c r="C290" s="900"/>
      <c r="D290" s="901"/>
      <c r="E290" s="901"/>
      <c r="F290" s="902"/>
      <c r="G290" s="902"/>
      <c r="H290" s="903"/>
      <c r="I290" s="900"/>
      <c r="J290" s="900"/>
      <c r="K290" s="902"/>
      <c r="L290" s="904"/>
      <c r="M290" s="904"/>
      <c r="N290" s="905"/>
      <c r="O290" s="905"/>
      <c r="P290" s="906"/>
      <c r="Q290" s="906"/>
      <c r="R290" s="907"/>
      <c r="S290" s="908"/>
      <c r="T290" s="901"/>
      <c r="U290" s="902"/>
      <c r="V290" s="909"/>
      <c r="W290" s="909"/>
      <c r="X290" s="909"/>
      <c r="Y290" s="909"/>
      <c r="Z290" s="909"/>
      <c r="AA290" s="909"/>
      <c r="AB290" s="909"/>
      <c r="AC290" s="909"/>
      <c r="AD290" s="909"/>
    </row>
    <row r="291" s="141" customFormat="1" customHeight="1" spans="1:30">
      <c r="A291" s="900"/>
      <c r="B291" s="900"/>
      <c r="C291" s="900"/>
      <c r="D291" s="901"/>
      <c r="E291" s="901"/>
      <c r="F291" s="902"/>
      <c r="G291" s="902"/>
      <c r="H291" s="903"/>
      <c r="I291" s="900"/>
      <c r="J291" s="900"/>
      <c r="K291" s="902"/>
      <c r="L291" s="904"/>
      <c r="M291" s="904"/>
      <c r="N291" s="905"/>
      <c r="O291" s="905"/>
      <c r="P291" s="906"/>
      <c r="Q291" s="906"/>
      <c r="R291" s="907"/>
      <c r="S291" s="908"/>
      <c r="T291" s="901"/>
      <c r="U291" s="902"/>
      <c r="V291" s="909"/>
      <c r="W291" s="909"/>
      <c r="X291" s="909"/>
      <c r="Y291" s="909"/>
      <c r="Z291" s="909"/>
      <c r="AA291" s="909"/>
      <c r="AB291" s="909"/>
      <c r="AC291" s="909"/>
      <c r="AD291" s="909"/>
    </row>
    <row r="292" s="141" customFormat="1" customHeight="1" spans="1:30">
      <c r="A292" s="900"/>
      <c r="B292" s="900"/>
      <c r="C292" s="900"/>
      <c r="D292" s="901"/>
      <c r="E292" s="901"/>
      <c r="F292" s="902"/>
      <c r="G292" s="902"/>
      <c r="H292" s="903"/>
      <c r="I292" s="900"/>
      <c r="J292" s="900"/>
      <c r="K292" s="902"/>
      <c r="L292" s="904"/>
      <c r="M292" s="904"/>
      <c r="N292" s="905"/>
      <c r="O292" s="905"/>
      <c r="P292" s="906"/>
      <c r="Q292" s="906"/>
      <c r="R292" s="907"/>
      <c r="S292" s="908"/>
      <c r="T292" s="901"/>
      <c r="U292" s="902"/>
      <c r="V292" s="909"/>
      <c r="W292" s="909"/>
      <c r="X292" s="909"/>
      <c r="Y292" s="909"/>
      <c r="Z292" s="909"/>
      <c r="AA292" s="909"/>
      <c r="AB292" s="909"/>
      <c r="AC292" s="909"/>
      <c r="AD292" s="909"/>
    </row>
    <row r="293" s="141" customFormat="1" customHeight="1" spans="1:30">
      <c r="A293" s="900"/>
      <c r="B293" s="900"/>
      <c r="C293" s="900"/>
      <c r="D293" s="901"/>
      <c r="E293" s="901"/>
      <c r="F293" s="902"/>
      <c r="G293" s="902"/>
      <c r="H293" s="903"/>
      <c r="I293" s="900"/>
      <c r="J293" s="900"/>
      <c r="K293" s="902"/>
      <c r="L293" s="904"/>
      <c r="M293" s="904"/>
      <c r="N293" s="905"/>
      <c r="O293" s="905"/>
      <c r="P293" s="906"/>
      <c r="Q293" s="906"/>
      <c r="R293" s="907"/>
      <c r="S293" s="908"/>
      <c r="T293" s="901"/>
      <c r="U293" s="902"/>
      <c r="V293" s="909"/>
      <c r="W293" s="909"/>
      <c r="X293" s="909"/>
      <c r="Y293" s="909"/>
      <c r="Z293" s="909"/>
      <c r="AA293" s="909"/>
      <c r="AB293" s="909"/>
      <c r="AC293" s="909"/>
      <c r="AD293" s="909"/>
    </row>
    <row r="294" s="141" customFormat="1" customHeight="1" spans="1:30">
      <c r="A294" s="900"/>
      <c r="B294" s="900"/>
      <c r="C294" s="900"/>
      <c r="D294" s="901"/>
      <c r="E294" s="901"/>
      <c r="F294" s="902"/>
      <c r="G294" s="902"/>
      <c r="H294" s="903"/>
      <c r="I294" s="900"/>
      <c r="J294" s="900"/>
      <c r="K294" s="902"/>
      <c r="L294" s="904"/>
      <c r="M294" s="904"/>
      <c r="N294" s="905"/>
      <c r="O294" s="905"/>
      <c r="P294" s="906"/>
      <c r="Q294" s="906"/>
      <c r="R294" s="907"/>
      <c r="S294" s="908"/>
      <c r="T294" s="901"/>
      <c r="U294" s="902"/>
      <c r="V294" s="909"/>
      <c r="W294" s="909"/>
      <c r="X294" s="909"/>
      <c r="Y294" s="909"/>
      <c r="Z294" s="909"/>
      <c r="AA294" s="909"/>
      <c r="AB294" s="909"/>
      <c r="AC294" s="909"/>
      <c r="AD294" s="909"/>
    </row>
    <row r="295" s="141" customFormat="1" customHeight="1" spans="1:30">
      <c r="A295" s="900"/>
      <c r="B295" s="900"/>
      <c r="C295" s="900"/>
      <c r="D295" s="901"/>
      <c r="E295" s="901"/>
      <c r="F295" s="902"/>
      <c r="G295" s="902"/>
      <c r="H295" s="903"/>
      <c r="I295" s="900"/>
      <c r="J295" s="900"/>
      <c r="K295" s="902"/>
      <c r="L295" s="904"/>
      <c r="M295" s="904"/>
      <c r="N295" s="905"/>
      <c r="O295" s="905"/>
      <c r="P295" s="906"/>
      <c r="Q295" s="906"/>
      <c r="R295" s="907"/>
      <c r="S295" s="908"/>
      <c r="T295" s="901"/>
      <c r="U295" s="902"/>
      <c r="V295" s="909"/>
      <c r="W295" s="909"/>
      <c r="X295" s="909"/>
      <c r="Y295" s="909"/>
      <c r="Z295" s="909"/>
      <c r="AA295" s="909"/>
      <c r="AB295" s="909"/>
      <c r="AC295" s="909"/>
      <c r="AD295" s="909"/>
    </row>
    <row r="296" s="141" customFormat="1" customHeight="1" spans="1:30">
      <c r="A296" s="900"/>
      <c r="B296" s="900"/>
      <c r="C296" s="900"/>
      <c r="D296" s="901"/>
      <c r="E296" s="901"/>
      <c r="F296" s="902"/>
      <c r="G296" s="902"/>
      <c r="H296" s="903"/>
      <c r="I296" s="900"/>
      <c r="J296" s="900"/>
      <c r="K296" s="902"/>
      <c r="L296" s="904"/>
      <c r="M296" s="904"/>
      <c r="N296" s="905"/>
      <c r="O296" s="905"/>
      <c r="P296" s="906"/>
      <c r="Q296" s="906"/>
      <c r="R296" s="907"/>
      <c r="S296" s="908"/>
      <c r="T296" s="901"/>
      <c r="U296" s="902"/>
      <c r="V296" s="909"/>
      <c r="W296" s="909"/>
      <c r="X296" s="909"/>
      <c r="Y296" s="909"/>
      <c r="Z296" s="909"/>
      <c r="AA296" s="909"/>
      <c r="AB296" s="909"/>
      <c r="AC296" s="909"/>
      <c r="AD296" s="909"/>
    </row>
    <row r="297" s="141" customFormat="1" customHeight="1" spans="1:30">
      <c r="A297" s="900"/>
      <c r="B297" s="900"/>
      <c r="C297" s="900"/>
      <c r="D297" s="901"/>
      <c r="E297" s="901"/>
      <c r="F297" s="902"/>
      <c r="G297" s="902"/>
      <c r="H297" s="903"/>
      <c r="I297" s="900"/>
      <c r="J297" s="900"/>
      <c r="K297" s="902"/>
      <c r="L297" s="904"/>
      <c r="M297" s="904"/>
      <c r="N297" s="905"/>
      <c r="O297" s="905"/>
      <c r="P297" s="906"/>
      <c r="Q297" s="906"/>
      <c r="R297" s="907"/>
      <c r="S297" s="908"/>
      <c r="T297" s="901"/>
      <c r="U297" s="902"/>
      <c r="V297" s="909"/>
      <c r="W297" s="909"/>
      <c r="X297" s="909"/>
      <c r="Y297" s="909"/>
      <c r="Z297" s="909"/>
      <c r="AA297" s="909"/>
      <c r="AB297" s="909"/>
      <c r="AC297" s="909"/>
      <c r="AD297" s="909"/>
    </row>
    <row r="298" s="141" customFormat="1" customHeight="1" spans="1:30">
      <c r="A298" s="900"/>
      <c r="B298" s="900"/>
      <c r="C298" s="900"/>
      <c r="D298" s="901"/>
      <c r="E298" s="901"/>
      <c r="F298" s="902"/>
      <c r="G298" s="902"/>
      <c r="H298" s="903"/>
      <c r="I298" s="900"/>
      <c r="J298" s="900"/>
      <c r="K298" s="902"/>
      <c r="L298" s="904"/>
      <c r="M298" s="904"/>
      <c r="N298" s="905"/>
      <c r="O298" s="905"/>
      <c r="P298" s="906"/>
      <c r="Q298" s="906"/>
      <c r="R298" s="907"/>
      <c r="S298" s="908"/>
      <c r="T298" s="901"/>
      <c r="U298" s="902"/>
      <c r="V298" s="909"/>
      <c r="W298" s="909"/>
      <c r="X298" s="909"/>
      <c r="Y298" s="909"/>
      <c r="Z298" s="909"/>
      <c r="AA298" s="909"/>
      <c r="AB298" s="909"/>
      <c r="AC298" s="909"/>
      <c r="AD298" s="909"/>
    </row>
    <row r="299" s="141" customFormat="1" customHeight="1" spans="1:30">
      <c r="A299" s="900"/>
      <c r="B299" s="900"/>
      <c r="C299" s="900"/>
      <c r="D299" s="901"/>
      <c r="E299" s="901"/>
      <c r="F299" s="902"/>
      <c r="G299" s="902"/>
      <c r="H299" s="903"/>
      <c r="I299" s="900"/>
      <c r="J299" s="900"/>
      <c r="K299" s="902"/>
      <c r="L299" s="904"/>
      <c r="M299" s="904"/>
      <c r="N299" s="905"/>
      <c r="O299" s="905"/>
      <c r="P299" s="906"/>
      <c r="Q299" s="906"/>
      <c r="R299" s="907"/>
      <c r="S299" s="908"/>
      <c r="T299" s="901"/>
      <c r="U299" s="902"/>
      <c r="V299" s="909"/>
      <c r="W299" s="909"/>
      <c r="X299" s="909"/>
      <c r="Y299" s="909"/>
      <c r="Z299" s="909"/>
      <c r="AA299" s="909"/>
      <c r="AB299" s="909"/>
      <c r="AC299" s="909"/>
      <c r="AD299" s="909"/>
    </row>
    <row r="300" s="141" customFormat="1" customHeight="1" spans="1:30">
      <c r="A300" s="900"/>
      <c r="B300" s="900"/>
      <c r="C300" s="900"/>
      <c r="D300" s="901"/>
      <c r="E300" s="901"/>
      <c r="F300" s="902"/>
      <c r="G300" s="902"/>
      <c r="H300" s="903"/>
      <c r="I300" s="900"/>
      <c r="J300" s="900"/>
      <c r="K300" s="902"/>
      <c r="L300" s="904"/>
      <c r="M300" s="904"/>
      <c r="N300" s="905"/>
      <c r="O300" s="905"/>
      <c r="P300" s="906"/>
      <c r="Q300" s="906"/>
      <c r="R300" s="907"/>
      <c r="S300" s="908"/>
      <c r="T300" s="901"/>
      <c r="U300" s="902"/>
      <c r="V300" s="909"/>
      <c r="W300" s="909"/>
      <c r="X300" s="909"/>
      <c r="Y300" s="909"/>
      <c r="Z300" s="909"/>
      <c r="AA300" s="909"/>
      <c r="AB300" s="909"/>
      <c r="AC300" s="909"/>
      <c r="AD300" s="909"/>
    </row>
    <row r="301" s="141" customFormat="1" customHeight="1" spans="1:30">
      <c r="A301" s="900"/>
      <c r="B301" s="900"/>
      <c r="C301" s="900"/>
      <c r="D301" s="901"/>
      <c r="E301" s="901"/>
      <c r="F301" s="902"/>
      <c r="G301" s="902"/>
      <c r="H301" s="903"/>
      <c r="I301" s="900"/>
      <c r="J301" s="900"/>
      <c r="K301" s="902"/>
      <c r="L301" s="904"/>
      <c r="M301" s="904"/>
      <c r="N301" s="905"/>
      <c r="O301" s="905"/>
      <c r="P301" s="906"/>
      <c r="Q301" s="906"/>
      <c r="R301" s="907"/>
      <c r="S301" s="908"/>
      <c r="T301" s="901"/>
      <c r="U301" s="902"/>
      <c r="V301" s="909"/>
      <c r="W301" s="909"/>
      <c r="X301" s="909"/>
      <c r="Y301" s="909"/>
      <c r="Z301" s="909"/>
      <c r="AA301" s="909"/>
      <c r="AB301" s="909"/>
      <c r="AC301" s="909"/>
      <c r="AD301" s="909"/>
    </row>
    <row r="302" s="141" customFormat="1" customHeight="1" spans="1:30">
      <c r="A302" s="900"/>
      <c r="B302" s="900"/>
      <c r="C302" s="900"/>
      <c r="D302" s="901"/>
      <c r="E302" s="901"/>
      <c r="F302" s="902"/>
      <c r="G302" s="902"/>
      <c r="H302" s="903"/>
      <c r="I302" s="900"/>
      <c r="J302" s="900"/>
      <c r="K302" s="902"/>
      <c r="L302" s="904"/>
      <c r="M302" s="904"/>
      <c r="N302" s="905"/>
      <c r="O302" s="905"/>
      <c r="P302" s="906"/>
      <c r="Q302" s="906"/>
      <c r="R302" s="907"/>
      <c r="S302" s="908"/>
      <c r="T302" s="901"/>
      <c r="U302" s="902"/>
      <c r="V302" s="909"/>
      <c r="W302" s="909"/>
      <c r="X302" s="909"/>
      <c r="Y302" s="909"/>
      <c r="Z302" s="909"/>
      <c r="AA302" s="909"/>
      <c r="AB302" s="909"/>
      <c r="AC302" s="909"/>
      <c r="AD302" s="909"/>
    </row>
    <row r="303" s="141" customFormat="1" customHeight="1" spans="1:30">
      <c r="A303" s="900"/>
      <c r="B303" s="900"/>
      <c r="C303" s="900"/>
      <c r="D303" s="901"/>
      <c r="E303" s="901"/>
      <c r="F303" s="902"/>
      <c r="G303" s="902"/>
      <c r="H303" s="903"/>
      <c r="I303" s="900"/>
      <c r="J303" s="900"/>
      <c r="K303" s="902"/>
      <c r="L303" s="904"/>
      <c r="M303" s="904"/>
      <c r="N303" s="905"/>
      <c r="O303" s="905"/>
      <c r="P303" s="906"/>
      <c r="Q303" s="906"/>
      <c r="R303" s="907"/>
      <c r="S303" s="908"/>
      <c r="T303" s="901"/>
      <c r="U303" s="902"/>
      <c r="V303" s="909"/>
      <c r="W303" s="909"/>
      <c r="X303" s="909"/>
      <c r="Y303" s="909"/>
      <c r="Z303" s="909"/>
      <c r="AA303" s="909"/>
      <c r="AB303" s="909"/>
      <c r="AC303" s="909"/>
      <c r="AD303" s="909"/>
    </row>
    <row r="304" s="141" customFormat="1" customHeight="1" spans="1:30">
      <c r="A304" s="900"/>
      <c r="B304" s="900"/>
      <c r="C304" s="900"/>
      <c r="D304" s="901"/>
      <c r="E304" s="901"/>
      <c r="F304" s="902"/>
      <c r="G304" s="902"/>
      <c r="H304" s="903"/>
      <c r="I304" s="900"/>
      <c r="J304" s="900"/>
      <c r="K304" s="902"/>
      <c r="L304" s="904"/>
      <c r="M304" s="904"/>
      <c r="N304" s="905"/>
      <c r="O304" s="905"/>
      <c r="P304" s="906"/>
      <c r="Q304" s="906"/>
      <c r="R304" s="907"/>
      <c r="S304" s="908"/>
      <c r="T304" s="901"/>
      <c r="U304" s="902"/>
      <c r="V304" s="909"/>
      <c r="W304" s="909"/>
      <c r="X304" s="909"/>
      <c r="Y304" s="909"/>
      <c r="Z304" s="909"/>
      <c r="AA304" s="909"/>
      <c r="AB304" s="909"/>
      <c r="AC304" s="909"/>
      <c r="AD304" s="909"/>
    </row>
    <row r="305" s="141" customFormat="1" customHeight="1" spans="1:30">
      <c r="A305" s="900"/>
      <c r="B305" s="900"/>
      <c r="C305" s="900"/>
      <c r="D305" s="901"/>
      <c r="E305" s="901"/>
      <c r="F305" s="902"/>
      <c r="G305" s="902"/>
      <c r="H305" s="903"/>
      <c r="I305" s="900"/>
      <c r="J305" s="900"/>
      <c r="K305" s="902"/>
      <c r="L305" s="904"/>
      <c r="M305" s="904"/>
      <c r="N305" s="905"/>
      <c r="O305" s="905"/>
      <c r="P305" s="906"/>
      <c r="Q305" s="906"/>
      <c r="R305" s="907"/>
      <c r="S305" s="908"/>
      <c r="T305" s="901"/>
      <c r="U305" s="902"/>
      <c r="V305" s="909"/>
      <c r="W305" s="909"/>
      <c r="X305" s="909"/>
      <c r="Y305" s="909"/>
      <c r="Z305" s="909"/>
      <c r="AA305" s="909"/>
      <c r="AB305" s="909"/>
      <c r="AC305" s="909"/>
      <c r="AD305" s="909"/>
    </row>
    <row r="306" s="141" customFormat="1" customHeight="1" spans="1:30">
      <c r="A306" s="900"/>
      <c r="B306" s="900"/>
      <c r="C306" s="900"/>
      <c r="D306" s="901"/>
      <c r="E306" s="901"/>
      <c r="F306" s="902"/>
      <c r="G306" s="902"/>
      <c r="H306" s="903"/>
      <c r="I306" s="900"/>
      <c r="J306" s="900"/>
      <c r="K306" s="902"/>
      <c r="L306" s="904"/>
      <c r="M306" s="904"/>
      <c r="N306" s="905"/>
      <c r="O306" s="905"/>
      <c r="P306" s="906"/>
      <c r="Q306" s="906"/>
      <c r="R306" s="907"/>
      <c r="S306" s="908"/>
      <c r="T306" s="901"/>
      <c r="U306" s="902"/>
      <c r="V306" s="909"/>
      <c r="W306" s="909"/>
      <c r="X306" s="909"/>
      <c r="Y306" s="909"/>
      <c r="Z306" s="909"/>
      <c r="AA306" s="909"/>
      <c r="AB306" s="909"/>
      <c r="AC306" s="909"/>
      <c r="AD306" s="909"/>
    </row>
    <row r="307" s="141" customFormat="1" customHeight="1" spans="1:30">
      <c r="A307" s="900"/>
      <c r="B307" s="900"/>
      <c r="C307" s="900"/>
      <c r="D307" s="901"/>
      <c r="E307" s="901"/>
      <c r="F307" s="902"/>
      <c r="G307" s="902"/>
      <c r="H307" s="903"/>
      <c r="I307" s="900"/>
      <c r="J307" s="900"/>
      <c r="K307" s="902"/>
      <c r="L307" s="904"/>
      <c r="M307" s="904"/>
      <c r="N307" s="905"/>
      <c r="O307" s="905"/>
      <c r="P307" s="906"/>
      <c r="Q307" s="906"/>
      <c r="R307" s="907"/>
      <c r="S307" s="908"/>
      <c r="T307" s="901"/>
      <c r="U307" s="902"/>
      <c r="V307" s="909"/>
      <c r="W307" s="909"/>
      <c r="X307" s="909"/>
      <c r="Y307" s="909"/>
      <c r="Z307" s="909"/>
      <c r="AA307" s="909"/>
      <c r="AB307" s="909"/>
      <c r="AC307" s="909"/>
      <c r="AD307" s="909"/>
    </row>
    <row r="308" s="141" customFormat="1" customHeight="1" spans="1:30">
      <c r="A308" s="900"/>
      <c r="B308" s="900"/>
      <c r="C308" s="900"/>
      <c r="D308" s="901"/>
      <c r="E308" s="901"/>
      <c r="F308" s="902"/>
      <c r="G308" s="902"/>
      <c r="H308" s="903"/>
      <c r="I308" s="900"/>
      <c r="J308" s="900"/>
      <c r="K308" s="902"/>
      <c r="L308" s="904"/>
      <c r="M308" s="904"/>
      <c r="N308" s="905"/>
      <c r="O308" s="905"/>
      <c r="P308" s="906"/>
      <c r="Q308" s="906"/>
      <c r="R308" s="907"/>
      <c r="S308" s="908"/>
      <c r="T308" s="901"/>
      <c r="U308" s="902"/>
      <c r="V308" s="909"/>
      <c r="W308" s="909"/>
      <c r="X308" s="909"/>
      <c r="Y308" s="909"/>
      <c r="Z308" s="909"/>
      <c r="AA308" s="909"/>
      <c r="AB308" s="909"/>
      <c r="AC308" s="909"/>
      <c r="AD308" s="909"/>
    </row>
    <row r="309" s="141" customFormat="1" customHeight="1" spans="1:30">
      <c r="A309" s="900"/>
      <c r="B309" s="900"/>
      <c r="C309" s="900"/>
      <c r="D309" s="901"/>
      <c r="E309" s="901"/>
      <c r="F309" s="902"/>
      <c r="G309" s="902"/>
      <c r="H309" s="903"/>
      <c r="I309" s="900"/>
      <c r="J309" s="900"/>
      <c r="K309" s="902"/>
      <c r="L309" s="904"/>
      <c r="M309" s="904"/>
      <c r="N309" s="905"/>
      <c r="O309" s="905"/>
      <c r="P309" s="906"/>
      <c r="Q309" s="906"/>
      <c r="R309" s="907"/>
      <c r="S309" s="908"/>
      <c r="T309" s="901"/>
      <c r="U309" s="902"/>
      <c r="V309" s="909"/>
      <c r="W309" s="909"/>
      <c r="X309" s="909"/>
      <c r="Y309" s="909"/>
      <c r="Z309" s="909"/>
      <c r="AA309" s="909"/>
      <c r="AB309" s="909"/>
      <c r="AC309" s="909"/>
      <c r="AD309" s="909"/>
    </row>
    <row r="310" s="141" customFormat="1" customHeight="1" spans="1:30">
      <c r="A310" s="900"/>
      <c r="B310" s="900"/>
      <c r="C310" s="900"/>
      <c r="D310" s="901"/>
      <c r="E310" s="901"/>
      <c r="F310" s="902"/>
      <c r="G310" s="902"/>
      <c r="H310" s="903"/>
      <c r="I310" s="900"/>
      <c r="J310" s="900"/>
      <c r="K310" s="902"/>
      <c r="L310" s="904"/>
      <c r="M310" s="904"/>
      <c r="N310" s="905"/>
      <c r="O310" s="905"/>
      <c r="P310" s="906"/>
      <c r="Q310" s="906"/>
      <c r="R310" s="907"/>
      <c r="S310" s="908"/>
      <c r="T310" s="901"/>
      <c r="U310" s="902"/>
      <c r="V310" s="909"/>
      <c r="W310" s="909"/>
      <c r="X310" s="909"/>
      <c r="Y310" s="909"/>
      <c r="Z310" s="909"/>
      <c r="AA310" s="909"/>
      <c r="AB310" s="909"/>
      <c r="AC310" s="909"/>
      <c r="AD310" s="909"/>
    </row>
    <row r="311" s="141" customFormat="1" customHeight="1" spans="1:30">
      <c r="A311" s="900"/>
      <c r="B311" s="900"/>
      <c r="C311" s="900"/>
      <c r="D311" s="901"/>
      <c r="E311" s="901"/>
      <c r="F311" s="902"/>
      <c r="G311" s="902"/>
      <c r="H311" s="903"/>
      <c r="I311" s="900"/>
      <c r="J311" s="900"/>
      <c r="K311" s="902"/>
      <c r="L311" s="904"/>
      <c r="M311" s="904"/>
      <c r="N311" s="905"/>
      <c r="O311" s="905"/>
      <c r="P311" s="906"/>
      <c r="Q311" s="906"/>
      <c r="R311" s="907"/>
      <c r="S311" s="908"/>
      <c r="T311" s="901"/>
      <c r="U311" s="902"/>
      <c r="V311" s="909"/>
      <c r="W311" s="909"/>
      <c r="X311" s="909"/>
      <c r="Y311" s="909"/>
      <c r="Z311" s="909"/>
      <c r="AA311" s="909"/>
      <c r="AB311" s="909"/>
      <c r="AC311" s="909"/>
      <c r="AD311" s="909"/>
    </row>
    <row r="312" s="141" customFormat="1" customHeight="1" spans="1:30">
      <c r="A312" s="900"/>
      <c r="B312" s="900"/>
      <c r="C312" s="900"/>
      <c r="D312" s="901"/>
      <c r="E312" s="901"/>
      <c r="F312" s="902"/>
      <c r="G312" s="902"/>
      <c r="H312" s="903"/>
      <c r="I312" s="900"/>
      <c r="J312" s="900"/>
      <c r="K312" s="902"/>
      <c r="L312" s="904"/>
      <c r="M312" s="904"/>
      <c r="N312" s="905"/>
      <c r="O312" s="905"/>
      <c r="P312" s="906"/>
      <c r="Q312" s="906"/>
      <c r="R312" s="907"/>
      <c r="S312" s="908"/>
      <c r="T312" s="901"/>
      <c r="U312" s="902"/>
      <c r="V312" s="909"/>
      <c r="W312" s="909"/>
      <c r="X312" s="909"/>
      <c r="Y312" s="909"/>
      <c r="Z312" s="909"/>
      <c r="AA312" s="909"/>
      <c r="AB312" s="909"/>
      <c r="AC312" s="909"/>
      <c r="AD312" s="909"/>
    </row>
    <row r="313" s="141" customFormat="1" customHeight="1" spans="1:30">
      <c r="A313" s="900"/>
      <c r="B313" s="900"/>
      <c r="C313" s="900"/>
      <c r="D313" s="901"/>
      <c r="E313" s="901"/>
      <c r="F313" s="902"/>
      <c r="G313" s="902"/>
      <c r="H313" s="903"/>
      <c r="I313" s="900"/>
      <c r="J313" s="900"/>
      <c r="K313" s="902"/>
      <c r="L313" s="904"/>
      <c r="M313" s="904"/>
      <c r="N313" s="905"/>
      <c r="O313" s="905"/>
      <c r="P313" s="906"/>
      <c r="Q313" s="906"/>
      <c r="R313" s="907"/>
      <c r="S313" s="908"/>
      <c r="T313" s="901"/>
      <c r="U313" s="902"/>
      <c r="V313" s="909"/>
      <c r="W313" s="909"/>
      <c r="X313" s="909"/>
      <c r="Y313" s="909"/>
      <c r="Z313" s="909"/>
      <c r="AA313" s="909"/>
      <c r="AB313" s="909"/>
      <c r="AC313" s="909"/>
      <c r="AD313" s="909"/>
    </row>
    <row r="314" s="141" customFormat="1" customHeight="1" spans="1:30">
      <c r="A314" s="900"/>
      <c r="B314" s="900"/>
      <c r="C314" s="900"/>
      <c r="D314" s="901"/>
      <c r="E314" s="901"/>
      <c r="F314" s="902"/>
      <c r="G314" s="902"/>
      <c r="H314" s="903"/>
      <c r="I314" s="900"/>
      <c r="J314" s="900"/>
      <c r="K314" s="902"/>
      <c r="L314" s="904"/>
      <c r="M314" s="904"/>
      <c r="N314" s="905"/>
      <c r="O314" s="905"/>
      <c r="P314" s="906"/>
      <c r="Q314" s="906"/>
      <c r="R314" s="907"/>
      <c r="S314" s="908"/>
      <c r="T314" s="901"/>
      <c r="U314" s="902"/>
      <c r="V314" s="909"/>
      <c r="W314" s="909"/>
      <c r="X314" s="909"/>
      <c r="Y314" s="909"/>
      <c r="Z314" s="909"/>
      <c r="AA314" s="909"/>
      <c r="AB314" s="909"/>
      <c r="AC314" s="909"/>
      <c r="AD314" s="909"/>
    </row>
    <row r="315" s="141" customFormat="1" customHeight="1" spans="1:30">
      <c r="A315" s="900"/>
      <c r="B315" s="900"/>
      <c r="C315" s="900"/>
      <c r="D315" s="901"/>
      <c r="E315" s="901"/>
      <c r="F315" s="902"/>
      <c r="G315" s="902"/>
      <c r="H315" s="903"/>
      <c r="I315" s="900"/>
      <c r="J315" s="900"/>
      <c r="K315" s="902"/>
      <c r="L315" s="904"/>
      <c r="M315" s="904"/>
      <c r="N315" s="905"/>
      <c r="O315" s="905"/>
      <c r="P315" s="906"/>
      <c r="Q315" s="906"/>
      <c r="R315" s="907"/>
      <c r="S315" s="908"/>
      <c r="T315" s="901"/>
      <c r="U315" s="902"/>
      <c r="V315" s="909"/>
      <c r="W315" s="909"/>
      <c r="X315" s="909"/>
      <c r="Y315" s="909"/>
      <c r="Z315" s="909"/>
      <c r="AA315" s="909"/>
      <c r="AB315" s="909"/>
      <c r="AC315" s="909"/>
      <c r="AD315" s="909"/>
    </row>
    <row r="316" s="141" customFormat="1" customHeight="1" spans="1:30">
      <c r="A316" s="900"/>
      <c r="B316" s="900"/>
      <c r="C316" s="900"/>
      <c r="D316" s="901"/>
      <c r="E316" s="901"/>
      <c r="F316" s="902"/>
      <c r="G316" s="902"/>
      <c r="H316" s="903"/>
      <c r="I316" s="900"/>
      <c r="J316" s="900"/>
      <c r="K316" s="902"/>
      <c r="L316" s="904"/>
      <c r="M316" s="904"/>
      <c r="N316" s="905"/>
      <c r="O316" s="905"/>
      <c r="P316" s="906"/>
      <c r="Q316" s="906"/>
      <c r="R316" s="907"/>
      <c r="S316" s="908"/>
      <c r="T316" s="901"/>
      <c r="U316" s="902"/>
      <c r="V316" s="909"/>
      <c r="W316" s="909"/>
      <c r="X316" s="909"/>
      <c r="Y316" s="909"/>
      <c r="Z316" s="909"/>
      <c r="AA316" s="909"/>
      <c r="AB316" s="909"/>
      <c r="AC316" s="909"/>
      <c r="AD316" s="909"/>
    </row>
    <row r="317" s="141" customFormat="1" customHeight="1" spans="1:30">
      <c r="A317" s="900"/>
      <c r="B317" s="900"/>
      <c r="C317" s="900"/>
      <c r="D317" s="901"/>
      <c r="E317" s="901"/>
      <c r="F317" s="902"/>
      <c r="G317" s="902"/>
      <c r="H317" s="903"/>
      <c r="I317" s="900"/>
      <c r="J317" s="900"/>
      <c r="K317" s="902"/>
      <c r="L317" s="904"/>
      <c r="M317" s="904"/>
      <c r="N317" s="905"/>
      <c r="O317" s="905"/>
      <c r="P317" s="906"/>
      <c r="Q317" s="906"/>
      <c r="R317" s="907"/>
      <c r="S317" s="908"/>
      <c r="T317" s="901"/>
      <c r="U317" s="902"/>
      <c r="V317" s="909"/>
      <c r="W317" s="909"/>
      <c r="X317" s="909"/>
      <c r="Y317" s="909"/>
      <c r="Z317" s="909"/>
      <c r="AA317" s="909"/>
      <c r="AB317" s="909"/>
      <c r="AC317" s="909"/>
      <c r="AD317" s="909"/>
    </row>
    <row r="318" s="141" customFormat="1" customHeight="1" spans="1:30">
      <c r="A318" s="900"/>
      <c r="B318" s="900"/>
      <c r="C318" s="900"/>
      <c r="D318" s="901"/>
      <c r="E318" s="901"/>
      <c r="F318" s="902"/>
      <c r="G318" s="902"/>
      <c r="H318" s="903"/>
      <c r="I318" s="900"/>
      <c r="J318" s="900"/>
      <c r="K318" s="902"/>
      <c r="L318" s="904"/>
      <c r="M318" s="904"/>
      <c r="N318" s="905"/>
      <c r="O318" s="905"/>
      <c r="P318" s="906"/>
      <c r="Q318" s="906"/>
      <c r="R318" s="907"/>
      <c r="S318" s="908"/>
      <c r="T318" s="901"/>
      <c r="U318" s="902"/>
      <c r="V318" s="909"/>
      <c r="W318" s="909"/>
      <c r="X318" s="909"/>
      <c r="Y318" s="909"/>
      <c r="Z318" s="909"/>
      <c r="AA318" s="909"/>
      <c r="AB318" s="909"/>
      <c r="AC318" s="909"/>
      <c r="AD318" s="909"/>
    </row>
    <row r="319" s="141" customFormat="1" customHeight="1" spans="1:30">
      <c r="A319" s="900"/>
      <c r="B319" s="900"/>
      <c r="C319" s="900"/>
      <c r="D319" s="901"/>
      <c r="E319" s="901"/>
      <c r="F319" s="902"/>
      <c r="G319" s="902"/>
      <c r="H319" s="903"/>
      <c r="I319" s="900"/>
      <c r="J319" s="900"/>
      <c r="K319" s="902"/>
      <c r="L319" s="904"/>
      <c r="M319" s="904"/>
      <c r="N319" s="905"/>
      <c r="O319" s="905"/>
      <c r="P319" s="906"/>
      <c r="Q319" s="906"/>
      <c r="R319" s="907"/>
      <c r="S319" s="908"/>
      <c r="T319" s="901"/>
      <c r="U319" s="902"/>
      <c r="V319" s="909"/>
      <c r="W319" s="909"/>
      <c r="X319" s="909"/>
      <c r="Y319" s="909"/>
      <c r="Z319" s="909"/>
      <c r="AA319" s="909"/>
      <c r="AB319" s="909"/>
      <c r="AC319" s="909"/>
      <c r="AD319" s="909"/>
    </row>
    <row r="320" s="141" customFormat="1" customHeight="1" spans="1:30">
      <c r="A320" s="900"/>
      <c r="B320" s="900"/>
      <c r="C320" s="900"/>
      <c r="D320" s="901"/>
      <c r="E320" s="901"/>
      <c r="F320" s="902"/>
      <c r="G320" s="902"/>
      <c r="H320" s="903"/>
      <c r="I320" s="900"/>
      <c r="J320" s="900"/>
      <c r="K320" s="902"/>
      <c r="L320" s="904"/>
      <c r="M320" s="904"/>
      <c r="N320" s="905"/>
      <c r="O320" s="905"/>
      <c r="P320" s="906"/>
      <c r="Q320" s="906"/>
      <c r="R320" s="907"/>
      <c r="S320" s="908"/>
      <c r="T320" s="901"/>
      <c r="U320" s="902"/>
      <c r="V320" s="909"/>
      <c r="W320" s="909"/>
      <c r="X320" s="909"/>
      <c r="Y320" s="909"/>
      <c r="Z320" s="909"/>
      <c r="AA320" s="909"/>
      <c r="AB320" s="909"/>
      <c r="AC320" s="909"/>
      <c r="AD320" s="909"/>
    </row>
    <row r="321" s="141" customFormat="1" customHeight="1" spans="1:30">
      <c r="A321" s="900"/>
      <c r="B321" s="900"/>
      <c r="C321" s="900"/>
      <c r="D321" s="901"/>
      <c r="E321" s="901"/>
      <c r="F321" s="902"/>
      <c r="G321" s="902"/>
      <c r="H321" s="903"/>
      <c r="I321" s="900"/>
      <c r="J321" s="900"/>
      <c r="K321" s="902"/>
      <c r="L321" s="904"/>
      <c r="M321" s="904"/>
      <c r="N321" s="905"/>
      <c r="O321" s="905"/>
      <c r="P321" s="906"/>
      <c r="Q321" s="906"/>
      <c r="R321" s="907"/>
      <c r="S321" s="908"/>
      <c r="T321" s="901"/>
      <c r="U321" s="902"/>
      <c r="V321" s="909"/>
      <c r="W321" s="909"/>
      <c r="X321" s="909"/>
      <c r="Y321" s="909"/>
      <c r="Z321" s="909"/>
      <c r="AA321" s="909"/>
      <c r="AB321" s="909"/>
      <c r="AC321" s="909"/>
      <c r="AD321" s="909"/>
    </row>
    <row r="322" s="141" customFormat="1" customHeight="1" spans="1:30">
      <c r="A322" s="900"/>
      <c r="B322" s="900"/>
      <c r="C322" s="900"/>
      <c r="D322" s="901"/>
      <c r="E322" s="901"/>
      <c r="F322" s="902"/>
      <c r="G322" s="902"/>
      <c r="H322" s="903"/>
      <c r="I322" s="900"/>
      <c r="J322" s="900"/>
      <c r="K322" s="902"/>
      <c r="L322" s="904"/>
      <c r="M322" s="904"/>
      <c r="N322" s="905"/>
      <c r="O322" s="905"/>
      <c r="P322" s="906"/>
      <c r="Q322" s="906"/>
      <c r="R322" s="907"/>
      <c r="S322" s="908"/>
      <c r="T322" s="901"/>
      <c r="U322" s="902"/>
      <c r="V322" s="909"/>
      <c r="W322" s="909"/>
      <c r="X322" s="909"/>
      <c r="Y322" s="909"/>
      <c r="Z322" s="909"/>
      <c r="AA322" s="909"/>
      <c r="AB322" s="909"/>
      <c r="AC322" s="909"/>
      <c r="AD322" s="909"/>
    </row>
    <row r="323" s="141" customFormat="1" customHeight="1" spans="1:30">
      <c r="A323" s="900"/>
      <c r="B323" s="900"/>
      <c r="C323" s="900"/>
      <c r="D323" s="901"/>
      <c r="E323" s="901"/>
      <c r="F323" s="902"/>
      <c r="G323" s="902"/>
      <c r="H323" s="903"/>
      <c r="I323" s="900"/>
      <c r="J323" s="900"/>
      <c r="K323" s="902"/>
      <c r="L323" s="904"/>
      <c r="M323" s="904"/>
      <c r="N323" s="905"/>
      <c r="O323" s="905"/>
      <c r="P323" s="906"/>
      <c r="Q323" s="906"/>
      <c r="R323" s="907"/>
      <c r="S323" s="908"/>
      <c r="T323" s="901"/>
      <c r="U323" s="902"/>
      <c r="V323" s="909"/>
      <c r="W323" s="909"/>
      <c r="X323" s="909"/>
      <c r="Y323" s="909"/>
      <c r="Z323" s="909"/>
      <c r="AA323" s="909"/>
      <c r="AB323" s="909"/>
      <c r="AC323" s="909"/>
      <c r="AD323" s="909"/>
    </row>
    <row r="324" s="141" customFormat="1" customHeight="1" spans="1:30">
      <c r="A324" s="900"/>
      <c r="B324" s="900"/>
      <c r="C324" s="900"/>
      <c r="D324" s="901"/>
      <c r="E324" s="901"/>
      <c r="F324" s="902"/>
      <c r="G324" s="902"/>
      <c r="H324" s="903"/>
      <c r="I324" s="900"/>
      <c r="J324" s="900"/>
      <c r="K324" s="902"/>
      <c r="L324" s="904"/>
      <c r="M324" s="904"/>
      <c r="N324" s="905"/>
      <c r="O324" s="905"/>
      <c r="P324" s="906"/>
      <c r="Q324" s="906"/>
      <c r="R324" s="907"/>
      <c r="S324" s="908"/>
      <c r="T324" s="901"/>
      <c r="U324" s="902"/>
      <c r="V324" s="909"/>
      <c r="W324" s="909"/>
      <c r="X324" s="909"/>
      <c r="Y324" s="909"/>
      <c r="Z324" s="909"/>
      <c r="AA324" s="909"/>
      <c r="AB324" s="909"/>
      <c r="AC324" s="909"/>
      <c r="AD324" s="909"/>
    </row>
    <row r="325" s="141" customFormat="1" customHeight="1" spans="1:30">
      <c r="A325" s="900"/>
      <c r="B325" s="900"/>
      <c r="C325" s="900"/>
      <c r="D325" s="901"/>
      <c r="E325" s="901"/>
      <c r="F325" s="902"/>
      <c r="G325" s="902"/>
      <c r="H325" s="903"/>
      <c r="I325" s="900"/>
      <c r="J325" s="900"/>
      <c r="K325" s="902"/>
      <c r="L325" s="904"/>
      <c r="M325" s="904"/>
      <c r="N325" s="905"/>
      <c r="O325" s="905"/>
      <c r="P325" s="906"/>
      <c r="Q325" s="906"/>
      <c r="R325" s="907"/>
      <c r="S325" s="908"/>
      <c r="T325" s="901"/>
      <c r="U325" s="902"/>
      <c r="V325" s="909"/>
      <c r="W325" s="909"/>
      <c r="X325" s="909"/>
      <c r="Y325" s="909"/>
      <c r="Z325" s="909"/>
      <c r="AA325" s="909"/>
      <c r="AB325" s="909"/>
      <c r="AC325" s="909"/>
      <c r="AD325" s="909"/>
    </row>
    <row r="326" s="141" customFormat="1" customHeight="1" spans="1:30">
      <c r="A326" s="900"/>
      <c r="B326" s="900"/>
      <c r="C326" s="900"/>
      <c r="D326" s="901"/>
      <c r="E326" s="901"/>
      <c r="F326" s="902"/>
      <c r="G326" s="902"/>
      <c r="H326" s="903"/>
      <c r="I326" s="900"/>
      <c r="J326" s="900"/>
      <c r="K326" s="902"/>
      <c r="L326" s="904"/>
      <c r="M326" s="904"/>
      <c r="N326" s="905"/>
      <c r="O326" s="905"/>
      <c r="P326" s="906"/>
      <c r="Q326" s="906"/>
      <c r="R326" s="907"/>
      <c r="S326" s="908"/>
      <c r="T326" s="901"/>
      <c r="U326" s="902"/>
      <c r="V326" s="909"/>
      <c r="W326" s="909"/>
      <c r="X326" s="909"/>
      <c r="Y326" s="909"/>
      <c r="Z326" s="909"/>
      <c r="AA326" s="909"/>
      <c r="AB326" s="909"/>
      <c r="AC326" s="909"/>
      <c r="AD326" s="909"/>
    </row>
    <row r="327" s="141" customFormat="1" customHeight="1" spans="1:30">
      <c r="A327" s="900"/>
      <c r="B327" s="900"/>
      <c r="C327" s="900"/>
      <c r="D327" s="901"/>
      <c r="E327" s="901"/>
      <c r="F327" s="902"/>
      <c r="G327" s="902"/>
      <c r="H327" s="903"/>
      <c r="I327" s="900"/>
      <c r="J327" s="900"/>
      <c r="K327" s="902"/>
      <c r="L327" s="904"/>
      <c r="M327" s="904"/>
      <c r="N327" s="905"/>
      <c r="O327" s="905"/>
      <c r="P327" s="906"/>
      <c r="Q327" s="906"/>
      <c r="R327" s="907"/>
      <c r="S327" s="908"/>
      <c r="T327" s="901"/>
      <c r="U327" s="902"/>
      <c r="V327" s="909"/>
      <c r="W327" s="909"/>
      <c r="X327" s="909"/>
      <c r="Y327" s="909"/>
      <c r="Z327" s="909"/>
      <c r="AA327" s="909"/>
      <c r="AB327" s="909"/>
      <c r="AC327" s="909"/>
      <c r="AD327" s="909"/>
    </row>
    <row r="328" s="141" customFormat="1" customHeight="1" spans="1:30">
      <c r="A328" s="900"/>
      <c r="B328" s="900"/>
      <c r="C328" s="900"/>
      <c r="D328" s="901"/>
      <c r="E328" s="901"/>
      <c r="F328" s="902"/>
      <c r="G328" s="902"/>
      <c r="H328" s="903"/>
      <c r="I328" s="900"/>
      <c r="J328" s="900"/>
      <c r="K328" s="902"/>
      <c r="L328" s="904"/>
      <c r="M328" s="904"/>
      <c r="N328" s="905"/>
      <c r="O328" s="905"/>
      <c r="P328" s="906"/>
      <c r="Q328" s="906"/>
      <c r="R328" s="907"/>
      <c r="S328" s="908"/>
      <c r="T328" s="901"/>
      <c r="U328" s="902"/>
      <c r="V328" s="909"/>
      <c r="W328" s="909"/>
      <c r="X328" s="909"/>
      <c r="Y328" s="909"/>
      <c r="Z328" s="909"/>
      <c r="AA328" s="909"/>
      <c r="AB328" s="909"/>
      <c r="AC328" s="909"/>
      <c r="AD328" s="909"/>
    </row>
    <row r="329" s="141" customFormat="1" customHeight="1" spans="1:30">
      <c r="A329" s="900"/>
      <c r="B329" s="900"/>
      <c r="C329" s="900"/>
      <c r="D329" s="901"/>
      <c r="E329" s="901"/>
      <c r="F329" s="902"/>
      <c r="G329" s="902"/>
      <c r="H329" s="903"/>
      <c r="I329" s="900"/>
      <c r="J329" s="900"/>
      <c r="K329" s="902"/>
      <c r="L329" s="904"/>
      <c r="M329" s="904"/>
      <c r="N329" s="905"/>
      <c r="O329" s="905"/>
      <c r="P329" s="906"/>
      <c r="Q329" s="906"/>
      <c r="R329" s="907"/>
      <c r="S329" s="908"/>
      <c r="T329" s="901"/>
      <c r="U329" s="902"/>
      <c r="V329" s="909"/>
      <c r="W329" s="909"/>
      <c r="X329" s="909"/>
      <c r="Y329" s="909"/>
      <c r="Z329" s="909"/>
      <c r="AA329" s="909"/>
      <c r="AB329" s="909"/>
      <c r="AC329" s="909"/>
      <c r="AD329" s="909"/>
    </row>
    <row r="330" s="141" customFormat="1" customHeight="1" spans="1:30">
      <c r="A330" s="900"/>
      <c r="B330" s="900"/>
      <c r="C330" s="900"/>
      <c r="D330" s="901"/>
      <c r="E330" s="901"/>
      <c r="F330" s="902"/>
      <c r="G330" s="902"/>
      <c r="H330" s="903"/>
      <c r="I330" s="900"/>
      <c r="J330" s="900"/>
      <c r="K330" s="902"/>
      <c r="L330" s="904"/>
      <c r="M330" s="904"/>
      <c r="N330" s="905"/>
      <c r="O330" s="905"/>
      <c r="P330" s="906"/>
      <c r="Q330" s="906"/>
      <c r="R330" s="907"/>
      <c r="S330" s="908"/>
      <c r="T330" s="901"/>
      <c r="U330" s="902"/>
      <c r="V330" s="909"/>
      <c r="W330" s="909"/>
      <c r="X330" s="909"/>
      <c r="Y330" s="909"/>
      <c r="Z330" s="909"/>
      <c r="AA330" s="909"/>
      <c r="AB330" s="909"/>
      <c r="AC330" s="909"/>
      <c r="AD330" s="909"/>
    </row>
    <row r="331" s="141" customFormat="1" customHeight="1" spans="1:30">
      <c r="A331" s="900"/>
      <c r="B331" s="900"/>
      <c r="C331" s="900"/>
      <c r="D331" s="901"/>
      <c r="E331" s="901"/>
      <c r="F331" s="902"/>
      <c r="G331" s="902"/>
      <c r="H331" s="903"/>
      <c r="I331" s="900"/>
      <c r="J331" s="900"/>
      <c r="K331" s="902"/>
      <c r="L331" s="904"/>
      <c r="M331" s="904"/>
      <c r="N331" s="905"/>
      <c r="O331" s="905"/>
      <c r="P331" s="906"/>
      <c r="Q331" s="906"/>
      <c r="R331" s="907"/>
      <c r="S331" s="908"/>
      <c r="T331" s="901"/>
      <c r="U331" s="902"/>
      <c r="V331" s="909"/>
      <c r="W331" s="909"/>
      <c r="X331" s="909"/>
      <c r="Y331" s="909"/>
      <c r="Z331" s="909"/>
      <c r="AA331" s="909"/>
      <c r="AB331" s="909"/>
      <c r="AC331" s="909"/>
      <c r="AD331" s="909"/>
    </row>
    <row r="332" s="141" customFormat="1" customHeight="1" spans="1:30">
      <c r="A332" s="900"/>
      <c r="B332" s="900"/>
      <c r="C332" s="900"/>
      <c r="D332" s="901"/>
      <c r="E332" s="901"/>
      <c r="F332" s="902"/>
      <c r="G332" s="902"/>
      <c r="H332" s="903"/>
      <c r="I332" s="900"/>
      <c r="J332" s="900"/>
      <c r="K332" s="902"/>
      <c r="L332" s="904"/>
      <c r="M332" s="904"/>
      <c r="N332" s="905"/>
      <c r="O332" s="905"/>
      <c r="P332" s="906"/>
      <c r="Q332" s="906"/>
      <c r="R332" s="907"/>
      <c r="S332" s="908"/>
      <c r="T332" s="901"/>
      <c r="U332" s="902"/>
      <c r="V332" s="909"/>
      <c r="W332" s="909"/>
      <c r="X332" s="909"/>
      <c r="Y332" s="909"/>
      <c r="Z332" s="909"/>
      <c r="AA332" s="909"/>
      <c r="AB332" s="909"/>
      <c r="AC332" s="909"/>
      <c r="AD332" s="909"/>
    </row>
    <row r="333" s="141" customFormat="1" customHeight="1" spans="1:30">
      <c r="A333" s="900"/>
      <c r="B333" s="900"/>
      <c r="C333" s="900"/>
      <c r="D333" s="901"/>
      <c r="E333" s="901"/>
      <c r="F333" s="902"/>
      <c r="G333" s="902"/>
      <c r="H333" s="903"/>
      <c r="I333" s="900"/>
      <c r="J333" s="900"/>
      <c r="K333" s="902"/>
      <c r="L333" s="904"/>
      <c r="M333" s="904"/>
      <c r="N333" s="905"/>
      <c r="O333" s="905"/>
      <c r="P333" s="906"/>
      <c r="Q333" s="906"/>
      <c r="R333" s="907"/>
      <c r="S333" s="908"/>
      <c r="T333" s="901"/>
      <c r="U333" s="902"/>
      <c r="V333" s="909"/>
      <c r="W333" s="909"/>
      <c r="X333" s="909"/>
      <c r="Y333" s="909"/>
      <c r="Z333" s="909"/>
      <c r="AA333" s="909"/>
      <c r="AB333" s="909"/>
      <c r="AC333" s="909"/>
      <c r="AD333" s="909"/>
    </row>
    <row r="334" s="141" customFormat="1" customHeight="1" spans="1:30">
      <c r="A334" s="900"/>
      <c r="B334" s="900"/>
      <c r="C334" s="900"/>
      <c r="D334" s="901"/>
      <c r="E334" s="901"/>
      <c r="F334" s="902"/>
      <c r="G334" s="902"/>
      <c r="H334" s="903"/>
      <c r="I334" s="900"/>
      <c r="J334" s="900"/>
      <c r="K334" s="902"/>
      <c r="L334" s="904"/>
      <c r="M334" s="904"/>
      <c r="N334" s="905"/>
      <c r="O334" s="905"/>
      <c r="P334" s="906"/>
      <c r="Q334" s="906"/>
      <c r="R334" s="907"/>
      <c r="S334" s="908"/>
      <c r="T334" s="901"/>
      <c r="U334" s="902"/>
      <c r="V334" s="909"/>
      <c r="W334" s="909"/>
      <c r="X334" s="909"/>
      <c r="Y334" s="909"/>
      <c r="Z334" s="909"/>
      <c r="AA334" s="909"/>
      <c r="AB334" s="909"/>
      <c r="AC334" s="909"/>
      <c r="AD334" s="909"/>
    </row>
    <row r="335" s="141" customFormat="1" customHeight="1" spans="1:30">
      <c r="A335" s="900"/>
      <c r="B335" s="900"/>
      <c r="C335" s="900"/>
      <c r="D335" s="901"/>
      <c r="E335" s="901"/>
      <c r="F335" s="902"/>
      <c r="G335" s="902"/>
      <c r="H335" s="903"/>
      <c r="I335" s="900"/>
      <c r="J335" s="900"/>
      <c r="K335" s="902"/>
      <c r="L335" s="904"/>
      <c r="M335" s="904"/>
      <c r="N335" s="905"/>
      <c r="O335" s="905"/>
      <c r="P335" s="906"/>
      <c r="Q335" s="906"/>
      <c r="R335" s="907"/>
      <c r="S335" s="908"/>
      <c r="T335" s="901"/>
      <c r="U335" s="902"/>
      <c r="V335" s="909"/>
      <c r="W335" s="909"/>
      <c r="X335" s="909"/>
      <c r="Y335" s="909"/>
      <c r="Z335" s="909"/>
      <c r="AA335" s="909"/>
      <c r="AB335" s="909"/>
      <c r="AC335" s="909"/>
      <c r="AD335" s="909"/>
    </row>
    <row r="336" s="141" customFormat="1" customHeight="1" spans="1:30">
      <c r="A336" s="900"/>
      <c r="B336" s="900"/>
      <c r="C336" s="900"/>
      <c r="D336" s="901"/>
      <c r="E336" s="901"/>
      <c r="F336" s="902"/>
      <c r="G336" s="902"/>
      <c r="H336" s="903"/>
      <c r="I336" s="900"/>
      <c r="J336" s="900"/>
      <c r="K336" s="902"/>
      <c r="L336" s="904"/>
      <c r="M336" s="904"/>
      <c r="N336" s="905"/>
      <c r="O336" s="905"/>
      <c r="P336" s="906"/>
      <c r="Q336" s="906"/>
      <c r="R336" s="907"/>
      <c r="S336" s="908"/>
      <c r="T336" s="901"/>
      <c r="U336" s="902"/>
      <c r="V336" s="909"/>
      <c r="W336" s="909"/>
      <c r="X336" s="909"/>
      <c r="Y336" s="909"/>
      <c r="Z336" s="909"/>
      <c r="AA336" s="909"/>
      <c r="AB336" s="909"/>
      <c r="AC336" s="909"/>
      <c r="AD336" s="909"/>
    </row>
    <row r="337" s="141" customFormat="1" customHeight="1" spans="1:30">
      <c r="A337" s="900"/>
      <c r="B337" s="900"/>
      <c r="C337" s="900"/>
      <c r="D337" s="901"/>
      <c r="E337" s="901"/>
      <c r="F337" s="902"/>
      <c r="G337" s="902"/>
      <c r="H337" s="903"/>
      <c r="I337" s="900"/>
      <c r="J337" s="900"/>
      <c r="K337" s="902"/>
      <c r="L337" s="904"/>
      <c r="M337" s="904"/>
      <c r="N337" s="905"/>
      <c r="O337" s="905"/>
      <c r="P337" s="906"/>
      <c r="Q337" s="906"/>
      <c r="R337" s="907"/>
      <c r="S337" s="908"/>
      <c r="T337" s="901"/>
      <c r="U337" s="902"/>
      <c r="V337" s="909"/>
      <c r="W337" s="909"/>
      <c r="X337" s="909"/>
      <c r="Y337" s="909"/>
      <c r="Z337" s="909"/>
      <c r="AA337" s="909"/>
      <c r="AB337" s="909"/>
      <c r="AC337" s="909"/>
      <c r="AD337" s="909"/>
    </row>
    <row r="338" s="141" customFormat="1" customHeight="1" spans="1:30">
      <c r="A338" s="900"/>
      <c r="B338" s="900"/>
      <c r="C338" s="900"/>
      <c r="D338" s="901"/>
      <c r="E338" s="901"/>
      <c r="F338" s="902"/>
      <c r="G338" s="902"/>
      <c r="H338" s="903"/>
      <c r="I338" s="900"/>
      <c r="J338" s="900"/>
      <c r="K338" s="902"/>
      <c r="L338" s="904"/>
      <c r="M338" s="904"/>
      <c r="N338" s="905"/>
      <c r="O338" s="905"/>
      <c r="P338" s="906"/>
      <c r="Q338" s="906"/>
      <c r="R338" s="907"/>
      <c r="S338" s="908"/>
      <c r="T338" s="901"/>
      <c r="U338" s="902"/>
      <c r="V338" s="909"/>
      <c r="W338" s="909"/>
      <c r="X338" s="909"/>
      <c r="Y338" s="909"/>
      <c r="Z338" s="909"/>
      <c r="AA338" s="909"/>
      <c r="AB338" s="909"/>
      <c r="AC338" s="909"/>
      <c r="AD338" s="909"/>
    </row>
    <row r="339" s="141" customFormat="1" customHeight="1" spans="1:30">
      <c r="A339" s="900"/>
      <c r="B339" s="900"/>
      <c r="C339" s="900"/>
      <c r="D339" s="901"/>
      <c r="E339" s="901"/>
      <c r="F339" s="902"/>
      <c r="G339" s="902"/>
      <c r="H339" s="903"/>
      <c r="I339" s="900"/>
      <c r="J339" s="900"/>
      <c r="K339" s="902"/>
      <c r="L339" s="904"/>
      <c r="M339" s="904"/>
      <c r="N339" s="905"/>
      <c r="O339" s="905"/>
      <c r="P339" s="906"/>
      <c r="Q339" s="906"/>
      <c r="R339" s="907"/>
      <c r="S339" s="908"/>
      <c r="T339" s="901"/>
      <c r="U339" s="902"/>
      <c r="V339" s="909"/>
      <c r="W339" s="909"/>
      <c r="X339" s="909"/>
      <c r="Y339" s="909"/>
      <c r="Z339" s="909"/>
      <c r="AA339" s="909"/>
      <c r="AB339" s="909"/>
      <c r="AC339" s="909"/>
      <c r="AD339" s="909"/>
    </row>
    <row r="340" s="141" customFormat="1" customHeight="1" spans="1:30">
      <c r="A340" s="900"/>
      <c r="B340" s="900"/>
      <c r="C340" s="900"/>
      <c r="D340" s="901"/>
      <c r="E340" s="901"/>
      <c r="F340" s="902"/>
      <c r="G340" s="902"/>
      <c r="H340" s="903"/>
      <c r="I340" s="900"/>
      <c r="J340" s="900"/>
      <c r="K340" s="902"/>
      <c r="L340" s="904"/>
      <c r="M340" s="904"/>
      <c r="N340" s="905"/>
      <c r="O340" s="905"/>
      <c r="P340" s="906"/>
      <c r="Q340" s="906"/>
      <c r="R340" s="907"/>
      <c r="S340" s="908"/>
      <c r="T340" s="901"/>
      <c r="U340" s="902"/>
      <c r="V340" s="909"/>
      <c r="W340" s="909"/>
      <c r="X340" s="909"/>
      <c r="Y340" s="909"/>
      <c r="Z340" s="909"/>
      <c r="AA340" s="909"/>
      <c r="AB340" s="909"/>
      <c r="AC340" s="909"/>
      <c r="AD340" s="909"/>
    </row>
    <row r="341" s="141" customFormat="1" customHeight="1" spans="1:30">
      <c r="A341" s="900"/>
      <c r="B341" s="900"/>
      <c r="C341" s="900"/>
      <c r="D341" s="901"/>
      <c r="E341" s="901"/>
      <c r="F341" s="902"/>
      <c r="G341" s="902"/>
      <c r="H341" s="903"/>
      <c r="I341" s="900"/>
      <c r="J341" s="900"/>
      <c r="K341" s="902"/>
      <c r="L341" s="904"/>
      <c r="M341" s="904"/>
      <c r="N341" s="905"/>
      <c r="O341" s="905"/>
      <c r="P341" s="906"/>
      <c r="Q341" s="906"/>
      <c r="R341" s="907"/>
      <c r="S341" s="908"/>
      <c r="T341" s="901"/>
      <c r="U341" s="902"/>
      <c r="V341" s="909"/>
      <c r="W341" s="909"/>
      <c r="X341" s="909"/>
      <c r="Y341" s="909"/>
      <c r="Z341" s="909"/>
      <c r="AA341" s="909"/>
      <c r="AB341" s="909"/>
      <c r="AC341" s="909"/>
      <c r="AD341" s="909"/>
    </row>
    <row r="342" s="141" customFormat="1" customHeight="1" spans="1:30">
      <c r="A342" s="900"/>
      <c r="B342" s="900"/>
      <c r="C342" s="900"/>
      <c r="D342" s="901"/>
      <c r="E342" s="901"/>
      <c r="F342" s="902"/>
      <c r="G342" s="902"/>
      <c r="H342" s="903"/>
      <c r="I342" s="900"/>
      <c r="J342" s="900"/>
      <c r="K342" s="902"/>
      <c r="L342" s="904"/>
      <c r="M342" s="904"/>
      <c r="N342" s="905"/>
      <c r="O342" s="905"/>
      <c r="P342" s="906"/>
      <c r="Q342" s="906"/>
      <c r="R342" s="907"/>
      <c r="S342" s="908"/>
      <c r="T342" s="901"/>
      <c r="U342" s="902"/>
      <c r="V342" s="909"/>
      <c r="W342" s="909"/>
      <c r="X342" s="909"/>
      <c r="Y342" s="909"/>
      <c r="Z342" s="909"/>
      <c r="AA342" s="909"/>
      <c r="AB342" s="909"/>
      <c r="AC342" s="909"/>
      <c r="AD342" s="909"/>
    </row>
    <row r="343" s="141" customFormat="1" customHeight="1" spans="1:30">
      <c r="A343" s="900"/>
      <c r="B343" s="900"/>
      <c r="C343" s="900"/>
      <c r="D343" s="901"/>
      <c r="E343" s="901"/>
      <c r="F343" s="902"/>
      <c r="G343" s="902"/>
      <c r="H343" s="903"/>
      <c r="I343" s="900"/>
      <c r="J343" s="900"/>
      <c r="K343" s="902"/>
      <c r="L343" s="904"/>
      <c r="M343" s="904"/>
      <c r="N343" s="905"/>
      <c r="O343" s="905"/>
      <c r="P343" s="906"/>
      <c r="Q343" s="906"/>
      <c r="R343" s="907"/>
      <c r="S343" s="908"/>
      <c r="T343" s="901"/>
      <c r="U343" s="902"/>
      <c r="V343" s="909"/>
      <c r="W343" s="909"/>
      <c r="X343" s="909"/>
      <c r="Y343" s="909"/>
      <c r="Z343" s="909"/>
      <c r="AA343" s="909"/>
      <c r="AB343" s="909"/>
      <c r="AC343" s="909"/>
      <c r="AD343" s="909"/>
    </row>
    <row r="344" s="141" customFormat="1" customHeight="1" spans="1:30">
      <c r="A344" s="900"/>
      <c r="B344" s="900"/>
      <c r="C344" s="900"/>
      <c r="D344" s="901"/>
      <c r="E344" s="901"/>
      <c r="F344" s="902"/>
      <c r="G344" s="902"/>
      <c r="H344" s="903"/>
      <c r="I344" s="900"/>
      <c r="J344" s="900"/>
      <c r="K344" s="902"/>
      <c r="L344" s="904"/>
      <c r="M344" s="904"/>
      <c r="N344" s="905"/>
      <c r="O344" s="905"/>
      <c r="P344" s="906"/>
      <c r="Q344" s="906"/>
      <c r="R344" s="907"/>
      <c r="S344" s="908"/>
      <c r="T344" s="901"/>
      <c r="U344" s="902"/>
      <c r="V344" s="909"/>
      <c r="W344" s="909"/>
      <c r="X344" s="909"/>
      <c r="Y344" s="909"/>
      <c r="Z344" s="909"/>
      <c r="AA344" s="909"/>
      <c r="AB344" s="909"/>
      <c r="AC344" s="909"/>
      <c r="AD344" s="909"/>
    </row>
    <row r="345" s="141" customFormat="1" customHeight="1" spans="1:30">
      <c r="A345" s="900"/>
      <c r="B345" s="900"/>
      <c r="C345" s="900"/>
      <c r="D345" s="901"/>
      <c r="E345" s="901"/>
      <c r="F345" s="902"/>
      <c r="G345" s="902"/>
      <c r="H345" s="903"/>
      <c r="I345" s="900"/>
      <c r="J345" s="900"/>
      <c r="K345" s="902"/>
      <c r="L345" s="904"/>
      <c r="M345" s="904"/>
      <c r="N345" s="905"/>
      <c r="O345" s="905"/>
      <c r="P345" s="906"/>
      <c r="Q345" s="906"/>
      <c r="R345" s="907"/>
      <c r="S345" s="908"/>
      <c r="T345" s="901"/>
      <c r="U345" s="902"/>
      <c r="V345" s="909"/>
      <c r="W345" s="909"/>
      <c r="X345" s="909"/>
      <c r="Y345" s="909"/>
      <c r="Z345" s="909"/>
      <c r="AA345" s="909"/>
      <c r="AB345" s="909"/>
      <c r="AC345" s="909"/>
      <c r="AD345" s="909"/>
    </row>
    <row r="346" s="141" customFormat="1" customHeight="1" spans="1:30">
      <c r="A346" s="900"/>
      <c r="B346" s="900"/>
      <c r="C346" s="900"/>
      <c r="D346" s="901"/>
      <c r="E346" s="901"/>
      <c r="F346" s="902"/>
      <c r="G346" s="902"/>
      <c r="H346" s="903"/>
      <c r="I346" s="900"/>
      <c r="J346" s="900"/>
      <c r="K346" s="902"/>
      <c r="L346" s="904"/>
      <c r="M346" s="904"/>
      <c r="N346" s="905"/>
      <c r="O346" s="905"/>
      <c r="P346" s="906"/>
      <c r="Q346" s="906"/>
      <c r="R346" s="907"/>
      <c r="S346" s="908"/>
      <c r="T346" s="901"/>
      <c r="U346" s="902"/>
      <c r="V346" s="909"/>
      <c r="W346" s="909"/>
      <c r="X346" s="909"/>
      <c r="Y346" s="909"/>
      <c r="Z346" s="909"/>
      <c r="AA346" s="909"/>
      <c r="AB346" s="909"/>
      <c r="AC346" s="909"/>
      <c r="AD346" s="909"/>
    </row>
    <row r="347" s="141" customFormat="1" customHeight="1" spans="1:30">
      <c r="A347" s="900"/>
      <c r="B347" s="900"/>
      <c r="C347" s="900"/>
      <c r="D347" s="901"/>
      <c r="E347" s="901"/>
      <c r="F347" s="902"/>
      <c r="G347" s="902"/>
      <c r="H347" s="903"/>
      <c r="I347" s="900"/>
      <c r="J347" s="900"/>
      <c r="K347" s="902"/>
      <c r="L347" s="904"/>
      <c r="M347" s="904"/>
      <c r="N347" s="905"/>
      <c r="O347" s="905"/>
      <c r="P347" s="906"/>
      <c r="Q347" s="906"/>
      <c r="R347" s="907"/>
      <c r="S347" s="908"/>
      <c r="T347" s="901"/>
      <c r="U347" s="902"/>
      <c r="V347" s="909"/>
      <c r="W347" s="909"/>
      <c r="X347" s="909"/>
      <c r="Y347" s="909"/>
      <c r="Z347" s="909"/>
      <c r="AA347" s="909"/>
      <c r="AB347" s="909"/>
      <c r="AC347" s="909"/>
      <c r="AD347" s="909"/>
    </row>
    <row r="348" s="141" customFormat="1" customHeight="1" spans="1:30">
      <c r="A348" s="900"/>
      <c r="B348" s="900"/>
      <c r="C348" s="900"/>
      <c r="D348" s="901"/>
      <c r="E348" s="901"/>
      <c r="F348" s="902"/>
      <c r="G348" s="902"/>
      <c r="H348" s="903"/>
      <c r="I348" s="900"/>
      <c r="J348" s="900"/>
      <c r="K348" s="902"/>
      <c r="L348" s="904"/>
      <c r="M348" s="904"/>
      <c r="N348" s="905"/>
      <c r="O348" s="905"/>
      <c r="P348" s="906"/>
      <c r="Q348" s="906"/>
      <c r="R348" s="907"/>
      <c r="S348" s="908"/>
      <c r="T348" s="901"/>
      <c r="U348" s="902"/>
      <c r="V348" s="909"/>
      <c r="W348" s="909"/>
      <c r="X348" s="909"/>
      <c r="Y348" s="909"/>
      <c r="Z348" s="909"/>
      <c r="AA348" s="909"/>
      <c r="AB348" s="909"/>
      <c r="AC348" s="909"/>
      <c r="AD348" s="909"/>
    </row>
    <row r="349" s="141" customFormat="1" customHeight="1" spans="1:30">
      <c r="A349" s="900"/>
      <c r="B349" s="900"/>
      <c r="C349" s="900"/>
      <c r="D349" s="901"/>
      <c r="E349" s="901"/>
      <c r="F349" s="902"/>
      <c r="G349" s="902"/>
      <c r="H349" s="903"/>
      <c r="I349" s="900"/>
      <c r="J349" s="900"/>
      <c r="K349" s="902"/>
      <c r="L349" s="904"/>
      <c r="M349" s="904"/>
      <c r="N349" s="905"/>
      <c r="O349" s="905"/>
      <c r="P349" s="906"/>
      <c r="Q349" s="906"/>
      <c r="R349" s="907"/>
      <c r="S349" s="908"/>
      <c r="T349" s="901"/>
      <c r="U349" s="902"/>
      <c r="V349" s="909"/>
      <c r="W349" s="909"/>
      <c r="X349" s="909"/>
      <c r="Y349" s="909"/>
      <c r="Z349" s="909"/>
      <c r="AA349" s="909"/>
      <c r="AB349" s="909"/>
      <c r="AC349" s="909"/>
      <c r="AD349" s="909"/>
    </row>
    <row r="350" s="141" customFormat="1" customHeight="1" spans="1:30">
      <c r="A350" s="900"/>
      <c r="B350" s="900"/>
      <c r="C350" s="900"/>
      <c r="D350" s="901"/>
      <c r="E350" s="901"/>
      <c r="F350" s="902"/>
      <c r="G350" s="902"/>
      <c r="H350" s="903"/>
      <c r="I350" s="900"/>
      <c r="J350" s="900"/>
      <c r="K350" s="902"/>
      <c r="L350" s="904"/>
      <c r="M350" s="904"/>
      <c r="N350" s="905"/>
      <c r="O350" s="905"/>
      <c r="P350" s="906"/>
      <c r="Q350" s="906"/>
      <c r="R350" s="907"/>
      <c r="S350" s="908"/>
      <c r="T350" s="901"/>
      <c r="U350" s="902"/>
      <c r="V350" s="909"/>
      <c r="W350" s="909"/>
      <c r="X350" s="909"/>
      <c r="Y350" s="909"/>
      <c r="Z350" s="909"/>
      <c r="AA350" s="909"/>
      <c r="AB350" s="909"/>
      <c r="AC350" s="909"/>
      <c r="AD350" s="909"/>
    </row>
    <row r="351" s="141" customFormat="1" customHeight="1" spans="1:30">
      <c r="A351" s="900"/>
      <c r="B351" s="900"/>
      <c r="C351" s="900"/>
      <c r="D351" s="901"/>
      <c r="E351" s="901"/>
      <c r="F351" s="902"/>
      <c r="G351" s="902"/>
      <c r="H351" s="903"/>
      <c r="I351" s="900"/>
      <c r="J351" s="900"/>
      <c r="K351" s="902"/>
      <c r="L351" s="904"/>
      <c r="M351" s="904"/>
      <c r="N351" s="905"/>
      <c r="O351" s="905"/>
      <c r="P351" s="906"/>
      <c r="Q351" s="906"/>
      <c r="R351" s="907"/>
      <c r="S351" s="908"/>
      <c r="T351" s="901"/>
      <c r="U351" s="902"/>
      <c r="V351" s="909"/>
      <c r="W351" s="909"/>
      <c r="X351" s="909"/>
      <c r="Y351" s="909"/>
      <c r="Z351" s="909"/>
      <c r="AA351" s="909"/>
      <c r="AB351" s="909"/>
      <c r="AC351" s="909"/>
      <c r="AD351" s="909"/>
    </row>
    <row r="352" s="141" customFormat="1" customHeight="1" spans="1:30">
      <c r="A352" s="900"/>
      <c r="B352" s="900"/>
      <c r="C352" s="900"/>
      <c r="D352" s="901"/>
      <c r="E352" s="901"/>
      <c r="F352" s="902"/>
      <c r="G352" s="902"/>
      <c r="H352" s="903"/>
      <c r="I352" s="900"/>
      <c r="J352" s="900"/>
      <c r="K352" s="902"/>
      <c r="L352" s="904"/>
      <c r="M352" s="904"/>
      <c r="N352" s="905"/>
      <c r="O352" s="905"/>
      <c r="P352" s="906"/>
      <c r="Q352" s="906"/>
      <c r="R352" s="907"/>
      <c r="S352" s="908"/>
      <c r="T352" s="901"/>
      <c r="U352" s="902"/>
      <c r="V352" s="909"/>
      <c r="W352" s="909"/>
      <c r="X352" s="909"/>
      <c r="Y352" s="909"/>
      <c r="Z352" s="909"/>
      <c r="AA352" s="909"/>
      <c r="AB352" s="909"/>
      <c r="AC352" s="909"/>
      <c r="AD352" s="909"/>
    </row>
    <row r="353" s="141" customFormat="1" customHeight="1" spans="1:30">
      <c r="A353" s="900"/>
      <c r="B353" s="900"/>
      <c r="C353" s="900"/>
      <c r="D353" s="901"/>
      <c r="E353" s="901"/>
      <c r="F353" s="902"/>
      <c r="G353" s="902"/>
      <c r="H353" s="903"/>
      <c r="I353" s="900"/>
      <c r="J353" s="900"/>
      <c r="K353" s="902"/>
      <c r="L353" s="904"/>
      <c r="M353" s="904"/>
      <c r="N353" s="905"/>
      <c r="O353" s="905"/>
      <c r="P353" s="906"/>
      <c r="Q353" s="906"/>
      <c r="R353" s="907"/>
      <c r="S353" s="908"/>
      <c r="T353" s="901"/>
      <c r="U353" s="902"/>
      <c r="V353" s="909"/>
      <c r="W353" s="909"/>
      <c r="X353" s="909"/>
      <c r="Y353" s="909"/>
      <c r="Z353" s="909"/>
      <c r="AA353" s="909"/>
      <c r="AB353" s="909"/>
      <c r="AC353" s="909"/>
      <c r="AD353" s="909"/>
    </row>
    <row r="354" s="141" customFormat="1" customHeight="1" spans="1:30">
      <c r="A354" s="900"/>
      <c r="B354" s="900"/>
      <c r="C354" s="900"/>
      <c r="D354" s="901"/>
      <c r="E354" s="901"/>
      <c r="F354" s="902"/>
      <c r="G354" s="902"/>
      <c r="H354" s="903"/>
      <c r="I354" s="900"/>
      <c r="J354" s="900"/>
      <c r="K354" s="902"/>
      <c r="L354" s="904"/>
      <c r="M354" s="904"/>
      <c r="N354" s="905"/>
      <c r="O354" s="905"/>
      <c r="P354" s="906"/>
      <c r="Q354" s="906"/>
      <c r="R354" s="907"/>
      <c r="S354" s="908"/>
      <c r="T354" s="901"/>
      <c r="U354" s="902"/>
      <c r="V354" s="909"/>
      <c r="W354" s="909"/>
      <c r="X354" s="909"/>
      <c r="Y354" s="909"/>
      <c r="Z354" s="909"/>
      <c r="AA354" s="909"/>
      <c r="AB354" s="909"/>
      <c r="AC354" s="909"/>
      <c r="AD354" s="909"/>
    </row>
    <row r="355" s="141" customFormat="1" customHeight="1" spans="1:30">
      <c r="A355" s="900"/>
      <c r="B355" s="900"/>
      <c r="C355" s="900"/>
      <c r="D355" s="901"/>
      <c r="E355" s="901"/>
      <c r="F355" s="902"/>
      <c r="G355" s="902"/>
      <c r="H355" s="903"/>
      <c r="I355" s="900"/>
      <c r="J355" s="900"/>
      <c r="K355" s="902"/>
      <c r="L355" s="904"/>
      <c r="M355" s="904"/>
      <c r="N355" s="905"/>
      <c r="O355" s="905"/>
      <c r="P355" s="906"/>
      <c r="Q355" s="906"/>
      <c r="R355" s="907"/>
      <c r="S355" s="908"/>
      <c r="T355" s="901"/>
      <c r="U355" s="902"/>
      <c r="V355" s="909"/>
      <c r="W355" s="909"/>
      <c r="X355" s="909"/>
      <c r="Y355" s="909"/>
      <c r="Z355" s="909"/>
      <c r="AA355" s="909"/>
      <c r="AB355" s="909"/>
      <c r="AC355" s="909"/>
      <c r="AD355" s="909"/>
    </row>
    <row r="356" s="141" customFormat="1" customHeight="1" spans="1:30">
      <c r="A356" s="900"/>
      <c r="B356" s="900"/>
      <c r="C356" s="900"/>
      <c r="D356" s="901"/>
      <c r="E356" s="901"/>
      <c r="F356" s="902"/>
      <c r="G356" s="902"/>
      <c r="H356" s="903"/>
      <c r="I356" s="900"/>
      <c r="J356" s="900"/>
      <c r="K356" s="902"/>
      <c r="L356" s="904"/>
      <c r="M356" s="904"/>
      <c r="N356" s="905"/>
      <c r="O356" s="905"/>
      <c r="P356" s="906"/>
      <c r="Q356" s="906"/>
      <c r="R356" s="907"/>
      <c r="S356" s="908"/>
      <c r="T356" s="901"/>
      <c r="U356" s="902"/>
      <c r="V356" s="909"/>
      <c r="W356" s="909"/>
      <c r="X356" s="909"/>
      <c r="Y356" s="909"/>
      <c r="Z356" s="909"/>
      <c r="AA356" s="909"/>
      <c r="AB356" s="909"/>
      <c r="AC356" s="909"/>
      <c r="AD356" s="909"/>
    </row>
    <row r="357" s="141" customFormat="1" customHeight="1" spans="1:30">
      <c r="A357" s="900"/>
      <c r="B357" s="900"/>
      <c r="C357" s="900"/>
      <c r="D357" s="901"/>
      <c r="E357" s="901"/>
      <c r="F357" s="902"/>
      <c r="G357" s="902"/>
      <c r="H357" s="903"/>
      <c r="I357" s="900"/>
      <c r="J357" s="900"/>
      <c r="K357" s="902"/>
      <c r="L357" s="904"/>
      <c r="M357" s="904"/>
      <c r="N357" s="905"/>
      <c r="O357" s="905"/>
      <c r="P357" s="906"/>
      <c r="Q357" s="906"/>
      <c r="R357" s="907"/>
      <c r="S357" s="908"/>
      <c r="T357" s="901"/>
      <c r="U357" s="902"/>
      <c r="V357" s="909"/>
      <c r="W357" s="909"/>
      <c r="X357" s="909"/>
      <c r="Y357" s="909"/>
      <c r="Z357" s="909"/>
      <c r="AA357" s="909"/>
      <c r="AB357" s="909"/>
      <c r="AC357" s="909"/>
      <c r="AD357" s="909"/>
    </row>
    <row r="358" s="141" customFormat="1" customHeight="1" spans="1:30">
      <c r="A358" s="900"/>
      <c r="B358" s="900"/>
      <c r="C358" s="900"/>
      <c r="D358" s="901"/>
      <c r="E358" s="901"/>
      <c r="F358" s="902"/>
      <c r="G358" s="902"/>
      <c r="H358" s="903"/>
      <c r="I358" s="900"/>
      <c r="J358" s="900"/>
      <c r="K358" s="902"/>
      <c r="L358" s="904"/>
      <c r="M358" s="904"/>
      <c r="N358" s="905"/>
      <c r="O358" s="905"/>
      <c r="P358" s="906"/>
      <c r="Q358" s="906"/>
      <c r="R358" s="907"/>
      <c r="S358" s="908"/>
      <c r="T358" s="901"/>
      <c r="U358" s="902"/>
      <c r="V358" s="909"/>
      <c r="W358" s="909"/>
      <c r="X358" s="909"/>
      <c r="Y358" s="909"/>
      <c r="Z358" s="909"/>
      <c r="AA358" s="909"/>
      <c r="AB358" s="909"/>
      <c r="AC358" s="909"/>
      <c r="AD358" s="909"/>
    </row>
    <row r="359" s="141" customFormat="1" customHeight="1" spans="1:30">
      <c r="A359" s="900"/>
      <c r="B359" s="900"/>
      <c r="C359" s="900"/>
      <c r="D359" s="901"/>
      <c r="E359" s="901"/>
      <c r="F359" s="902"/>
      <c r="G359" s="902"/>
      <c r="H359" s="903"/>
      <c r="I359" s="900"/>
      <c r="J359" s="900"/>
      <c r="K359" s="902"/>
      <c r="L359" s="904"/>
      <c r="M359" s="904"/>
      <c r="N359" s="905"/>
      <c r="O359" s="905"/>
      <c r="P359" s="906"/>
      <c r="Q359" s="906"/>
      <c r="R359" s="907"/>
      <c r="S359" s="908"/>
      <c r="T359" s="901"/>
      <c r="U359" s="902"/>
      <c r="V359" s="909"/>
      <c r="W359" s="909"/>
      <c r="X359" s="909"/>
      <c r="Y359" s="909"/>
      <c r="Z359" s="909"/>
      <c r="AA359" s="909"/>
      <c r="AB359" s="909"/>
      <c r="AC359" s="909"/>
      <c r="AD359" s="909"/>
    </row>
    <row r="360" s="141" customFormat="1" customHeight="1" spans="1:30">
      <c r="A360" s="900"/>
      <c r="B360" s="900"/>
      <c r="C360" s="900"/>
      <c r="D360" s="901"/>
      <c r="E360" s="901"/>
      <c r="F360" s="902"/>
      <c r="G360" s="902"/>
      <c r="H360" s="903"/>
      <c r="I360" s="900"/>
      <c r="J360" s="900"/>
      <c r="K360" s="902"/>
      <c r="L360" s="904"/>
      <c r="M360" s="904"/>
      <c r="N360" s="905"/>
      <c r="O360" s="905"/>
      <c r="P360" s="906"/>
      <c r="Q360" s="906"/>
      <c r="R360" s="907"/>
      <c r="S360" s="908"/>
      <c r="T360" s="901"/>
      <c r="U360" s="902"/>
      <c r="V360" s="909"/>
      <c r="W360" s="909"/>
      <c r="X360" s="909"/>
      <c r="Y360" s="909"/>
      <c r="Z360" s="909"/>
      <c r="AA360" s="909"/>
      <c r="AB360" s="909"/>
      <c r="AC360" s="909"/>
      <c r="AD360" s="909"/>
    </row>
    <row r="361" s="141" customFormat="1" customHeight="1" spans="1:30">
      <c r="A361" s="900"/>
      <c r="B361" s="900"/>
      <c r="C361" s="900"/>
      <c r="D361" s="901"/>
      <c r="E361" s="901"/>
      <c r="F361" s="902"/>
      <c r="G361" s="902"/>
      <c r="H361" s="903"/>
      <c r="I361" s="900"/>
      <c r="J361" s="900"/>
      <c r="K361" s="902"/>
      <c r="L361" s="904"/>
      <c r="M361" s="904"/>
      <c r="N361" s="905"/>
      <c r="O361" s="905"/>
      <c r="P361" s="906"/>
      <c r="Q361" s="906"/>
      <c r="R361" s="907"/>
      <c r="S361" s="908"/>
      <c r="T361" s="901"/>
      <c r="U361" s="902"/>
      <c r="V361" s="909"/>
      <c r="W361" s="909"/>
      <c r="X361" s="909"/>
      <c r="Y361" s="909"/>
      <c r="Z361" s="909"/>
      <c r="AA361" s="909"/>
      <c r="AB361" s="909"/>
      <c r="AC361" s="909"/>
      <c r="AD361" s="909"/>
    </row>
    <row r="362" s="141" customFormat="1" customHeight="1" spans="1:30">
      <c r="A362" s="900"/>
      <c r="B362" s="900"/>
      <c r="C362" s="900"/>
      <c r="D362" s="901"/>
      <c r="E362" s="901"/>
      <c r="F362" s="902"/>
      <c r="G362" s="902"/>
      <c r="H362" s="903"/>
      <c r="I362" s="900"/>
      <c r="J362" s="900"/>
      <c r="K362" s="902"/>
      <c r="L362" s="904"/>
      <c r="M362" s="904"/>
      <c r="N362" s="905"/>
      <c r="O362" s="905"/>
      <c r="P362" s="906"/>
      <c r="Q362" s="906"/>
      <c r="R362" s="907"/>
      <c r="S362" s="908"/>
      <c r="T362" s="901"/>
      <c r="U362" s="902"/>
      <c r="V362" s="909"/>
      <c r="W362" s="909"/>
      <c r="X362" s="909"/>
      <c r="Y362" s="909"/>
      <c r="Z362" s="909"/>
      <c r="AA362" s="909"/>
      <c r="AB362" s="909"/>
      <c r="AC362" s="909"/>
      <c r="AD362" s="909"/>
    </row>
    <row r="363" s="141" customFormat="1" customHeight="1" spans="1:30">
      <c r="A363" s="900"/>
      <c r="B363" s="900"/>
      <c r="C363" s="900"/>
      <c r="D363" s="901"/>
      <c r="E363" s="901"/>
      <c r="F363" s="902"/>
      <c r="G363" s="902"/>
      <c r="H363" s="903"/>
      <c r="I363" s="900"/>
      <c r="J363" s="900"/>
      <c r="K363" s="902"/>
      <c r="L363" s="904"/>
      <c r="M363" s="904"/>
      <c r="N363" s="905"/>
      <c r="O363" s="905"/>
      <c r="P363" s="906"/>
      <c r="Q363" s="906"/>
      <c r="R363" s="907"/>
      <c r="S363" s="908"/>
      <c r="T363" s="901"/>
      <c r="U363" s="902"/>
      <c r="V363" s="909"/>
      <c r="W363" s="909"/>
      <c r="X363" s="909"/>
      <c r="Y363" s="909"/>
      <c r="Z363" s="909"/>
      <c r="AA363" s="909"/>
      <c r="AB363" s="909"/>
      <c r="AC363" s="909"/>
      <c r="AD363" s="909"/>
    </row>
    <row r="364" s="141" customFormat="1" customHeight="1" spans="1:30">
      <c r="A364" s="900"/>
      <c r="B364" s="900"/>
      <c r="C364" s="900"/>
      <c r="D364" s="901"/>
      <c r="E364" s="901"/>
      <c r="F364" s="902"/>
      <c r="G364" s="902"/>
      <c r="H364" s="903"/>
      <c r="I364" s="900"/>
      <c r="J364" s="900"/>
      <c r="K364" s="902"/>
      <c r="L364" s="904"/>
      <c r="M364" s="904"/>
      <c r="N364" s="905"/>
      <c r="O364" s="905"/>
      <c r="P364" s="906"/>
      <c r="Q364" s="906"/>
      <c r="R364" s="907"/>
      <c r="S364" s="908"/>
      <c r="T364" s="901"/>
      <c r="U364" s="902"/>
      <c r="V364" s="909"/>
      <c r="W364" s="909"/>
      <c r="X364" s="909"/>
      <c r="Y364" s="909"/>
      <c r="Z364" s="909"/>
      <c r="AA364" s="909"/>
      <c r="AB364" s="909"/>
      <c r="AC364" s="909"/>
      <c r="AD364" s="909"/>
    </row>
    <row r="365" s="141" customFormat="1" customHeight="1" spans="1:30">
      <c r="A365" s="900"/>
      <c r="B365" s="900"/>
      <c r="C365" s="900"/>
      <c r="D365" s="901"/>
      <c r="E365" s="901"/>
      <c r="F365" s="902"/>
      <c r="G365" s="902"/>
      <c r="H365" s="903"/>
      <c r="I365" s="900"/>
      <c r="J365" s="900"/>
      <c r="K365" s="902"/>
      <c r="L365" s="904"/>
      <c r="M365" s="904"/>
      <c r="N365" s="905"/>
      <c r="O365" s="905"/>
      <c r="P365" s="906"/>
      <c r="Q365" s="906"/>
      <c r="R365" s="907"/>
      <c r="S365" s="908"/>
      <c r="T365" s="901"/>
      <c r="U365" s="902"/>
      <c r="V365" s="909"/>
      <c r="W365" s="909"/>
      <c r="X365" s="909"/>
      <c r="Y365" s="909"/>
      <c r="Z365" s="909"/>
      <c r="AA365" s="909"/>
      <c r="AB365" s="909"/>
      <c r="AC365" s="909"/>
      <c r="AD365" s="909"/>
    </row>
    <row r="366" s="141" customFormat="1" customHeight="1" spans="1:30">
      <c r="A366" s="900"/>
      <c r="B366" s="900"/>
      <c r="C366" s="900"/>
      <c r="D366" s="901"/>
      <c r="E366" s="901"/>
      <c r="F366" s="902"/>
      <c r="G366" s="902"/>
      <c r="H366" s="903"/>
      <c r="I366" s="900"/>
      <c r="J366" s="900"/>
      <c r="K366" s="902"/>
      <c r="L366" s="904"/>
      <c r="M366" s="904"/>
      <c r="N366" s="905"/>
      <c r="O366" s="905"/>
      <c r="P366" s="906"/>
      <c r="Q366" s="906"/>
      <c r="R366" s="907"/>
      <c r="S366" s="908"/>
      <c r="T366" s="901"/>
      <c r="U366" s="902"/>
      <c r="V366" s="909"/>
      <c r="W366" s="909"/>
      <c r="X366" s="909"/>
      <c r="Y366" s="909"/>
      <c r="Z366" s="909"/>
      <c r="AA366" s="909"/>
      <c r="AB366" s="909"/>
      <c r="AC366" s="909"/>
      <c r="AD366" s="909"/>
    </row>
    <row r="367" s="141" customFormat="1" customHeight="1" spans="1:30">
      <c r="A367" s="900"/>
      <c r="B367" s="900"/>
      <c r="C367" s="900"/>
      <c r="D367" s="901"/>
      <c r="E367" s="901"/>
      <c r="F367" s="902"/>
      <c r="G367" s="902"/>
      <c r="H367" s="903"/>
      <c r="I367" s="900"/>
      <c r="J367" s="900"/>
      <c r="K367" s="902"/>
      <c r="L367" s="904"/>
      <c r="M367" s="904"/>
      <c r="N367" s="905"/>
      <c r="O367" s="905"/>
      <c r="P367" s="906"/>
      <c r="Q367" s="906"/>
      <c r="R367" s="907"/>
      <c r="S367" s="908"/>
      <c r="T367" s="901"/>
      <c r="U367" s="902"/>
      <c r="V367" s="909"/>
      <c r="W367" s="909"/>
      <c r="X367" s="909"/>
      <c r="Y367" s="909"/>
      <c r="Z367" s="909"/>
      <c r="AA367" s="909"/>
      <c r="AB367" s="909"/>
      <c r="AC367" s="909"/>
      <c r="AD367" s="909"/>
    </row>
    <row r="368" s="141" customFormat="1" customHeight="1" spans="1:30">
      <c r="A368" s="900"/>
      <c r="B368" s="900"/>
      <c r="C368" s="900"/>
      <c r="D368" s="901"/>
      <c r="E368" s="901"/>
      <c r="F368" s="902"/>
      <c r="G368" s="902"/>
      <c r="H368" s="903"/>
      <c r="I368" s="900"/>
      <c r="J368" s="900"/>
      <c r="K368" s="902"/>
      <c r="L368" s="904"/>
      <c r="M368" s="904"/>
      <c r="N368" s="905"/>
      <c r="O368" s="905"/>
      <c r="P368" s="906"/>
      <c r="Q368" s="906"/>
      <c r="R368" s="907"/>
      <c r="S368" s="908"/>
      <c r="T368" s="901"/>
      <c r="U368" s="902"/>
      <c r="V368" s="909"/>
      <c r="W368" s="909"/>
      <c r="X368" s="909"/>
      <c r="Y368" s="909"/>
      <c r="Z368" s="909"/>
      <c r="AA368" s="909"/>
      <c r="AB368" s="909"/>
      <c r="AC368" s="909"/>
      <c r="AD368" s="909"/>
    </row>
    <row r="369" s="141" customFormat="1" customHeight="1" spans="1:30">
      <c r="A369" s="900"/>
      <c r="B369" s="900"/>
      <c r="C369" s="900"/>
      <c r="D369" s="901"/>
      <c r="E369" s="901"/>
      <c r="F369" s="902"/>
      <c r="G369" s="902"/>
      <c r="H369" s="903"/>
      <c r="I369" s="900"/>
      <c r="J369" s="900"/>
      <c r="K369" s="902"/>
      <c r="L369" s="904"/>
      <c r="M369" s="904"/>
      <c r="N369" s="905"/>
      <c r="O369" s="905"/>
      <c r="P369" s="906"/>
      <c r="Q369" s="906"/>
      <c r="R369" s="907"/>
      <c r="S369" s="908"/>
      <c r="T369" s="901"/>
      <c r="U369" s="902"/>
      <c r="V369" s="909"/>
      <c r="W369" s="909"/>
      <c r="X369" s="909"/>
      <c r="Y369" s="909"/>
      <c r="Z369" s="909"/>
      <c r="AA369" s="909"/>
      <c r="AB369" s="909"/>
      <c r="AC369" s="909"/>
      <c r="AD369" s="909"/>
    </row>
    <row r="370" s="141" customFormat="1" customHeight="1" spans="1:30">
      <c r="A370" s="900"/>
      <c r="B370" s="900"/>
      <c r="C370" s="900"/>
      <c r="D370" s="901"/>
      <c r="E370" s="901"/>
      <c r="F370" s="902"/>
      <c r="G370" s="902"/>
      <c r="H370" s="903"/>
      <c r="I370" s="900"/>
      <c r="J370" s="900"/>
      <c r="K370" s="902"/>
      <c r="L370" s="904"/>
      <c r="M370" s="904"/>
      <c r="N370" s="905"/>
      <c r="O370" s="905"/>
      <c r="P370" s="906"/>
      <c r="Q370" s="906"/>
      <c r="R370" s="907"/>
      <c r="S370" s="908"/>
      <c r="T370" s="901"/>
      <c r="U370" s="902"/>
      <c r="V370" s="909"/>
      <c r="W370" s="909"/>
      <c r="X370" s="909"/>
      <c r="Y370" s="909"/>
      <c r="Z370" s="909"/>
      <c r="AA370" s="909"/>
      <c r="AB370" s="909"/>
      <c r="AC370" s="909"/>
      <c r="AD370" s="909"/>
    </row>
    <row r="371" s="141" customFormat="1" customHeight="1" spans="1:30">
      <c r="A371" s="900"/>
      <c r="B371" s="900"/>
      <c r="C371" s="900"/>
      <c r="D371" s="901"/>
      <c r="E371" s="901"/>
      <c r="F371" s="902"/>
      <c r="G371" s="902"/>
      <c r="H371" s="903"/>
      <c r="I371" s="900"/>
      <c r="J371" s="900"/>
      <c r="K371" s="902"/>
      <c r="L371" s="904"/>
      <c r="M371" s="904"/>
      <c r="N371" s="905"/>
      <c r="O371" s="905"/>
      <c r="P371" s="906"/>
      <c r="Q371" s="906"/>
      <c r="R371" s="907"/>
      <c r="S371" s="908"/>
      <c r="T371" s="901"/>
      <c r="U371" s="902"/>
      <c r="V371" s="909"/>
      <c r="W371" s="909"/>
      <c r="X371" s="909"/>
      <c r="Y371" s="909"/>
      <c r="Z371" s="909"/>
      <c r="AA371" s="909"/>
      <c r="AB371" s="909"/>
      <c r="AC371" s="909"/>
      <c r="AD371" s="909"/>
    </row>
    <row r="372" s="141" customFormat="1" customHeight="1" spans="1:30">
      <c r="A372" s="900"/>
      <c r="B372" s="900"/>
      <c r="C372" s="900"/>
      <c r="D372" s="901"/>
      <c r="E372" s="901"/>
      <c r="F372" s="902"/>
      <c r="G372" s="902"/>
      <c r="H372" s="903"/>
      <c r="I372" s="900"/>
      <c r="J372" s="900"/>
      <c r="K372" s="902"/>
      <c r="L372" s="904"/>
      <c r="M372" s="904"/>
      <c r="N372" s="905"/>
      <c r="O372" s="905"/>
      <c r="P372" s="906"/>
      <c r="Q372" s="906"/>
      <c r="R372" s="907"/>
      <c r="S372" s="908"/>
      <c r="T372" s="901"/>
      <c r="U372" s="902"/>
      <c r="V372" s="909"/>
      <c r="W372" s="909"/>
      <c r="X372" s="909"/>
      <c r="Y372" s="909"/>
      <c r="Z372" s="909"/>
      <c r="AA372" s="909"/>
      <c r="AB372" s="909"/>
      <c r="AC372" s="909"/>
      <c r="AD372" s="909"/>
    </row>
    <row r="373" s="141" customFormat="1" customHeight="1" spans="1:30">
      <c r="A373" s="900"/>
      <c r="B373" s="900"/>
      <c r="C373" s="900"/>
      <c r="D373" s="901"/>
      <c r="E373" s="901"/>
      <c r="F373" s="902"/>
      <c r="G373" s="902"/>
      <c r="H373" s="903"/>
      <c r="I373" s="900"/>
      <c r="J373" s="900"/>
      <c r="K373" s="902"/>
      <c r="L373" s="904"/>
      <c r="M373" s="904"/>
      <c r="N373" s="905"/>
      <c r="O373" s="905"/>
      <c r="P373" s="906"/>
      <c r="Q373" s="906"/>
      <c r="R373" s="907"/>
      <c r="S373" s="908"/>
      <c r="T373" s="901"/>
      <c r="U373" s="902"/>
      <c r="V373" s="909"/>
      <c r="W373" s="909"/>
      <c r="X373" s="909"/>
      <c r="Y373" s="909"/>
      <c r="Z373" s="909"/>
      <c r="AA373" s="909"/>
      <c r="AB373" s="909"/>
      <c r="AC373" s="909"/>
      <c r="AD373" s="909"/>
    </row>
    <row r="374" s="141" customFormat="1" customHeight="1" spans="1:30">
      <c r="A374" s="900"/>
      <c r="B374" s="900"/>
      <c r="C374" s="900"/>
      <c r="D374" s="901"/>
      <c r="E374" s="901"/>
      <c r="F374" s="902"/>
      <c r="G374" s="902"/>
      <c r="H374" s="903"/>
      <c r="I374" s="900"/>
      <c r="J374" s="900"/>
      <c r="K374" s="902"/>
      <c r="L374" s="904"/>
      <c r="M374" s="904"/>
      <c r="N374" s="905"/>
      <c r="O374" s="905"/>
      <c r="P374" s="906"/>
      <c r="Q374" s="906"/>
      <c r="R374" s="907"/>
      <c r="S374" s="908"/>
      <c r="T374" s="901"/>
      <c r="U374" s="902"/>
      <c r="V374" s="909"/>
      <c r="W374" s="909"/>
      <c r="X374" s="909"/>
      <c r="Y374" s="909"/>
      <c r="Z374" s="909"/>
      <c r="AA374" s="909"/>
      <c r="AB374" s="909"/>
      <c r="AC374" s="909"/>
      <c r="AD374" s="909"/>
    </row>
    <row r="375" s="141" customFormat="1" customHeight="1" spans="1:30">
      <c r="A375" s="900"/>
      <c r="B375" s="900"/>
      <c r="C375" s="900"/>
      <c r="D375" s="901"/>
      <c r="E375" s="901"/>
      <c r="F375" s="902"/>
      <c r="G375" s="902"/>
      <c r="H375" s="903"/>
      <c r="I375" s="900"/>
      <c r="J375" s="900"/>
      <c r="K375" s="902"/>
      <c r="L375" s="904"/>
      <c r="M375" s="904"/>
      <c r="N375" s="905"/>
      <c r="O375" s="905"/>
      <c r="P375" s="906"/>
      <c r="Q375" s="906"/>
      <c r="R375" s="907"/>
      <c r="S375" s="908"/>
      <c r="T375" s="901"/>
      <c r="U375" s="902"/>
      <c r="V375" s="909"/>
      <c r="W375" s="909"/>
      <c r="X375" s="909"/>
      <c r="Y375" s="909"/>
      <c r="Z375" s="909"/>
      <c r="AA375" s="909"/>
      <c r="AB375" s="909"/>
      <c r="AC375" s="909"/>
      <c r="AD375" s="909"/>
    </row>
    <row r="376" s="141" customFormat="1" customHeight="1" spans="1:30">
      <c r="A376" s="900"/>
      <c r="B376" s="900"/>
      <c r="C376" s="900"/>
      <c r="D376" s="901"/>
      <c r="E376" s="901"/>
      <c r="F376" s="902"/>
      <c r="G376" s="902"/>
      <c r="H376" s="903"/>
      <c r="I376" s="900"/>
      <c r="J376" s="900"/>
      <c r="K376" s="902"/>
      <c r="L376" s="904"/>
      <c r="M376" s="904"/>
      <c r="N376" s="905"/>
      <c r="O376" s="905"/>
      <c r="P376" s="906"/>
      <c r="Q376" s="906"/>
      <c r="R376" s="907"/>
      <c r="S376" s="908"/>
      <c r="T376" s="901"/>
      <c r="U376" s="902"/>
      <c r="V376" s="909"/>
      <c r="W376" s="909"/>
      <c r="X376" s="909"/>
      <c r="Y376" s="909"/>
      <c r="Z376" s="909"/>
      <c r="AA376" s="909"/>
      <c r="AB376" s="909"/>
      <c r="AC376" s="909"/>
      <c r="AD376" s="909"/>
    </row>
    <row r="377" s="141" customFormat="1" customHeight="1" spans="1:30">
      <c r="A377" s="900"/>
      <c r="B377" s="900"/>
      <c r="C377" s="900"/>
      <c r="D377" s="901"/>
      <c r="E377" s="901"/>
      <c r="F377" s="902"/>
      <c r="G377" s="902"/>
      <c r="H377" s="903"/>
      <c r="I377" s="900"/>
      <c r="J377" s="900"/>
      <c r="K377" s="902"/>
      <c r="L377" s="904"/>
      <c r="M377" s="904"/>
      <c r="N377" s="905"/>
      <c r="O377" s="905"/>
      <c r="P377" s="906"/>
      <c r="Q377" s="906"/>
      <c r="R377" s="907"/>
      <c r="S377" s="908"/>
      <c r="T377" s="901"/>
      <c r="U377" s="902"/>
      <c r="V377" s="909"/>
      <c r="W377" s="909"/>
      <c r="X377" s="909"/>
      <c r="Y377" s="909"/>
      <c r="Z377" s="909"/>
      <c r="AA377" s="909"/>
      <c r="AB377" s="909"/>
      <c r="AC377" s="909"/>
      <c r="AD377" s="909"/>
    </row>
    <row r="378" s="141" customFormat="1" customHeight="1" spans="1:30">
      <c r="A378" s="900"/>
      <c r="B378" s="900"/>
      <c r="C378" s="900"/>
      <c r="D378" s="901"/>
      <c r="E378" s="901"/>
      <c r="F378" s="902"/>
      <c r="G378" s="902"/>
      <c r="H378" s="903"/>
      <c r="I378" s="900"/>
      <c r="J378" s="900"/>
      <c r="K378" s="902"/>
      <c r="L378" s="904"/>
      <c r="M378" s="904"/>
      <c r="N378" s="905"/>
      <c r="O378" s="905"/>
      <c r="P378" s="906"/>
      <c r="Q378" s="906"/>
      <c r="R378" s="907"/>
      <c r="S378" s="908"/>
      <c r="T378" s="901"/>
      <c r="U378" s="902"/>
      <c r="V378" s="909"/>
      <c r="W378" s="909"/>
      <c r="X378" s="909"/>
      <c r="Y378" s="909"/>
      <c r="Z378" s="909"/>
      <c r="AA378" s="909"/>
      <c r="AB378" s="909"/>
      <c r="AC378" s="909"/>
      <c r="AD378" s="909"/>
    </row>
    <row r="379" s="141" customFormat="1" customHeight="1" spans="1:30">
      <c r="A379" s="900"/>
      <c r="B379" s="900"/>
      <c r="C379" s="900"/>
      <c r="D379" s="901"/>
      <c r="E379" s="901"/>
      <c r="F379" s="902"/>
      <c r="G379" s="902"/>
      <c r="H379" s="903"/>
      <c r="I379" s="900"/>
      <c r="J379" s="900"/>
      <c r="K379" s="902"/>
      <c r="L379" s="904"/>
      <c r="M379" s="904"/>
      <c r="N379" s="905"/>
      <c r="O379" s="905"/>
      <c r="P379" s="906"/>
      <c r="Q379" s="906"/>
      <c r="R379" s="907"/>
      <c r="S379" s="908"/>
      <c r="T379" s="901"/>
      <c r="U379" s="902"/>
      <c r="V379" s="909"/>
      <c r="W379" s="909"/>
      <c r="X379" s="909"/>
      <c r="Y379" s="909"/>
      <c r="Z379" s="909"/>
      <c r="AA379" s="909"/>
      <c r="AB379" s="909"/>
      <c r="AC379" s="909"/>
      <c r="AD379" s="909"/>
    </row>
    <row r="380" s="141" customFormat="1" customHeight="1" spans="1:30">
      <c r="A380" s="900"/>
      <c r="B380" s="900"/>
      <c r="C380" s="900"/>
      <c r="D380" s="901"/>
      <c r="E380" s="901"/>
      <c r="F380" s="902"/>
      <c r="G380" s="902"/>
      <c r="H380" s="903"/>
      <c r="I380" s="900"/>
      <c r="J380" s="900"/>
      <c r="K380" s="902"/>
      <c r="L380" s="904"/>
      <c r="M380" s="904"/>
      <c r="N380" s="905"/>
      <c r="O380" s="905"/>
      <c r="P380" s="906"/>
      <c r="Q380" s="906"/>
      <c r="R380" s="907"/>
      <c r="S380" s="908"/>
      <c r="T380" s="901"/>
      <c r="U380" s="902"/>
      <c r="V380" s="909"/>
      <c r="W380" s="909"/>
      <c r="X380" s="909"/>
      <c r="Y380" s="909"/>
      <c r="Z380" s="909"/>
      <c r="AA380" s="909"/>
      <c r="AB380" s="909"/>
      <c r="AC380" s="909"/>
      <c r="AD380" s="909"/>
    </row>
    <row r="381" s="141" customFormat="1" customHeight="1" spans="1:30">
      <c r="A381" s="900"/>
      <c r="B381" s="900"/>
      <c r="C381" s="900"/>
      <c r="D381" s="901"/>
      <c r="E381" s="901"/>
      <c r="F381" s="902"/>
      <c r="G381" s="902"/>
      <c r="H381" s="903"/>
      <c r="I381" s="900"/>
      <c r="J381" s="900"/>
      <c r="K381" s="902"/>
      <c r="L381" s="904"/>
      <c r="M381" s="904"/>
      <c r="N381" s="905"/>
      <c r="O381" s="905"/>
      <c r="P381" s="906"/>
      <c r="Q381" s="906"/>
      <c r="R381" s="907"/>
      <c r="S381" s="908"/>
      <c r="T381" s="901"/>
      <c r="U381" s="902"/>
      <c r="V381" s="909"/>
      <c r="W381" s="909"/>
      <c r="X381" s="909"/>
      <c r="Y381" s="909"/>
      <c r="Z381" s="909"/>
      <c r="AA381" s="909"/>
      <c r="AB381" s="909"/>
      <c r="AC381" s="909"/>
      <c r="AD381" s="909"/>
    </row>
    <row r="382" s="141" customFormat="1" customHeight="1" spans="1:30">
      <c r="A382" s="900"/>
      <c r="B382" s="900"/>
      <c r="C382" s="900"/>
      <c r="D382" s="901"/>
      <c r="E382" s="901"/>
      <c r="F382" s="902"/>
      <c r="G382" s="902"/>
      <c r="H382" s="903"/>
      <c r="I382" s="900"/>
      <c r="J382" s="900"/>
      <c r="K382" s="902"/>
      <c r="L382" s="904"/>
      <c r="M382" s="904"/>
      <c r="N382" s="905"/>
      <c r="O382" s="905"/>
      <c r="P382" s="906"/>
      <c r="Q382" s="906"/>
      <c r="R382" s="907"/>
      <c r="S382" s="908"/>
      <c r="T382" s="901"/>
      <c r="U382" s="902"/>
      <c r="V382" s="909"/>
      <c r="W382" s="909"/>
      <c r="X382" s="909"/>
      <c r="Y382" s="909"/>
      <c r="Z382" s="909"/>
      <c r="AA382" s="909"/>
      <c r="AB382" s="909"/>
      <c r="AC382" s="909"/>
      <c r="AD382" s="909"/>
    </row>
    <row r="383" s="141" customFormat="1" customHeight="1" spans="1:30">
      <c r="A383" s="900"/>
      <c r="B383" s="900"/>
      <c r="C383" s="900"/>
      <c r="D383" s="901"/>
      <c r="E383" s="901"/>
      <c r="F383" s="902"/>
      <c r="G383" s="902"/>
      <c r="H383" s="903"/>
      <c r="I383" s="900"/>
      <c r="J383" s="900"/>
      <c r="K383" s="902"/>
      <c r="L383" s="904"/>
      <c r="M383" s="904"/>
      <c r="N383" s="905"/>
      <c r="O383" s="905"/>
      <c r="P383" s="906"/>
      <c r="Q383" s="906"/>
      <c r="R383" s="907"/>
      <c r="S383" s="908"/>
      <c r="T383" s="901"/>
      <c r="U383" s="902"/>
      <c r="V383" s="909"/>
      <c r="W383" s="909"/>
      <c r="X383" s="909"/>
      <c r="Y383" s="909"/>
      <c r="Z383" s="909"/>
      <c r="AA383" s="909"/>
      <c r="AB383" s="909"/>
      <c r="AC383" s="909"/>
      <c r="AD383" s="909"/>
    </row>
    <row r="384" s="141" customFormat="1" customHeight="1" spans="1:30">
      <c r="A384" s="900"/>
      <c r="B384" s="900"/>
      <c r="C384" s="900"/>
      <c r="D384" s="901"/>
      <c r="E384" s="901"/>
      <c r="F384" s="902"/>
      <c r="G384" s="902"/>
      <c r="H384" s="903"/>
      <c r="I384" s="900"/>
      <c r="J384" s="900"/>
      <c r="K384" s="902"/>
      <c r="L384" s="904"/>
      <c r="M384" s="904"/>
      <c r="N384" s="905"/>
      <c r="O384" s="905"/>
      <c r="P384" s="906"/>
      <c r="Q384" s="906"/>
      <c r="R384" s="907"/>
      <c r="S384" s="908"/>
      <c r="T384" s="901"/>
      <c r="U384" s="902"/>
      <c r="V384" s="909"/>
      <c r="W384" s="909"/>
      <c r="X384" s="909"/>
      <c r="Y384" s="909"/>
      <c r="Z384" s="909"/>
      <c r="AA384" s="909"/>
      <c r="AB384" s="909"/>
      <c r="AC384" s="909"/>
      <c r="AD384" s="909"/>
    </row>
    <row r="385" s="141" customFormat="1" customHeight="1" spans="1:30">
      <c r="A385" s="900"/>
      <c r="B385" s="900"/>
      <c r="C385" s="900"/>
      <c r="D385" s="901"/>
      <c r="E385" s="901"/>
      <c r="F385" s="902"/>
      <c r="G385" s="902"/>
      <c r="H385" s="903"/>
      <c r="I385" s="900"/>
      <c r="J385" s="900"/>
      <c r="K385" s="902"/>
      <c r="L385" s="904"/>
      <c r="M385" s="904"/>
      <c r="N385" s="905"/>
      <c r="O385" s="905"/>
      <c r="P385" s="906"/>
      <c r="Q385" s="906"/>
      <c r="R385" s="907"/>
      <c r="S385" s="908"/>
      <c r="T385" s="901"/>
      <c r="U385" s="902"/>
      <c r="V385" s="909"/>
      <c r="W385" s="909"/>
      <c r="X385" s="909"/>
      <c r="Y385" s="909"/>
      <c r="Z385" s="909"/>
      <c r="AA385" s="909"/>
      <c r="AB385" s="909"/>
      <c r="AC385" s="909"/>
      <c r="AD385" s="909"/>
    </row>
    <row r="386" s="141" customFormat="1" customHeight="1" spans="1:30">
      <c r="A386" s="900"/>
      <c r="B386" s="900"/>
      <c r="C386" s="900"/>
      <c r="D386" s="901"/>
      <c r="E386" s="901"/>
      <c r="F386" s="902"/>
      <c r="G386" s="902"/>
      <c r="H386" s="903"/>
      <c r="I386" s="900"/>
      <c r="J386" s="900"/>
      <c r="K386" s="902"/>
      <c r="L386" s="904"/>
      <c r="M386" s="904"/>
      <c r="N386" s="905"/>
      <c r="O386" s="905"/>
      <c r="P386" s="906"/>
      <c r="Q386" s="906"/>
      <c r="R386" s="907"/>
      <c r="S386" s="908"/>
      <c r="T386" s="901"/>
      <c r="U386" s="902"/>
      <c r="V386" s="909"/>
      <c r="W386" s="909"/>
      <c r="X386" s="909"/>
      <c r="Y386" s="909"/>
      <c r="Z386" s="909"/>
      <c r="AA386" s="909"/>
      <c r="AB386" s="909"/>
      <c r="AC386" s="909"/>
      <c r="AD386" s="909"/>
    </row>
    <row r="387" s="141" customFormat="1" customHeight="1" spans="1:30">
      <c r="A387" s="900"/>
      <c r="B387" s="900"/>
      <c r="C387" s="900"/>
      <c r="D387" s="901"/>
      <c r="E387" s="901"/>
      <c r="F387" s="902"/>
      <c r="G387" s="902"/>
      <c r="H387" s="903"/>
      <c r="I387" s="900"/>
      <c r="J387" s="900"/>
      <c r="K387" s="902"/>
      <c r="L387" s="904"/>
      <c r="M387" s="904"/>
      <c r="N387" s="905"/>
      <c r="O387" s="905"/>
      <c r="P387" s="906"/>
      <c r="Q387" s="906"/>
      <c r="R387" s="907"/>
      <c r="S387" s="908"/>
      <c r="T387" s="901"/>
      <c r="U387" s="902"/>
      <c r="V387" s="909"/>
      <c r="W387" s="909"/>
      <c r="X387" s="909"/>
      <c r="Y387" s="909"/>
      <c r="Z387" s="909"/>
      <c r="AA387" s="909"/>
      <c r="AB387" s="909"/>
      <c r="AC387" s="909"/>
      <c r="AD387" s="909"/>
    </row>
    <row r="388" s="141" customFormat="1" customHeight="1" spans="1:30">
      <c r="A388" s="900"/>
      <c r="B388" s="900"/>
      <c r="C388" s="900"/>
      <c r="D388" s="901"/>
      <c r="E388" s="901"/>
      <c r="F388" s="902"/>
      <c r="G388" s="902"/>
      <c r="H388" s="903"/>
      <c r="I388" s="900"/>
      <c r="J388" s="900"/>
      <c r="K388" s="902"/>
      <c r="L388" s="904"/>
      <c r="M388" s="904"/>
      <c r="N388" s="905"/>
      <c r="O388" s="905"/>
      <c r="P388" s="906"/>
      <c r="Q388" s="906"/>
      <c r="R388" s="907"/>
      <c r="S388" s="908"/>
      <c r="T388" s="901"/>
      <c r="U388" s="902"/>
      <c r="V388" s="909"/>
      <c r="W388" s="909"/>
      <c r="X388" s="909"/>
      <c r="Y388" s="909"/>
      <c r="Z388" s="909"/>
      <c r="AA388" s="909"/>
      <c r="AB388" s="909"/>
      <c r="AC388" s="909"/>
      <c r="AD388" s="909"/>
    </row>
    <row r="389" s="141" customFormat="1" customHeight="1" spans="1:30">
      <c r="A389" s="900"/>
      <c r="B389" s="900"/>
      <c r="C389" s="900"/>
      <c r="D389" s="901"/>
      <c r="E389" s="901"/>
      <c r="F389" s="902"/>
      <c r="G389" s="902"/>
      <c r="H389" s="903"/>
      <c r="I389" s="900"/>
      <c r="J389" s="900"/>
      <c r="K389" s="902"/>
      <c r="L389" s="904"/>
      <c r="M389" s="904"/>
      <c r="N389" s="905"/>
      <c r="O389" s="905"/>
      <c r="P389" s="906"/>
      <c r="Q389" s="906"/>
      <c r="R389" s="907"/>
      <c r="S389" s="908"/>
      <c r="T389" s="901"/>
      <c r="U389" s="902"/>
      <c r="V389" s="909"/>
      <c r="W389" s="909"/>
      <c r="X389" s="909"/>
      <c r="Y389" s="909"/>
      <c r="Z389" s="909"/>
      <c r="AA389" s="909"/>
      <c r="AB389" s="909"/>
      <c r="AC389" s="909"/>
      <c r="AD389" s="909"/>
    </row>
    <row r="390" s="141" customFormat="1" customHeight="1" spans="1:30">
      <c r="A390" s="900"/>
      <c r="B390" s="900"/>
      <c r="C390" s="900"/>
      <c r="D390" s="901"/>
      <c r="E390" s="901"/>
      <c r="F390" s="902"/>
      <c r="G390" s="902"/>
      <c r="H390" s="903"/>
      <c r="I390" s="900"/>
      <c r="J390" s="900"/>
      <c r="K390" s="902"/>
      <c r="L390" s="904"/>
      <c r="M390" s="904"/>
      <c r="N390" s="905"/>
      <c r="O390" s="905"/>
      <c r="P390" s="906"/>
      <c r="Q390" s="906"/>
      <c r="R390" s="907"/>
      <c r="S390" s="908"/>
      <c r="T390" s="901"/>
      <c r="U390" s="902"/>
      <c r="V390" s="909"/>
      <c r="W390" s="909"/>
      <c r="X390" s="909"/>
      <c r="Y390" s="909"/>
      <c r="Z390" s="909"/>
      <c r="AA390" s="909"/>
      <c r="AB390" s="909"/>
      <c r="AC390" s="909"/>
      <c r="AD390" s="909"/>
    </row>
    <row r="391" s="141" customFormat="1" customHeight="1" spans="1:30">
      <c r="A391" s="900"/>
      <c r="B391" s="900"/>
      <c r="C391" s="900"/>
      <c r="D391" s="901"/>
      <c r="E391" s="901"/>
      <c r="F391" s="902"/>
      <c r="G391" s="902"/>
      <c r="H391" s="903"/>
      <c r="I391" s="900"/>
      <c r="J391" s="900"/>
      <c r="K391" s="902"/>
      <c r="L391" s="904"/>
      <c r="M391" s="904"/>
      <c r="N391" s="905"/>
      <c r="O391" s="905"/>
      <c r="P391" s="906"/>
      <c r="Q391" s="906"/>
      <c r="R391" s="907"/>
      <c r="S391" s="908"/>
      <c r="T391" s="901"/>
      <c r="U391" s="902"/>
      <c r="V391" s="909"/>
      <c r="W391" s="909"/>
      <c r="X391" s="909"/>
      <c r="Y391" s="909"/>
      <c r="Z391" s="909"/>
      <c r="AA391" s="909"/>
      <c r="AB391" s="909"/>
      <c r="AC391" s="909"/>
      <c r="AD391" s="909"/>
    </row>
    <row r="392" s="141" customFormat="1" customHeight="1" spans="1:30">
      <c r="A392" s="900"/>
      <c r="B392" s="900"/>
      <c r="C392" s="900"/>
      <c r="D392" s="901"/>
      <c r="E392" s="901"/>
      <c r="F392" s="902"/>
      <c r="G392" s="902"/>
      <c r="H392" s="903"/>
      <c r="I392" s="900"/>
      <c r="J392" s="900"/>
      <c r="K392" s="902"/>
      <c r="L392" s="904"/>
      <c r="M392" s="904"/>
      <c r="N392" s="905"/>
      <c r="O392" s="905"/>
      <c r="P392" s="906"/>
      <c r="Q392" s="906"/>
      <c r="R392" s="907"/>
      <c r="S392" s="908"/>
      <c r="T392" s="901"/>
      <c r="U392" s="902"/>
      <c r="V392" s="909"/>
      <c r="W392" s="909"/>
      <c r="X392" s="909"/>
      <c r="Y392" s="909"/>
      <c r="Z392" s="909"/>
      <c r="AA392" s="909"/>
      <c r="AB392" s="909"/>
      <c r="AC392" s="909"/>
      <c r="AD392" s="909"/>
    </row>
    <row r="393" s="141" customFormat="1" customHeight="1" spans="1:30">
      <c r="A393" s="900"/>
      <c r="B393" s="900"/>
      <c r="C393" s="900"/>
      <c r="D393" s="901"/>
      <c r="E393" s="901"/>
      <c r="F393" s="902"/>
      <c r="G393" s="902"/>
      <c r="H393" s="903"/>
      <c r="I393" s="900"/>
      <c r="J393" s="900"/>
      <c r="K393" s="902"/>
      <c r="L393" s="904"/>
      <c r="M393" s="904"/>
      <c r="N393" s="905"/>
      <c r="O393" s="905"/>
      <c r="P393" s="906"/>
      <c r="Q393" s="906"/>
      <c r="R393" s="907"/>
      <c r="S393" s="908"/>
      <c r="T393" s="901"/>
      <c r="U393" s="902"/>
      <c r="V393" s="909"/>
      <c r="W393" s="909"/>
      <c r="X393" s="909"/>
      <c r="Y393" s="909"/>
      <c r="Z393" s="909"/>
      <c r="AA393" s="909"/>
      <c r="AB393" s="909"/>
      <c r="AC393" s="909"/>
      <c r="AD393" s="909"/>
    </row>
    <row r="394" s="141" customFormat="1" customHeight="1" spans="1:30">
      <c r="A394" s="900"/>
      <c r="B394" s="900"/>
      <c r="C394" s="900"/>
      <c r="D394" s="901"/>
      <c r="E394" s="901"/>
      <c r="F394" s="902"/>
      <c r="G394" s="902"/>
      <c r="H394" s="903"/>
      <c r="I394" s="900"/>
      <c r="J394" s="900"/>
      <c r="K394" s="902"/>
      <c r="L394" s="904"/>
      <c r="M394" s="904"/>
      <c r="N394" s="905"/>
      <c r="O394" s="905"/>
      <c r="P394" s="906"/>
      <c r="Q394" s="906"/>
      <c r="R394" s="907"/>
      <c r="S394" s="908"/>
      <c r="T394" s="901"/>
      <c r="U394" s="902"/>
      <c r="V394" s="909"/>
      <c r="W394" s="909"/>
      <c r="X394" s="909"/>
      <c r="Y394" s="909"/>
      <c r="Z394" s="909"/>
      <c r="AA394" s="909"/>
      <c r="AB394" s="909"/>
      <c r="AC394" s="909"/>
      <c r="AD394" s="909"/>
    </row>
    <row r="395" s="141" customFormat="1" customHeight="1" spans="1:30">
      <c r="A395" s="900"/>
      <c r="B395" s="900"/>
      <c r="C395" s="900"/>
      <c r="D395" s="901"/>
      <c r="E395" s="901"/>
      <c r="F395" s="902"/>
      <c r="G395" s="902"/>
      <c r="H395" s="903"/>
      <c r="I395" s="900"/>
      <c r="J395" s="900"/>
      <c r="K395" s="902"/>
      <c r="L395" s="904"/>
      <c r="M395" s="904"/>
      <c r="N395" s="905"/>
      <c r="O395" s="905"/>
      <c r="P395" s="906"/>
      <c r="Q395" s="906"/>
      <c r="R395" s="907"/>
      <c r="S395" s="908"/>
      <c r="T395" s="901"/>
      <c r="U395" s="902"/>
      <c r="V395" s="909"/>
      <c r="W395" s="909"/>
      <c r="X395" s="909"/>
      <c r="Y395" s="909"/>
      <c r="Z395" s="909"/>
      <c r="AA395" s="909"/>
      <c r="AB395" s="909"/>
      <c r="AC395" s="909"/>
      <c r="AD395" s="909"/>
    </row>
    <row r="396" s="141" customFormat="1" customHeight="1" spans="1:30">
      <c r="A396" s="900"/>
      <c r="B396" s="900"/>
      <c r="C396" s="900"/>
      <c r="D396" s="901"/>
      <c r="E396" s="901"/>
      <c r="F396" s="902"/>
      <c r="G396" s="902"/>
      <c r="H396" s="903"/>
      <c r="I396" s="900"/>
      <c r="J396" s="900"/>
      <c r="K396" s="902"/>
      <c r="L396" s="904"/>
      <c r="M396" s="904"/>
      <c r="N396" s="905"/>
      <c r="O396" s="905"/>
      <c r="P396" s="906"/>
      <c r="Q396" s="906"/>
      <c r="R396" s="907"/>
      <c r="S396" s="908"/>
      <c r="T396" s="901"/>
      <c r="U396" s="902"/>
      <c r="V396" s="909"/>
      <c r="W396" s="909"/>
      <c r="X396" s="909"/>
      <c r="Y396" s="909"/>
      <c r="Z396" s="909"/>
      <c r="AA396" s="909"/>
      <c r="AB396" s="909"/>
      <c r="AC396" s="909"/>
      <c r="AD396" s="909"/>
    </row>
    <row r="397" s="141" customFormat="1" customHeight="1" spans="1:30">
      <c r="A397" s="900"/>
      <c r="B397" s="900"/>
      <c r="C397" s="900"/>
      <c r="D397" s="901"/>
      <c r="E397" s="901"/>
      <c r="F397" s="902"/>
      <c r="G397" s="902"/>
      <c r="H397" s="903"/>
      <c r="I397" s="900"/>
      <c r="J397" s="900"/>
      <c r="K397" s="902"/>
      <c r="L397" s="904"/>
      <c r="M397" s="904"/>
      <c r="N397" s="905"/>
      <c r="O397" s="905"/>
      <c r="P397" s="906"/>
      <c r="Q397" s="906"/>
      <c r="R397" s="907"/>
      <c r="S397" s="908"/>
      <c r="T397" s="901"/>
      <c r="U397" s="902"/>
      <c r="V397" s="909"/>
      <c r="W397" s="909"/>
      <c r="X397" s="909"/>
      <c r="Y397" s="909"/>
      <c r="Z397" s="909"/>
      <c r="AA397" s="909"/>
      <c r="AB397" s="909"/>
      <c r="AC397" s="909"/>
      <c r="AD397" s="909"/>
    </row>
    <row r="398" s="141" customFormat="1" customHeight="1" spans="1:30">
      <c r="A398" s="900"/>
      <c r="B398" s="900"/>
      <c r="C398" s="900"/>
      <c r="D398" s="901"/>
      <c r="E398" s="901"/>
      <c r="F398" s="902"/>
      <c r="G398" s="902"/>
      <c r="H398" s="903"/>
      <c r="I398" s="900"/>
      <c r="J398" s="900"/>
      <c r="K398" s="902"/>
      <c r="L398" s="904"/>
      <c r="M398" s="904"/>
      <c r="N398" s="905"/>
      <c r="O398" s="905"/>
      <c r="P398" s="906"/>
      <c r="Q398" s="906"/>
      <c r="R398" s="907"/>
      <c r="S398" s="908"/>
      <c r="T398" s="901"/>
      <c r="U398" s="902"/>
      <c r="V398" s="909"/>
      <c r="W398" s="909"/>
      <c r="X398" s="909"/>
      <c r="Y398" s="909"/>
      <c r="Z398" s="909"/>
      <c r="AA398" s="909"/>
      <c r="AB398" s="909"/>
      <c r="AC398" s="909"/>
      <c r="AD398" s="909"/>
    </row>
    <row r="399" s="141" customFormat="1" customHeight="1" spans="1:30">
      <c r="A399" s="900"/>
      <c r="B399" s="900"/>
      <c r="C399" s="900"/>
      <c r="D399" s="901"/>
      <c r="E399" s="901"/>
      <c r="F399" s="902"/>
      <c r="G399" s="902"/>
      <c r="H399" s="903"/>
      <c r="I399" s="900"/>
      <c r="J399" s="900"/>
      <c r="K399" s="902"/>
      <c r="L399" s="904"/>
      <c r="M399" s="904"/>
      <c r="N399" s="905"/>
      <c r="O399" s="905"/>
      <c r="P399" s="906"/>
      <c r="Q399" s="906"/>
      <c r="R399" s="907"/>
      <c r="S399" s="908"/>
      <c r="T399" s="901"/>
      <c r="U399" s="902"/>
      <c r="V399" s="909"/>
      <c r="W399" s="909"/>
      <c r="X399" s="909"/>
      <c r="Y399" s="909"/>
      <c r="Z399" s="909"/>
      <c r="AA399" s="909"/>
      <c r="AB399" s="909"/>
      <c r="AC399" s="909"/>
      <c r="AD399" s="909"/>
    </row>
    <row r="400" s="141" customFormat="1" customHeight="1" spans="1:30">
      <c r="A400" s="900"/>
      <c r="B400" s="900"/>
      <c r="C400" s="900"/>
      <c r="D400" s="901"/>
      <c r="E400" s="901"/>
      <c r="F400" s="902"/>
      <c r="G400" s="902"/>
      <c r="H400" s="903"/>
      <c r="I400" s="900"/>
      <c r="J400" s="900"/>
      <c r="K400" s="902"/>
      <c r="L400" s="904"/>
      <c r="M400" s="904"/>
      <c r="N400" s="905"/>
      <c r="O400" s="905"/>
      <c r="P400" s="906"/>
      <c r="Q400" s="906"/>
      <c r="R400" s="907"/>
      <c r="S400" s="908"/>
      <c r="T400" s="901"/>
      <c r="U400" s="902"/>
      <c r="V400" s="909"/>
      <c r="W400" s="909"/>
      <c r="X400" s="909"/>
      <c r="Y400" s="909"/>
      <c r="Z400" s="909"/>
      <c r="AA400" s="909"/>
      <c r="AB400" s="909"/>
      <c r="AC400" s="909"/>
      <c r="AD400" s="909"/>
    </row>
    <row r="401" s="141" customFormat="1" customHeight="1" spans="1:30">
      <c r="A401" s="900"/>
      <c r="B401" s="900"/>
      <c r="C401" s="900"/>
      <c r="D401" s="901"/>
      <c r="E401" s="901"/>
      <c r="F401" s="902"/>
      <c r="G401" s="902"/>
      <c r="H401" s="903"/>
      <c r="I401" s="900"/>
      <c r="J401" s="900"/>
      <c r="K401" s="902"/>
      <c r="L401" s="904"/>
      <c r="M401" s="904"/>
      <c r="N401" s="905"/>
      <c r="O401" s="905"/>
      <c r="P401" s="906"/>
      <c r="Q401" s="906"/>
      <c r="R401" s="907"/>
      <c r="S401" s="908"/>
      <c r="T401" s="901"/>
      <c r="U401" s="902"/>
      <c r="V401" s="909"/>
      <c r="W401" s="909"/>
      <c r="X401" s="909"/>
      <c r="Y401" s="909"/>
      <c r="Z401" s="909"/>
      <c r="AA401" s="909"/>
      <c r="AB401" s="909"/>
      <c r="AC401" s="909"/>
      <c r="AD401" s="909"/>
    </row>
    <row r="402" s="141" customFormat="1" customHeight="1" spans="1:30">
      <c r="A402" s="900"/>
      <c r="B402" s="900"/>
      <c r="C402" s="900"/>
      <c r="D402" s="901"/>
      <c r="E402" s="901"/>
      <c r="F402" s="902"/>
      <c r="G402" s="902"/>
      <c r="H402" s="903"/>
      <c r="I402" s="900"/>
      <c r="J402" s="900"/>
      <c r="K402" s="902"/>
      <c r="L402" s="904"/>
      <c r="M402" s="904"/>
      <c r="N402" s="905"/>
      <c r="O402" s="905"/>
      <c r="P402" s="906"/>
      <c r="Q402" s="906"/>
      <c r="R402" s="907"/>
      <c r="S402" s="908"/>
      <c r="T402" s="901"/>
      <c r="U402" s="902"/>
      <c r="V402" s="909"/>
      <c r="W402" s="909"/>
      <c r="X402" s="909"/>
      <c r="Y402" s="909"/>
      <c r="Z402" s="909"/>
      <c r="AA402" s="909"/>
      <c r="AB402" s="909"/>
      <c r="AC402" s="909"/>
      <c r="AD402" s="909"/>
    </row>
    <row r="403" s="141" customFormat="1" customHeight="1" spans="1:30">
      <c r="A403" s="900"/>
      <c r="B403" s="900"/>
      <c r="C403" s="900"/>
      <c r="D403" s="901"/>
      <c r="E403" s="901"/>
      <c r="F403" s="902"/>
      <c r="G403" s="902"/>
      <c r="H403" s="903"/>
      <c r="I403" s="900"/>
      <c r="J403" s="900"/>
      <c r="K403" s="902"/>
      <c r="L403" s="904"/>
      <c r="M403" s="904"/>
      <c r="N403" s="905"/>
      <c r="O403" s="905"/>
      <c r="P403" s="906"/>
      <c r="Q403" s="906"/>
      <c r="R403" s="907"/>
      <c r="S403" s="908"/>
      <c r="T403" s="901"/>
      <c r="U403" s="902"/>
      <c r="V403" s="909"/>
      <c r="W403" s="909"/>
      <c r="X403" s="909"/>
      <c r="Y403" s="909"/>
      <c r="Z403" s="909"/>
      <c r="AA403" s="909"/>
      <c r="AB403" s="909"/>
      <c r="AC403" s="909"/>
      <c r="AD403" s="909"/>
    </row>
    <row r="404" s="141" customFormat="1" customHeight="1" spans="1:30">
      <c r="A404" s="900"/>
      <c r="B404" s="900"/>
      <c r="C404" s="900"/>
      <c r="D404" s="901"/>
      <c r="E404" s="901"/>
      <c r="F404" s="902"/>
      <c r="G404" s="902"/>
      <c r="H404" s="903"/>
      <c r="I404" s="900"/>
      <c r="J404" s="900"/>
      <c r="K404" s="902"/>
      <c r="L404" s="904"/>
      <c r="M404" s="904"/>
      <c r="N404" s="905"/>
      <c r="O404" s="905"/>
      <c r="P404" s="906"/>
      <c r="Q404" s="906"/>
      <c r="R404" s="907"/>
      <c r="S404" s="908"/>
      <c r="T404" s="901"/>
      <c r="U404" s="902"/>
      <c r="V404" s="909"/>
      <c r="W404" s="909"/>
      <c r="X404" s="909"/>
      <c r="Y404" s="909"/>
      <c r="Z404" s="909"/>
      <c r="AA404" s="909"/>
      <c r="AB404" s="909"/>
      <c r="AC404" s="909"/>
      <c r="AD404" s="909"/>
    </row>
    <row r="405" s="141" customFormat="1" customHeight="1" spans="1:30">
      <c r="A405" s="900"/>
      <c r="B405" s="900"/>
      <c r="C405" s="900"/>
      <c r="D405" s="901"/>
      <c r="E405" s="901"/>
      <c r="F405" s="902"/>
      <c r="G405" s="902"/>
      <c r="H405" s="903"/>
      <c r="I405" s="900"/>
      <c r="J405" s="900"/>
      <c r="K405" s="902"/>
      <c r="L405" s="904"/>
      <c r="M405" s="904"/>
      <c r="N405" s="905"/>
      <c r="O405" s="905"/>
      <c r="P405" s="906"/>
      <c r="Q405" s="906"/>
      <c r="R405" s="907"/>
      <c r="S405" s="908"/>
      <c r="T405" s="901"/>
      <c r="U405" s="902"/>
      <c r="V405" s="909"/>
      <c r="W405" s="909"/>
      <c r="X405" s="909"/>
      <c r="Y405" s="909"/>
      <c r="Z405" s="909"/>
      <c r="AA405" s="909"/>
      <c r="AB405" s="909"/>
      <c r="AC405" s="909"/>
      <c r="AD405" s="909"/>
    </row>
    <row r="406" s="141" customFormat="1" customHeight="1" spans="1:30">
      <c r="A406" s="900"/>
      <c r="B406" s="900"/>
      <c r="C406" s="900"/>
      <c r="D406" s="901"/>
      <c r="E406" s="901"/>
      <c r="F406" s="902"/>
      <c r="G406" s="902"/>
      <c r="H406" s="903"/>
      <c r="I406" s="900"/>
      <c r="J406" s="900"/>
      <c r="K406" s="902"/>
      <c r="L406" s="904"/>
      <c r="M406" s="904"/>
      <c r="N406" s="905"/>
      <c r="O406" s="905"/>
      <c r="P406" s="906"/>
      <c r="Q406" s="906"/>
      <c r="R406" s="907"/>
      <c r="S406" s="908"/>
      <c r="T406" s="901"/>
      <c r="U406" s="902"/>
      <c r="V406" s="909"/>
      <c r="W406" s="909"/>
      <c r="X406" s="909"/>
      <c r="Y406" s="909"/>
      <c r="Z406" s="909"/>
      <c r="AA406" s="909"/>
      <c r="AB406" s="909"/>
      <c r="AC406" s="909"/>
      <c r="AD406" s="909"/>
    </row>
    <row r="407" s="141" customFormat="1" customHeight="1" spans="1:30">
      <c r="A407" s="900"/>
      <c r="B407" s="900"/>
      <c r="C407" s="900"/>
      <c r="D407" s="901"/>
      <c r="E407" s="901"/>
      <c r="F407" s="902"/>
      <c r="G407" s="902"/>
      <c r="H407" s="903"/>
      <c r="I407" s="900"/>
      <c r="J407" s="900"/>
      <c r="K407" s="902"/>
      <c r="L407" s="904"/>
      <c r="M407" s="904"/>
      <c r="N407" s="905"/>
      <c r="O407" s="905"/>
      <c r="P407" s="906"/>
      <c r="Q407" s="906"/>
      <c r="R407" s="907"/>
      <c r="S407" s="908"/>
      <c r="T407" s="901"/>
      <c r="U407" s="902"/>
      <c r="V407" s="909"/>
      <c r="W407" s="909"/>
      <c r="X407" s="909"/>
      <c r="Y407" s="909"/>
      <c r="Z407" s="909"/>
      <c r="AA407" s="909"/>
      <c r="AB407" s="909"/>
      <c r="AC407" s="909"/>
      <c r="AD407" s="909"/>
    </row>
    <row r="408" s="141" customFormat="1" customHeight="1" spans="1:30">
      <c r="A408" s="900"/>
      <c r="B408" s="900"/>
      <c r="C408" s="900"/>
      <c r="D408" s="901"/>
      <c r="E408" s="901"/>
      <c r="F408" s="902"/>
      <c r="G408" s="902"/>
      <c r="H408" s="903"/>
      <c r="I408" s="900"/>
      <c r="J408" s="900"/>
      <c r="K408" s="902"/>
      <c r="L408" s="904"/>
      <c r="M408" s="904"/>
      <c r="N408" s="905"/>
      <c r="O408" s="905"/>
      <c r="P408" s="906"/>
      <c r="Q408" s="906"/>
      <c r="R408" s="907"/>
      <c r="S408" s="908"/>
      <c r="T408" s="901"/>
      <c r="U408" s="902"/>
      <c r="V408" s="909"/>
      <c r="W408" s="909"/>
      <c r="X408" s="909"/>
      <c r="Y408" s="909"/>
      <c r="Z408" s="909"/>
      <c r="AA408" s="909"/>
      <c r="AB408" s="909"/>
      <c r="AC408" s="909"/>
      <c r="AD408" s="909"/>
    </row>
    <row r="409" s="141" customFormat="1" customHeight="1" spans="1:30">
      <c r="A409" s="900"/>
      <c r="B409" s="900"/>
      <c r="C409" s="900"/>
      <c r="D409" s="901"/>
      <c r="E409" s="901"/>
      <c r="F409" s="902"/>
      <c r="G409" s="902"/>
      <c r="H409" s="903"/>
      <c r="I409" s="900"/>
      <c r="J409" s="900"/>
      <c r="K409" s="902"/>
      <c r="L409" s="904"/>
      <c r="M409" s="904"/>
      <c r="N409" s="905"/>
      <c r="O409" s="905"/>
      <c r="P409" s="906"/>
      <c r="Q409" s="906"/>
      <c r="R409" s="907"/>
      <c r="S409" s="908"/>
      <c r="T409" s="901"/>
      <c r="U409" s="902"/>
      <c r="V409" s="909"/>
      <c r="W409" s="909"/>
      <c r="X409" s="909"/>
      <c r="Y409" s="909"/>
      <c r="Z409" s="909"/>
      <c r="AA409" s="909"/>
      <c r="AB409" s="909"/>
      <c r="AC409" s="909"/>
      <c r="AD409" s="909"/>
    </row>
    <row r="410" s="141" customFormat="1" customHeight="1" spans="1:30">
      <c r="A410" s="900"/>
      <c r="B410" s="900"/>
      <c r="C410" s="900"/>
      <c r="D410" s="901"/>
      <c r="E410" s="901"/>
      <c r="F410" s="902"/>
      <c r="G410" s="902"/>
      <c r="H410" s="903"/>
      <c r="I410" s="900"/>
      <c r="J410" s="900"/>
      <c r="K410" s="902"/>
      <c r="L410" s="904"/>
      <c r="M410" s="904"/>
      <c r="N410" s="905"/>
      <c r="O410" s="905"/>
      <c r="P410" s="906"/>
      <c r="Q410" s="906"/>
      <c r="R410" s="907"/>
      <c r="S410" s="908"/>
      <c r="T410" s="901"/>
      <c r="U410" s="902"/>
      <c r="V410" s="909"/>
      <c r="W410" s="909"/>
      <c r="X410" s="909"/>
      <c r="Y410" s="909"/>
      <c r="Z410" s="909"/>
      <c r="AA410" s="909"/>
      <c r="AB410" s="909"/>
      <c r="AC410" s="909"/>
      <c r="AD410" s="909"/>
    </row>
    <row r="411" s="141" customFormat="1" customHeight="1" spans="1:30">
      <c r="A411" s="900"/>
      <c r="B411" s="900"/>
      <c r="C411" s="900"/>
      <c r="D411" s="901"/>
      <c r="E411" s="901"/>
      <c r="F411" s="902"/>
      <c r="G411" s="902"/>
      <c r="H411" s="903"/>
      <c r="I411" s="900"/>
      <c r="J411" s="900"/>
      <c r="K411" s="902"/>
      <c r="L411" s="904"/>
      <c r="M411" s="904"/>
      <c r="N411" s="905"/>
      <c r="O411" s="905"/>
      <c r="P411" s="906"/>
      <c r="Q411" s="906"/>
      <c r="R411" s="907"/>
      <c r="S411" s="908"/>
      <c r="T411" s="901"/>
      <c r="U411" s="902"/>
      <c r="V411" s="909"/>
      <c r="W411" s="909"/>
      <c r="X411" s="909"/>
      <c r="Y411" s="909"/>
      <c r="Z411" s="909"/>
      <c r="AA411" s="909"/>
      <c r="AB411" s="909"/>
      <c r="AC411" s="909"/>
      <c r="AD411" s="909"/>
    </row>
    <row r="412" s="141" customFormat="1" customHeight="1" spans="1:30">
      <c r="A412" s="900"/>
      <c r="B412" s="900"/>
      <c r="C412" s="900"/>
      <c r="D412" s="901"/>
      <c r="E412" s="901"/>
      <c r="F412" s="902"/>
      <c r="G412" s="902"/>
      <c r="H412" s="903"/>
      <c r="I412" s="900"/>
      <c r="J412" s="900"/>
      <c r="K412" s="902"/>
      <c r="L412" s="904"/>
      <c r="M412" s="904"/>
      <c r="N412" s="905"/>
      <c r="O412" s="905"/>
      <c r="P412" s="906"/>
      <c r="Q412" s="906"/>
      <c r="R412" s="907"/>
      <c r="S412" s="908"/>
      <c r="T412" s="901"/>
      <c r="U412" s="902"/>
      <c r="V412" s="909"/>
      <c r="W412" s="909"/>
      <c r="X412" s="909"/>
      <c r="Y412" s="909"/>
      <c r="Z412" s="909"/>
      <c r="AA412" s="909"/>
      <c r="AB412" s="909"/>
      <c r="AC412" s="909"/>
      <c r="AD412" s="909"/>
    </row>
    <row r="413" s="141" customFormat="1" customHeight="1" spans="1:30">
      <c r="A413" s="900"/>
      <c r="B413" s="900"/>
      <c r="C413" s="900"/>
      <c r="D413" s="901"/>
      <c r="E413" s="901"/>
      <c r="F413" s="902"/>
      <c r="G413" s="902"/>
      <c r="H413" s="903"/>
      <c r="I413" s="900"/>
      <c r="J413" s="900"/>
      <c r="K413" s="902"/>
      <c r="L413" s="904"/>
      <c r="M413" s="904"/>
      <c r="N413" s="905"/>
      <c r="O413" s="905"/>
      <c r="P413" s="906"/>
      <c r="Q413" s="906"/>
      <c r="R413" s="907"/>
      <c r="S413" s="908"/>
      <c r="T413" s="901"/>
      <c r="U413" s="902"/>
      <c r="V413" s="909"/>
      <c r="W413" s="909"/>
      <c r="X413" s="909"/>
      <c r="Y413" s="909"/>
      <c r="Z413" s="909"/>
      <c r="AA413" s="909"/>
      <c r="AB413" s="909"/>
      <c r="AC413" s="909"/>
      <c r="AD413" s="909"/>
    </row>
    <row r="414" s="141" customFormat="1" customHeight="1" spans="1:30">
      <c r="A414" s="900"/>
      <c r="B414" s="900"/>
      <c r="C414" s="900"/>
      <c r="D414" s="901"/>
      <c r="E414" s="901"/>
      <c r="F414" s="902"/>
      <c r="G414" s="902"/>
      <c r="H414" s="903"/>
      <c r="I414" s="900"/>
      <c r="J414" s="900"/>
      <c r="K414" s="902"/>
      <c r="L414" s="904"/>
      <c r="M414" s="904"/>
      <c r="N414" s="905"/>
      <c r="O414" s="905"/>
      <c r="P414" s="906"/>
      <c r="Q414" s="906"/>
      <c r="R414" s="907"/>
      <c r="S414" s="908"/>
      <c r="T414" s="901"/>
      <c r="U414" s="902"/>
      <c r="V414" s="909"/>
      <c r="W414" s="909"/>
      <c r="X414" s="909"/>
      <c r="Y414" s="909"/>
      <c r="Z414" s="909"/>
      <c r="AA414" s="909"/>
      <c r="AB414" s="909"/>
      <c r="AC414" s="909"/>
      <c r="AD414" s="909"/>
    </row>
    <row r="415" s="141" customFormat="1" customHeight="1" spans="1:30">
      <c r="A415" s="900"/>
      <c r="B415" s="900"/>
      <c r="C415" s="900"/>
      <c r="D415" s="901"/>
      <c r="E415" s="901"/>
      <c r="F415" s="902"/>
      <c r="G415" s="902"/>
      <c r="H415" s="903"/>
      <c r="I415" s="900"/>
      <c r="J415" s="900"/>
      <c r="K415" s="902"/>
      <c r="L415" s="904"/>
      <c r="M415" s="904"/>
      <c r="N415" s="905"/>
      <c r="O415" s="905"/>
      <c r="P415" s="906"/>
      <c r="Q415" s="906"/>
      <c r="R415" s="907"/>
      <c r="S415" s="908"/>
      <c r="T415" s="901"/>
      <c r="U415" s="902"/>
      <c r="V415" s="909"/>
      <c r="W415" s="909"/>
      <c r="X415" s="909"/>
      <c r="Y415" s="909"/>
      <c r="Z415" s="909"/>
      <c r="AA415" s="909"/>
      <c r="AB415" s="909"/>
      <c r="AC415" s="909"/>
      <c r="AD415" s="909"/>
    </row>
    <row r="416" s="141" customFormat="1" customHeight="1" spans="1:30">
      <c r="A416" s="900"/>
      <c r="B416" s="900"/>
      <c r="C416" s="900"/>
      <c r="D416" s="901"/>
      <c r="E416" s="901"/>
      <c r="F416" s="902"/>
      <c r="G416" s="902"/>
      <c r="H416" s="903"/>
      <c r="I416" s="900"/>
      <c r="J416" s="900"/>
      <c r="K416" s="902"/>
      <c r="L416" s="904"/>
      <c r="M416" s="904"/>
      <c r="N416" s="905"/>
      <c r="O416" s="905"/>
      <c r="P416" s="906"/>
      <c r="Q416" s="906"/>
      <c r="R416" s="907"/>
      <c r="S416" s="908"/>
      <c r="T416" s="901"/>
      <c r="U416" s="902"/>
      <c r="V416" s="909"/>
      <c r="W416" s="909"/>
      <c r="X416" s="909"/>
      <c r="Y416" s="909"/>
      <c r="Z416" s="909"/>
      <c r="AA416" s="909"/>
      <c r="AB416" s="909"/>
      <c r="AC416" s="909"/>
      <c r="AD416" s="909"/>
    </row>
    <row r="417" s="141" customFormat="1" customHeight="1" spans="1:30">
      <c r="A417" s="900"/>
      <c r="B417" s="900"/>
      <c r="C417" s="900"/>
      <c r="D417" s="901"/>
      <c r="E417" s="901"/>
      <c r="F417" s="902"/>
      <c r="G417" s="902"/>
      <c r="H417" s="903"/>
      <c r="I417" s="900"/>
      <c r="J417" s="900"/>
      <c r="K417" s="902"/>
      <c r="L417" s="904"/>
      <c r="M417" s="904"/>
      <c r="N417" s="905"/>
      <c r="O417" s="905"/>
      <c r="P417" s="906"/>
      <c r="Q417" s="906"/>
      <c r="R417" s="907"/>
      <c r="S417" s="908"/>
      <c r="T417" s="901"/>
      <c r="U417" s="902"/>
      <c r="V417" s="909"/>
      <c r="W417" s="909"/>
      <c r="X417" s="909"/>
      <c r="Y417" s="909"/>
      <c r="Z417" s="909"/>
      <c r="AA417" s="909"/>
      <c r="AB417" s="909"/>
      <c r="AC417" s="909"/>
      <c r="AD417" s="909"/>
    </row>
    <row r="418" s="141" customFormat="1" customHeight="1" spans="1:30">
      <c r="A418" s="900"/>
      <c r="B418" s="900"/>
      <c r="C418" s="900"/>
      <c r="D418" s="901"/>
      <c r="E418" s="901"/>
      <c r="F418" s="902"/>
      <c r="G418" s="902"/>
      <c r="H418" s="903"/>
      <c r="I418" s="900"/>
      <c r="J418" s="900"/>
      <c r="K418" s="902"/>
      <c r="L418" s="904"/>
      <c r="M418" s="904"/>
      <c r="N418" s="905"/>
      <c r="O418" s="905"/>
      <c r="P418" s="906"/>
      <c r="Q418" s="906"/>
      <c r="R418" s="907"/>
      <c r="S418" s="908"/>
      <c r="T418" s="901"/>
      <c r="U418" s="902"/>
      <c r="V418" s="909"/>
      <c r="W418" s="909"/>
      <c r="X418" s="909"/>
      <c r="Y418" s="909"/>
      <c r="Z418" s="909"/>
      <c r="AA418" s="909"/>
      <c r="AB418" s="909"/>
      <c r="AC418" s="909"/>
      <c r="AD418" s="909"/>
    </row>
    <row r="419" s="141" customFormat="1" customHeight="1" spans="1:30">
      <c r="A419" s="900"/>
      <c r="B419" s="900"/>
      <c r="C419" s="900"/>
      <c r="D419" s="901"/>
      <c r="E419" s="901"/>
      <c r="F419" s="902"/>
      <c r="G419" s="902"/>
      <c r="H419" s="903"/>
      <c r="I419" s="900"/>
      <c r="J419" s="900"/>
      <c r="K419" s="902"/>
      <c r="L419" s="904"/>
      <c r="M419" s="904"/>
      <c r="N419" s="905"/>
      <c r="O419" s="905"/>
      <c r="P419" s="906"/>
      <c r="Q419" s="906"/>
      <c r="R419" s="907"/>
      <c r="S419" s="908"/>
      <c r="T419" s="901"/>
      <c r="U419" s="902"/>
      <c r="V419" s="909"/>
      <c r="W419" s="909"/>
      <c r="X419" s="909"/>
      <c r="Y419" s="909"/>
      <c r="Z419" s="909"/>
      <c r="AA419" s="909"/>
      <c r="AB419" s="909"/>
      <c r="AC419" s="909"/>
      <c r="AD419" s="909"/>
    </row>
    <row r="420" s="141" customFormat="1" customHeight="1" spans="1:30">
      <c r="A420" s="900"/>
      <c r="B420" s="900"/>
      <c r="C420" s="900"/>
      <c r="D420" s="901"/>
      <c r="E420" s="901"/>
      <c r="F420" s="902"/>
      <c r="G420" s="902"/>
      <c r="H420" s="903"/>
      <c r="I420" s="900"/>
      <c r="J420" s="900"/>
      <c r="K420" s="902"/>
      <c r="L420" s="904"/>
      <c r="M420" s="904"/>
      <c r="N420" s="905"/>
      <c r="O420" s="905"/>
      <c r="P420" s="906"/>
      <c r="Q420" s="906"/>
      <c r="R420" s="907"/>
      <c r="S420" s="908"/>
      <c r="T420" s="901"/>
      <c r="U420" s="902"/>
      <c r="V420" s="909"/>
      <c r="W420" s="909"/>
      <c r="X420" s="909"/>
      <c r="Y420" s="909"/>
      <c r="Z420" s="909"/>
      <c r="AA420" s="909"/>
      <c r="AB420" s="909"/>
      <c r="AC420" s="909"/>
      <c r="AD420" s="909"/>
    </row>
    <row r="421" s="141" customFormat="1" customHeight="1" spans="1:30">
      <c r="A421" s="900"/>
      <c r="B421" s="900"/>
      <c r="C421" s="900"/>
      <c r="D421" s="901"/>
      <c r="E421" s="901"/>
      <c r="F421" s="902"/>
      <c r="G421" s="902"/>
      <c r="H421" s="903"/>
      <c r="I421" s="900"/>
      <c r="J421" s="900"/>
      <c r="K421" s="902"/>
      <c r="L421" s="904"/>
      <c r="M421" s="904"/>
      <c r="N421" s="905"/>
      <c r="O421" s="905"/>
      <c r="P421" s="906"/>
      <c r="Q421" s="906"/>
      <c r="R421" s="907"/>
      <c r="S421" s="908"/>
      <c r="T421" s="901"/>
      <c r="U421" s="902"/>
      <c r="V421" s="909"/>
      <c r="W421" s="909"/>
      <c r="X421" s="909"/>
      <c r="Y421" s="909"/>
      <c r="Z421" s="909"/>
      <c r="AA421" s="909"/>
      <c r="AB421" s="909"/>
      <c r="AC421" s="909"/>
      <c r="AD421" s="909"/>
    </row>
    <row r="422" s="141" customFormat="1" customHeight="1" spans="1:30">
      <c r="A422" s="900"/>
      <c r="B422" s="900"/>
      <c r="C422" s="900"/>
      <c r="D422" s="901"/>
      <c r="E422" s="901"/>
      <c r="F422" s="902"/>
      <c r="G422" s="902"/>
      <c r="H422" s="903"/>
      <c r="I422" s="900"/>
      <c r="J422" s="900"/>
      <c r="K422" s="902"/>
      <c r="L422" s="904"/>
      <c r="M422" s="904"/>
      <c r="N422" s="905"/>
      <c r="O422" s="905"/>
      <c r="P422" s="906"/>
      <c r="Q422" s="906"/>
      <c r="R422" s="907"/>
      <c r="S422" s="908"/>
      <c r="T422" s="901"/>
      <c r="U422" s="902"/>
      <c r="V422" s="909"/>
      <c r="W422" s="909"/>
      <c r="X422" s="909"/>
      <c r="Y422" s="909"/>
      <c r="Z422" s="909"/>
      <c r="AA422" s="909"/>
      <c r="AB422" s="909"/>
      <c r="AC422" s="909"/>
      <c r="AD422" s="909"/>
    </row>
    <row r="423" s="141" customFormat="1" customHeight="1" spans="1:30">
      <c r="A423" s="900"/>
      <c r="B423" s="900"/>
      <c r="C423" s="900"/>
      <c r="D423" s="901"/>
      <c r="E423" s="901"/>
      <c r="F423" s="902"/>
      <c r="G423" s="902"/>
      <c r="H423" s="903"/>
      <c r="I423" s="900"/>
      <c r="J423" s="900"/>
      <c r="K423" s="902"/>
      <c r="L423" s="904"/>
      <c r="M423" s="904"/>
      <c r="N423" s="905"/>
      <c r="O423" s="905"/>
      <c r="P423" s="906"/>
      <c r="Q423" s="906"/>
      <c r="R423" s="907"/>
      <c r="S423" s="908"/>
      <c r="T423" s="901"/>
      <c r="U423" s="902"/>
      <c r="V423" s="909"/>
      <c r="W423" s="909"/>
      <c r="X423" s="909"/>
      <c r="Y423" s="909"/>
      <c r="Z423" s="909"/>
      <c r="AA423" s="909"/>
      <c r="AB423" s="909"/>
      <c r="AC423" s="909"/>
      <c r="AD423" s="909"/>
    </row>
    <row r="424" s="141" customFormat="1" customHeight="1" spans="1:30">
      <c r="A424" s="900"/>
      <c r="B424" s="900"/>
      <c r="C424" s="900"/>
      <c r="D424" s="901"/>
      <c r="E424" s="901"/>
      <c r="F424" s="902"/>
      <c r="G424" s="902"/>
      <c r="H424" s="903"/>
      <c r="I424" s="900"/>
      <c r="J424" s="900"/>
      <c r="K424" s="902"/>
      <c r="L424" s="904"/>
      <c r="M424" s="904"/>
      <c r="N424" s="905"/>
      <c r="O424" s="905"/>
      <c r="P424" s="906"/>
      <c r="Q424" s="906"/>
      <c r="R424" s="907"/>
      <c r="S424" s="908"/>
      <c r="T424" s="901"/>
      <c r="U424" s="902"/>
      <c r="V424" s="909"/>
      <c r="W424" s="909"/>
      <c r="X424" s="909"/>
      <c r="Y424" s="909"/>
      <c r="Z424" s="909"/>
      <c r="AA424" s="909"/>
      <c r="AB424" s="909"/>
      <c r="AC424" s="909"/>
      <c r="AD424" s="909"/>
    </row>
    <row r="425" s="141" customFormat="1" customHeight="1" spans="1:30">
      <c r="A425" s="900"/>
      <c r="B425" s="900"/>
      <c r="C425" s="900"/>
      <c r="D425" s="901"/>
      <c r="E425" s="901"/>
      <c r="F425" s="902"/>
      <c r="G425" s="902"/>
      <c r="H425" s="903"/>
      <c r="I425" s="900"/>
      <c r="J425" s="900"/>
      <c r="K425" s="902"/>
      <c r="L425" s="904"/>
      <c r="M425" s="904"/>
      <c r="N425" s="905"/>
      <c r="O425" s="905"/>
      <c r="P425" s="906"/>
      <c r="Q425" s="906"/>
      <c r="R425" s="907"/>
      <c r="S425" s="908"/>
      <c r="T425" s="901"/>
      <c r="U425" s="902"/>
      <c r="V425" s="909"/>
      <c r="W425" s="909"/>
      <c r="X425" s="909"/>
      <c r="Y425" s="909"/>
      <c r="Z425" s="909"/>
      <c r="AA425" s="909"/>
      <c r="AB425" s="909"/>
      <c r="AC425" s="909"/>
      <c r="AD425" s="909"/>
    </row>
    <row r="426" s="141" customFormat="1" customHeight="1" spans="1:30">
      <c r="A426" s="900"/>
      <c r="B426" s="900"/>
      <c r="C426" s="900"/>
      <c r="D426" s="901"/>
      <c r="E426" s="901"/>
      <c r="F426" s="902"/>
      <c r="G426" s="902"/>
      <c r="H426" s="903"/>
      <c r="I426" s="900"/>
      <c r="J426" s="900"/>
      <c r="K426" s="902"/>
      <c r="L426" s="904"/>
      <c r="M426" s="904"/>
      <c r="N426" s="905"/>
      <c r="O426" s="905"/>
      <c r="P426" s="906"/>
      <c r="Q426" s="906"/>
      <c r="R426" s="907"/>
      <c r="S426" s="908"/>
      <c r="T426" s="901"/>
      <c r="U426" s="902"/>
      <c r="V426" s="909"/>
      <c r="W426" s="909"/>
      <c r="X426" s="909"/>
      <c r="Y426" s="909"/>
      <c r="Z426" s="909"/>
      <c r="AA426" s="909"/>
      <c r="AB426" s="909"/>
      <c r="AC426" s="909"/>
      <c r="AD426" s="909"/>
    </row>
    <row r="427" s="141" customFormat="1" customHeight="1" spans="1:30">
      <c r="A427" s="900"/>
      <c r="B427" s="900"/>
      <c r="C427" s="900"/>
      <c r="D427" s="901"/>
      <c r="E427" s="901"/>
      <c r="F427" s="902"/>
      <c r="G427" s="902"/>
      <c r="H427" s="903"/>
      <c r="I427" s="900"/>
      <c r="J427" s="900"/>
      <c r="K427" s="902"/>
      <c r="L427" s="904"/>
      <c r="M427" s="904"/>
      <c r="N427" s="905"/>
      <c r="O427" s="905"/>
      <c r="P427" s="906"/>
      <c r="Q427" s="906"/>
      <c r="R427" s="907"/>
      <c r="S427" s="908"/>
      <c r="T427" s="901"/>
      <c r="U427" s="902"/>
      <c r="V427" s="909"/>
      <c r="W427" s="909"/>
      <c r="X427" s="909"/>
      <c r="Y427" s="909"/>
      <c r="Z427" s="909"/>
      <c r="AA427" s="909"/>
      <c r="AB427" s="909"/>
      <c r="AC427" s="909"/>
      <c r="AD427" s="909"/>
    </row>
    <row r="428" s="141" customFormat="1" customHeight="1" spans="1:30">
      <c r="A428" s="900"/>
      <c r="B428" s="900"/>
      <c r="C428" s="900"/>
      <c r="D428" s="901"/>
      <c r="E428" s="901"/>
      <c r="F428" s="902"/>
      <c r="G428" s="902"/>
      <c r="H428" s="903"/>
      <c r="I428" s="900"/>
      <c r="J428" s="900"/>
      <c r="K428" s="902"/>
      <c r="L428" s="904"/>
      <c r="M428" s="904"/>
      <c r="N428" s="905"/>
      <c r="O428" s="905"/>
      <c r="P428" s="906"/>
      <c r="Q428" s="906"/>
      <c r="R428" s="907"/>
      <c r="S428" s="908"/>
      <c r="T428" s="901"/>
      <c r="U428" s="902"/>
      <c r="V428" s="909"/>
      <c r="W428" s="909"/>
      <c r="X428" s="909"/>
      <c r="Y428" s="909"/>
      <c r="Z428" s="909"/>
      <c r="AA428" s="909"/>
      <c r="AB428" s="909"/>
      <c r="AC428" s="909"/>
      <c r="AD428" s="909"/>
    </row>
    <row r="429" s="141" customFormat="1" customHeight="1" spans="1:30">
      <c r="A429" s="900"/>
      <c r="B429" s="900"/>
      <c r="C429" s="900"/>
      <c r="D429" s="901"/>
      <c r="E429" s="901"/>
      <c r="F429" s="902"/>
      <c r="G429" s="902"/>
      <c r="H429" s="903"/>
      <c r="I429" s="900"/>
      <c r="J429" s="900"/>
      <c r="K429" s="902"/>
      <c r="L429" s="904"/>
      <c r="M429" s="904"/>
      <c r="N429" s="905"/>
      <c r="O429" s="905"/>
      <c r="P429" s="906"/>
      <c r="Q429" s="906"/>
      <c r="R429" s="907"/>
      <c r="S429" s="908"/>
      <c r="T429" s="901"/>
      <c r="U429" s="902"/>
      <c r="V429" s="909"/>
      <c r="W429" s="909"/>
      <c r="X429" s="909"/>
      <c r="Y429" s="909"/>
      <c r="Z429" s="909"/>
      <c r="AA429" s="909"/>
      <c r="AB429" s="909"/>
      <c r="AC429" s="909"/>
      <c r="AD429" s="909"/>
    </row>
    <row r="430" s="141" customFormat="1" customHeight="1" spans="1:30">
      <c r="A430" s="900"/>
      <c r="B430" s="900"/>
      <c r="C430" s="900"/>
      <c r="D430" s="901"/>
      <c r="E430" s="901"/>
      <c r="F430" s="902"/>
      <c r="G430" s="902"/>
      <c r="H430" s="903"/>
      <c r="I430" s="900"/>
      <c r="J430" s="900"/>
      <c r="K430" s="902"/>
      <c r="L430" s="904"/>
      <c r="M430" s="904"/>
      <c r="N430" s="905"/>
      <c r="O430" s="905"/>
      <c r="P430" s="906"/>
      <c r="Q430" s="906"/>
      <c r="R430" s="907"/>
      <c r="S430" s="908"/>
      <c r="T430" s="901"/>
      <c r="U430" s="902"/>
      <c r="V430" s="909"/>
      <c r="W430" s="909"/>
      <c r="X430" s="909"/>
      <c r="Y430" s="909"/>
      <c r="Z430" s="909"/>
      <c r="AA430" s="909"/>
      <c r="AB430" s="909"/>
      <c r="AC430" s="909"/>
      <c r="AD430" s="909"/>
    </row>
    <row r="431" s="141" customFormat="1" customHeight="1" spans="1:30">
      <c r="A431" s="900"/>
      <c r="B431" s="900"/>
      <c r="C431" s="900"/>
      <c r="D431" s="901"/>
      <c r="E431" s="901"/>
      <c r="F431" s="902"/>
      <c r="G431" s="902"/>
      <c r="H431" s="903"/>
      <c r="I431" s="900"/>
      <c r="J431" s="900"/>
      <c r="K431" s="902"/>
      <c r="L431" s="904"/>
      <c r="M431" s="904"/>
      <c r="N431" s="905"/>
      <c r="O431" s="905"/>
      <c r="P431" s="906"/>
      <c r="Q431" s="906"/>
      <c r="R431" s="907"/>
      <c r="S431" s="908"/>
      <c r="T431" s="901"/>
      <c r="U431" s="902"/>
      <c r="V431" s="909"/>
      <c r="W431" s="909"/>
      <c r="X431" s="909"/>
      <c r="Y431" s="909"/>
      <c r="Z431" s="909"/>
      <c r="AA431" s="909"/>
      <c r="AB431" s="909"/>
      <c r="AC431" s="909"/>
      <c r="AD431" s="909"/>
    </row>
    <row r="432" s="141" customFormat="1" customHeight="1" spans="1:30">
      <c r="A432" s="900"/>
      <c r="B432" s="900"/>
      <c r="C432" s="900"/>
      <c r="D432" s="901"/>
      <c r="E432" s="901"/>
      <c r="F432" s="902"/>
      <c r="G432" s="902"/>
      <c r="H432" s="903"/>
      <c r="I432" s="900"/>
      <c r="J432" s="900"/>
      <c r="K432" s="902"/>
      <c r="L432" s="904"/>
      <c r="M432" s="904"/>
      <c r="N432" s="905"/>
      <c r="O432" s="905"/>
      <c r="P432" s="906"/>
      <c r="Q432" s="906"/>
      <c r="R432" s="907"/>
      <c r="S432" s="908"/>
      <c r="T432" s="901"/>
      <c r="U432" s="902"/>
      <c r="V432" s="909"/>
      <c r="W432" s="909"/>
      <c r="X432" s="909"/>
      <c r="Y432" s="909"/>
      <c r="Z432" s="909"/>
      <c r="AA432" s="909"/>
      <c r="AB432" s="909"/>
      <c r="AC432" s="909"/>
      <c r="AD432" s="909"/>
    </row>
    <row r="433" s="141" customFormat="1" customHeight="1" spans="1:30">
      <c r="A433" s="900"/>
      <c r="B433" s="900"/>
      <c r="C433" s="900"/>
      <c r="D433" s="901"/>
      <c r="E433" s="901"/>
      <c r="F433" s="902"/>
      <c r="G433" s="902"/>
      <c r="H433" s="903"/>
      <c r="I433" s="900"/>
      <c r="J433" s="900"/>
      <c r="K433" s="902"/>
      <c r="L433" s="904"/>
      <c r="M433" s="904"/>
      <c r="N433" s="905"/>
      <c r="O433" s="905"/>
      <c r="P433" s="906"/>
      <c r="Q433" s="906"/>
      <c r="R433" s="907"/>
      <c r="S433" s="908"/>
      <c r="T433" s="901"/>
      <c r="U433" s="902"/>
      <c r="V433" s="909"/>
      <c r="W433" s="909"/>
      <c r="X433" s="909"/>
      <c r="Y433" s="909"/>
      <c r="Z433" s="909"/>
      <c r="AA433" s="909"/>
      <c r="AB433" s="909"/>
      <c r="AC433" s="909"/>
      <c r="AD433" s="909"/>
    </row>
    <row r="434" s="141" customFormat="1" customHeight="1" spans="1:30">
      <c r="A434" s="900"/>
      <c r="B434" s="900"/>
      <c r="C434" s="900"/>
      <c r="D434" s="901"/>
      <c r="E434" s="901"/>
      <c r="F434" s="902"/>
      <c r="G434" s="902"/>
      <c r="H434" s="903"/>
      <c r="I434" s="900"/>
      <c r="J434" s="900"/>
      <c r="K434" s="902"/>
      <c r="L434" s="904"/>
      <c r="M434" s="904"/>
      <c r="N434" s="905"/>
      <c r="O434" s="905"/>
      <c r="P434" s="906"/>
      <c r="Q434" s="906"/>
      <c r="R434" s="907"/>
      <c r="S434" s="908"/>
      <c r="T434" s="901"/>
      <c r="U434" s="902"/>
      <c r="V434" s="909"/>
      <c r="W434" s="909"/>
      <c r="X434" s="909"/>
      <c r="Y434" s="909"/>
      <c r="Z434" s="909"/>
      <c r="AA434" s="909"/>
      <c r="AB434" s="909"/>
      <c r="AC434" s="909"/>
      <c r="AD434" s="909"/>
    </row>
    <row r="435" s="141" customFormat="1" customHeight="1" spans="1:30">
      <c r="A435" s="900"/>
      <c r="B435" s="900"/>
      <c r="C435" s="900"/>
      <c r="D435" s="901"/>
      <c r="E435" s="901"/>
      <c r="F435" s="902"/>
      <c r="G435" s="902"/>
      <c r="H435" s="903"/>
      <c r="I435" s="900"/>
      <c r="J435" s="900"/>
      <c r="K435" s="902"/>
      <c r="L435" s="904"/>
      <c r="M435" s="904"/>
      <c r="N435" s="905"/>
      <c r="O435" s="905"/>
      <c r="P435" s="906"/>
      <c r="Q435" s="906"/>
      <c r="R435" s="907"/>
      <c r="S435" s="908"/>
      <c r="T435" s="901"/>
      <c r="U435" s="902"/>
      <c r="V435" s="909"/>
      <c r="W435" s="909"/>
      <c r="X435" s="909"/>
      <c r="Y435" s="909"/>
      <c r="Z435" s="909"/>
      <c r="AA435" s="909"/>
      <c r="AB435" s="909"/>
      <c r="AC435" s="909"/>
      <c r="AD435" s="909"/>
    </row>
    <row r="436" s="141" customFormat="1" customHeight="1" spans="1:30">
      <c r="A436" s="900"/>
      <c r="B436" s="900"/>
      <c r="C436" s="900"/>
      <c r="D436" s="901"/>
      <c r="E436" s="901"/>
      <c r="F436" s="902"/>
      <c r="G436" s="902"/>
      <c r="H436" s="903"/>
      <c r="I436" s="900"/>
      <c r="J436" s="900"/>
      <c r="K436" s="902"/>
      <c r="L436" s="904"/>
      <c r="M436" s="904"/>
      <c r="N436" s="905"/>
      <c r="O436" s="905"/>
      <c r="P436" s="906"/>
      <c r="Q436" s="906"/>
      <c r="R436" s="907"/>
      <c r="S436" s="908"/>
      <c r="T436" s="901"/>
      <c r="U436" s="902"/>
      <c r="V436" s="909"/>
      <c r="W436" s="909"/>
      <c r="X436" s="909"/>
      <c r="Y436" s="909"/>
      <c r="Z436" s="909"/>
      <c r="AA436" s="909"/>
      <c r="AB436" s="909"/>
      <c r="AC436" s="909"/>
      <c r="AD436" s="909"/>
    </row>
    <row r="437" s="141" customFormat="1" customHeight="1" spans="1:30">
      <c r="A437" s="900"/>
      <c r="B437" s="900"/>
      <c r="C437" s="900"/>
      <c r="D437" s="901"/>
      <c r="E437" s="901"/>
      <c r="F437" s="902"/>
      <c r="G437" s="902"/>
      <c r="H437" s="903"/>
      <c r="I437" s="900"/>
      <c r="J437" s="900"/>
      <c r="K437" s="902"/>
      <c r="L437" s="904"/>
      <c r="M437" s="904"/>
      <c r="N437" s="905"/>
      <c r="O437" s="905"/>
      <c r="P437" s="906"/>
      <c r="Q437" s="906"/>
      <c r="R437" s="907"/>
      <c r="S437" s="908"/>
      <c r="T437" s="901"/>
      <c r="U437" s="902"/>
      <c r="V437" s="909"/>
      <c r="W437" s="909"/>
      <c r="X437" s="909"/>
      <c r="Y437" s="909"/>
      <c r="Z437" s="909"/>
      <c r="AA437" s="909"/>
      <c r="AB437" s="909"/>
      <c r="AC437" s="909"/>
      <c r="AD437" s="909"/>
    </row>
    <row r="438" s="141" customFormat="1" customHeight="1" spans="1:30">
      <c r="A438" s="900"/>
      <c r="B438" s="900"/>
      <c r="C438" s="900"/>
      <c r="D438" s="901"/>
      <c r="E438" s="901"/>
      <c r="F438" s="902"/>
      <c r="G438" s="902"/>
      <c r="H438" s="903"/>
      <c r="I438" s="900"/>
      <c r="J438" s="900"/>
      <c r="K438" s="902"/>
      <c r="L438" s="904"/>
      <c r="M438" s="904"/>
      <c r="N438" s="905"/>
      <c r="O438" s="905"/>
      <c r="P438" s="906"/>
      <c r="Q438" s="906"/>
      <c r="R438" s="907"/>
      <c r="S438" s="908"/>
      <c r="T438" s="901"/>
      <c r="U438" s="902"/>
      <c r="V438" s="909"/>
      <c r="W438" s="909"/>
      <c r="X438" s="909"/>
      <c r="Y438" s="909"/>
      <c r="Z438" s="909"/>
      <c r="AA438" s="909"/>
      <c r="AB438" s="909"/>
      <c r="AC438" s="909"/>
      <c r="AD438" s="909"/>
    </row>
    <row r="439" s="141" customFormat="1" customHeight="1" spans="1:30">
      <c r="A439" s="900"/>
      <c r="B439" s="900"/>
      <c r="C439" s="900"/>
      <c r="D439" s="901"/>
      <c r="E439" s="901"/>
      <c r="F439" s="902"/>
      <c r="G439" s="902"/>
      <c r="H439" s="903"/>
      <c r="I439" s="900"/>
      <c r="J439" s="900"/>
      <c r="K439" s="902"/>
      <c r="L439" s="904"/>
      <c r="M439" s="904"/>
      <c r="N439" s="905"/>
      <c r="O439" s="905"/>
      <c r="P439" s="906"/>
      <c r="Q439" s="906"/>
      <c r="R439" s="907"/>
      <c r="S439" s="908"/>
      <c r="T439" s="901"/>
      <c r="U439" s="902"/>
      <c r="V439" s="909"/>
      <c r="W439" s="909"/>
      <c r="X439" s="909"/>
      <c r="Y439" s="909"/>
      <c r="Z439" s="909"/>
      <c r="AA439" s="909"/>
      <c r="AB439" s="909"/>
      <c r="AC439" s="909"/>
      <c r="AD439" s="909"/>
    </row>
    <row r="440" s="141" customFormat="1" customHeight="1" spans="1:30">
      <c r="A440" s="900"/>
      <c r="B440" s="900"/>
      <c r="C440" s="900"/>
      <c r="D440" s="901"/>
      <c r="E440" s="901"/>
      <c r="F440" s="902"/>
      <c r="G440" s="902"/>
      <c r="H440" s="903"/>
      <c r="I440" s="900"/>
      <c r="J440" s="900"/>
      <c r="K440" s="902"/>
      <c r="L440" s="904"/>
      <c r="M440" s="904"/>
      <c r="N440" s="905"/>
      <c r="O440" s="905"/>
      <c r="P440" s="906"/>
      <c r="Q440" s="906"/>
      <c r="R440" s="907"/>
      <c r="S440" s="908"/>
      <c r="T440" s="901"/>
      <c r="U440" s="902"/>
      <c r="V440" s="909"/>
      <c r="W440" s="909"/>
      <c r="X440" s="909"/>
      <c r="Y440" s="909"/>
      <c r="Z440" s="909"/>
      <c r="AA440" s="909"/>
      <c r="AB440" s="909"/>
      <c r="AC440" s="909"/>
      <c r="AD440" s="909"/>
    </row>
    <row r="441" s="141" customFormat="1" customHeight="1" spans="1:30">
      <c r="A441" s="900"/>
      <c r="B441" s="900"/>
      <c r="C441" s="900"/>
      <c r="D441" s="901"/>
      <c r="E441" s="901"/>
      <c r="F441" s="902"/>
      <c r="G441" s="902"/>
      <c r="H441" s="903"/>
      <c r="I441" s="900"/>
      <c r="J441" s="900"/>
      <c r="K441" s="902"/>
      <c r="L441" s="904"/>
      <c r="M441" s="904"/>
      <c r="N441" s="905"/>
      <c r="O441" s="905"/>
      <c r="P441" s="906"/>
      <c r="Q441" s="906"/>
      <c r="R441" s="907"/>
      <c r="S441" s="908"/>
      <c r="T441" s="901"/>
      <c r="U441" s="902"/>
      <c r="V441" s="909"/>
      <c r="W441" s="909"/>
      <c r="X441" s="909"/>
      <c r="Y441" s="909"/>
      <c r="Z441" s="909"/>
      <c r="AA441" s="909"/>
      <c r="AB441" s="909"/>
      <c r="AC441" s="909"/>
      <c r="AD441" s="909"/>
    </row>
    <row r="442" s="141" customFormat="1" customHeight="1" spans="1:30">
      <c r="A442" s="900"/>
      <c r="B442" s="900"/>
      <c r="C442" s="900"/>
      <c r="D442" s="901"/>
      <c r="E442" s="901"/>
      <c r="F442" s="902"/>
      <c r="G442" s="902"/>
      <c r="H442" s="903"/>
      <c r="I442" s="900"/>
      <c r="J442" s="900"/>
      <c r="K442" s="902"/>
      <c r="L442" s="904"/>
      <c r="M442" s="904"/>
      <c r="N442" s="905"/>
      <c r="O442" s="905"/>
      <c r="P442" s="906"/>
      <c r="Q442" s="906"/>
      <c r="R442" s="907"/>
      <c r="S442" s="908"/>
      <c r="T442" s="901"/>
      <c r="U442" s="902"/>
      <c r="V442" s="909"/>
      <c r="W442" s="909"/>
      <c r="X442" s="909"/>
      <c r="Y442" s="909"/>
      <c r="Z442" s="909"/>
      <c r="AA442" s="909"/>
      <c r="AB442" s="909"/>
      <c r="AC442" s="909"/>
      <c r="AD442" s="909"/>
    </row>
    <row r="443" s="141" customFormat="1" customHeight="1" spans="1:30">
      <c r="A443" s="900"/>
      <c r="B443" s="900"/>
      <c r="C443" s="900"/>
      <c r="D443" s="901"/>
      <c r="E443" s="901"/>
      <c r="F443" s="902"/>
      <c r="G443" s="902"/>
      <c r="H443" s="903"/>
      <c r="I443" s="900"/>
      <c r="J443" s="900"/>
      <c r="K443" s="902"/>
      <c r="L443" s="904"/>
      <c r="M443" s="904"/>
      <c r="N443" s="905"/>
      <c r="O443" s="905"/>
      <c r="P443" s="906"/>
      <c r="Q443" s="906"/>
      <c r="R443" s="907"/>
      <c r="S443" s="908"/>
      <c r="T443" s="901"/>
      <c r="U443" s="902"/>
      <c r="V443" s="909"/>
      <c r="W443" s="909"/>
      <c r="X443" s="909"/>
      <c r="Y443" s="909"/>
      <c r="Z443" s="909"/>
      <c r="AA443" s="909"/>
      <c r="AB443" s="909"/>
      <c r="AC443" s="909"/>
      <c r="AD443" s="909"/>
    </row>
    <row r="444" s="141" customFormat="1" customHeight="1" spans="1:30">
      <c r="A444" s="900"/>
      <c r="B444" s="900"/>
      <c r="C444" s="900"/>
      <c r="D444" s="901"/>
      <c r="E444" s="901"/>
      <c r="F444" s="902"/>
      <c r="G444" s="902"/>
      <c r="H444" s="903"/>
      <c r="I444" s="900"/>
      <c r="J444" s="900"/>
      <c r="K444" s="902"/>
      <c r="L444" s="904"/>
      <c r="M444" s="904"/>
      <c r="N444" s="905"/>
      <c r="O444" s="905"/>
      <c r="P444" s="906"/>
      <c r="Q444" s="906"/>
      <c r="R444" s="907"/>
      <c r="S444" s="908"/>
      <c r="T444" s="901"/>
      <c r="U444" s="902"/>
      <c r="V444" s="909"/>
      <c r="W444" s="909"/>
      <c r="X444" s="909"/>
      <c r="Y444" s="909"/>
      <c r="Z444" s="909"/>
      <c r="AA444" s="909"/>
      <c r="AB444" s="909"/>
      <c r="AC444" s="909"/>
      <c r="AD444" s="909"/>
    </row>
    <row r="445" s="141" customFormat="1" customHeight="1" spans="1:30">
      <c r="A445" s="900"/>
      <c r="B445" s="900"/>
      <c r="C445" s="900"/>
      <c r="D445" s="901"/>
      <c r="E445" s="901"/>
      <c r="F445" s="902"/>
      <c r="G445" s="902"/>
      <c r="H445" s="903"/>
      <c r="I445" s="900"/>
      <c r="J445" s="900"/>
      <c r="K445" s="902"/>
      <c r="L445" s="904"/>
      <c r="M445" s="904"/>
      <c r="N445" s="905"/>
      <c r="O445" s="905"/>
      <c r="P445" s="906"/>
      <c r="Q445" s="906"/>
      <c r="R445" s="907"/>
      <c r="S445" s="908"/>
      <c r="T445" s="901"/>
      <c r="U445" s="902"/>
      <c r="V445" s="909"/>
      <c r="W445" s="909"/>
      <c r="X445" s="909"/>
      <c r="Y445" s="909"/>
      <c r="Z445" s="909"/>
      <c r="AA445" s="909"/>
      <c r="AB445" s="909"/>
      <c r="AC445" s="909"/>
      <c r="AD445" s="909"/>
    </row>
    <row r="446" s="141" customFormat="1" customHeight="1" spans="1:30">
      <c r="A446" s="900"/>
      <c r="B446" s="900"/>
      <c r="C446" s="900"/>
      <c r="D446" s="901"/>
      <c r="E446" s="901"/>
      <c r="F446" s="902"/>
      <c r="G446" s="902"/>
      <c r="H446" s="903"/>
      <c r="I446" s="900"/>
      <c r="J446" s="900"/>
      <c r="K446" s="902"/>
      <c r="L446" s="904"/>
      <c r="M446" s="904"/>
      <c r="N446" s="905"/>
      <c r="O446" s="905"/>
      <c r="P446" s="906"/>
      <c r="Q446" s="906"/>
      <c r="R446" s="907"/>
      <c r="S446" s="908"/>
      <c r="T446" s="901"/>
      <c r="U446" s="902"/>
      <c r="V446" s="909"/>
      <c r="W446" s="909"/>
      <c r="X446" s="909"/>
      <c r="Y446" s="909"/>
      <c r="Z446" s="909"/>
      <c r="AA446" s="909"/>
      <c r="AB446" s="909"/>
      <c r="AC446" s="909"/>
      <c r="AD446" s="909"/>
    </row>
    <row r="447" s="141" customFormat="1" customHeight="1" spans="1:30">
      <c r="A447" s="900"/>
      <c r="B447" s="900"/>
      <c r="C447" s="900"/>
      <c r="D447" s="901"/>
      <c r="E447" s="901"/>
      <c r="F447" s="902"/>
      <c r="G447" s="902"/>
      <c r="H447" s="903"/>
      <c r="I447" s="900"/>
      <c r="J447" s="900"/>
      <c r="K447" s="902"/>
      <c r="L447" s="904"/>
      <c r="M447" s="904"/>
      <c r="N447" s="905"/>
      <c r="O447" s="905"/>
      <c r="P447" s="906"/>
      <c r="Q447" s="906"/>
      <c r="R447" s="907"/>
      <c r="S447" s="908"/>
      <c r="T447" s="901"/>
      <c r="U447" s="902"/>
      <c r="V447" s="909"/>
      <c r="W447" s="909"/>
      <c r="X447" s="909"/>
      <c r="Y447" s="909"/>
      <c r="Z447" s="909"/>
      <c r="AA447" s="909"/>
      <c r="AB447" s="909"/>
      <c r="AC447" s="909"/>
      <c r="AD447" s="909"/>
    </row>
    <row r="448" s="141" customFormat="1" customHeight="1" spans="1:30">
      <c r="A448" s="900"/>
      <c r="B448" s="900"/>
      <c r="C448" s="900"/>
      <c r="D448" s="901"/>
      <c r="E448" s="901"/>
      <c r="F448" s="902"/>
      <c r="G448" s="902"/>
      <c r="H448" s="903"/>
      <c r="I448" s="900"/>
      <c r="J448" s="900"/>
      <c r="K448" s="902"/>
      <c r="L448" s="904"/>
      <c r="M448" s="904"/>
      <c r="N448" s="905"/>
      <c r="O448" s="905"/>
      <c r="P448" s="906"/>
      <c r="Q448" s="906"/>
      <c r="R448" s="907"/>
      <c r="S448" s="908"/>
      <c r="T448" s="901"/>
      <c r="U448" s="902"/>
      <c r="V448" s="909"/>
      <c r="W448" s="909"/>
      <c r="X448" s="909"/>
      <c r="Y448" s="909"/>
      <c r="Z448" s="909"/>
      <c r="AA448" s="909"/>
      <c r="AB448" s="909"/>
      <c r="AC448" s="909"/>
      <c r="AD448" s="909"/>
    </row>
    <row r="449" s="141" customFormat="1" customHeight="1" spans="1:30">
      <c r="A449" s="900"/>
      <c r="B449" s="900"/>
      <c r="C449" s="900"/>
      <c r="D449" s="901"/>
      <c r="E449" s="901"/>
      <c r="F449" s="902"/>
      <c r="G449" s="902"/>
      <c r="H449" s="903"/>
      <c r="I449" s="900"/>
      <c r="J449" s="900"/>
      <c r="K449" s="902"/>
      <c r="L449" s="904"/>
      <c r="M449" s="904"/>
      <c r="N449" s="905"/>
      <c r="O449" s="905"/>
      <c r="P449" s="906"/>
      <c r="Q449" s="906"/>
      <c r="R449" s="907"/>
      <c r="S449" s="908"/>
      <c r="T449" s="901"/>
      <c r="U449" s="902"/>
      <c r="V449" s="909"/>
      <c r="W449" s="909"/>
      <c r="X449" s="909"/>
      <c r="Y449" s="909"/>
      <c r="Z449" s="909"/>
      <c r="AA449" s="909"/>
      <c r="AB449" s="909"/>
      <c r="AC449" s="909"/>
      <c r="AD449" s="909"/>
    </row>
    <row r="450" s="141" customFormat="1" customHeight="1" spans="1:30">
      <c r="A450" s="900"/>
      <c r="B450" s="900"/>
      <c r="C450" s="900"/>
      <c r="D450" s="901"/>
      <c r="E450" s="901"/>
      <c r="F450" s="902"/>
      <c r="G450" s="902"/>
      <c r="H450" s="903"/>
      <c r="I450" s="900"/>
      <c r="J450" s="900"/>
      <c r="K450" s="902"/>
      <c r="L450" s="904"/>
      <c r="M450" s="904"/>
      <c r="N450" s="905"/>
      <c r="O450" s="905"/>
      <c r="P450" s="906"/>
      <c r="Q450" s="906"/>
      <c r="R450" s="907"/>
      <c r="S450" s="908"/>
      <c r="T450" s="901"/>
      <c r="U450" s="902"/>
      <c r="V450" s="909"/>
      <c r="W450" s="909"/>
      <c r="X450" s="909"/>
      <c r="Y450" s="909"/>
      <c r="Z450" s="909"/>
      <c r="AA450" s="909"/>
      <c r="AB450" s="909"/>
      <c r="AC450" s="909"/>
      <c r="AD450" s="909"/>
    </row>
    <row r="451" s="141" customFormat="1" customHeight="1" spans="1:30">
      <c r="A451" s="900"/>
      <c r="B451" s="900"/>
      <c r="C451" s="900"/>
      <c r="D451" s="901"/>
      <c r="E451" s="901"/>
      <c r="F451" s="902"/>
      <c r="G451" s="902"/>
      <c r="H451" s="903"/>
      <c r="I451" s="900"/>
      <c r="J451" s="900"/>
      <c r="K451" s="902"/>
      <c r="L451" s="904"/>
      <c r="M451" s="904"/>
      <c r="N451" s="905"/>
      <c r="O451" s="905"/>
      <c r="P451" s="906"/>
      <c r="Q451" s="906"/>
      <c r="R451" s="907"/>
      <c r="S451" s="908"/>
      <c r="T451" s="901"/>
      <c r="U451" s="902"/>
      <c r="V451" s="909"/>
      <c r="W451" s="909"/>
      <c r="X451" s="909"/>
      <c r="Y451" s="909"/>
      <c r="Z451" s="909"/>
      <c r="AA451" s="909"/>
      <c r="AB451" s="909"/>
      <c r="AC451" s="909"/>
      <c r="AD451" s="909"/>
    </row>
    <row r="452" s="141" customFormat="1" customHeight="1" spans="1:30">
      <c r="A452" s="900"/>
      <c r="B452" s="900"/>
      <c r="C452" s="900"/>
      <c r="D452" s="901"/>
      <c r="E452" s="901"/>
      <c r="F452" s="902"/>
      <c r="G452" s="902"/>
      <c r="H452" s="903"/>
      <c r="I452" s="900"/>
      <c r="J452" s="900"/>
      <c r="K452" s="902"/>
      <c r="L452" s="904"/>
      <c r="M452" s="904"/>
      <c r="N452" s="905"/>
      <c r="O452" s="905"/>
      <c r="P452" s="906"/>
      <c r="Q452" s="906"/>
      <c r="R452" s="907"/>
      <c r="S452" s="908"/>
      <c r="T452" s="901"/>
      <c r="U452" s="902"/>
      <c r="V452" s="909"/>
      <c r="W452" s="909"/>
      <c r="X452" s="909"/>
      <c r="Y452" s="909"/>
      <c r="Z452" s="909"/>
      <c r="AA452" s="909"/>
      <c r="AB452" s="909"/>
      <c r="AC452" s="909"/>
      <c r="AD452" s="909"/>
    </row>
    <row r="453" s="141" customFormat="1" customHeight="1" spans="1:30">
      <c r="A453" s="900"/>
      <c r="B453" s="900"/>
      <c r="C453" s="900"/>
      <c r="D453" s="901"/>
      <c r="E453" s="901"/>
      <c r="F453" s="902"/>
      <c r="G453" s="902"/>
      <c r="H453" s="903"/>
      <c r="I453" s="900"/>
      <c r="J453" s="900"/>
      <c r="K453" s="902"/>
      <c r="L453" s="904"/>
      <c r="M453" s="904"/>
      <c r="N453" s="905"/>
      <c r="O453" s="905"/>
      <c r="P453" s="906"/>
      <c r="Q453" s="906"/>
      <c r="R453" s="907"/>
      <c r="S453" s="908"/>
      <c r="T453" s="901"/>
      <c r="U453" s="902"/>
      <c r="V453" s="909"/>
      <c r="W453" s="909"/>
      <c r="X453" s="909"/>
      <c r="Y453" s="909"/>
      <c r="Z453" s="909"/>
      <c r="AA453" s="909"/>
      <c r="AB453" s="909"/>
      <c r="AC453" s="909"/>
      <c r="AD453" s="909"/>
    </row>
    <row r="454" s="141" customFormat="1" customHeight="1" spans="1:30">
      <c r="A454" s="900"/>
      <c r="B454" s="900"/>
      <c r="C454" s="900"/>
      <c r="D454" s="901"/>
      <c r="E454" s="901"/>
      <c r="F454" s="902"/>
      <c r="G454" s="902"/>
      <c r="H454" s="903"/>
      <c r="I454" s="900"/>
      <c r="J454" s="900"/>
      <c r="K454" s="902"/>
      <c r="L454" s="904"/>
      <c r="M454" s="904"/>
      <c r="N454" s="905"/>
      <c r="O454" s="905"/>
      <c r="P454" s="906"/>
      <c r="Q454" s="906"/>
      <c r="R454" s="907"/>
      <c r="S454" s="908"/>
      <c r="T454" s="901"/>
      <c r="U454" s="902"/>
      <c r="V454" s="909"/>
      <c r="W454" s="909"/>
      <c r="X454" s="909"/>
      <c r="Y454" s="909"/>
      <c r="Z454" s="909"/>
      <c r="AA454" s="909"/>
      <c r="AB454" s="909"/>
      <c r="AC454" s="909"/>
      <c r="AD454" s="909"/>
    </row>
    <row r="455" s="141" customFormat="1" customHeight="1" spans="1:30">
      <c r="A455" s="900"/>
      <c r="B455" s="900"/>
      <c r="C455" s="900"/>
      <c r="D455" s="901"/>
      <c r="E455" s="901"/>
      <c r="F455" s="902"/>
      <c r="G455" s="902"/>
      <c r="H455" s="903"/>
      <c r="I455" s="900"/>
      <c r="J455" s="900"/>
      <c r="K455" s="902"/>
      <c r="L455" s="904"/>
      <c r="M455" s="904"/>
      <c r="N455" s="905"/>
      <c r="O455" s="905"/>
      <c r="P455" s="906"/>
      <c r="Q455" s="906"/>
      <c r="R455" s="907"/>
      <c r="S455" s="908"/>
      <c r="T455" s="901"/>
      <c r="U455" s="902"/>
      <c r="V455" s="909"/>
      <c r="W455" s="909"/>
      <c r="X455" s="909"/>
      <c r="Y455" s="909"/>
      <c r="Z455" s="909"/>
      <c r="AA455" s="909"/>
      <c r="AB455" s="909"/>
      <c r="AC455" s="909"/>
      <c r="AD455" s="909"/>
    </row>
    <row r="456" s="141" customFormat="1" customHeight="1" spans="1:30">
      <c r="A456" s="900"/>
      <c r="B456" s="900"/>
      <c r="C456" s="900"/>
      <c r="D456" s="901"/>
      <c r="E456" s="901"/>
      <c r="F456" s="902"/>
      <c r="G456" s="902"/>
      <c r="H456" s="903"/>
      <c r="I456" s="900"/>
      <c r="J456" s="900"/>
      <c r="K456" s="902"/>
      <c r="L456" s="904"/>
      <c r="M456" s="904"/>
      <c r="N456" s="905"/>
      <c r="O456" s="905"/>
      <c r="P456" s="906"/>
      <c r="Q456" s="906"/>
      <c r="R456" s="907"/>
      <c r="S456" s="908"/>
      <c r="T456" s="901"/>
      <c r="U456" s="902"/>
      <c r="V456" s="909"/>
      <c r="W456" s="909"/>
      <c r="X456" s="909"/>
      <c r="Y456" s="909"/>
      <c r="Z456" s="909"/>
      <c r="AA456" s="909"/>
      <c r="AB456" s="909"/>
      <c r="AC456" s="909"/>
      <c r="AD456" s="909"/>
    </row>
    <row r="457" s="141" customFormat="1" customHeight="1" spans="1:30">
      <c r="A457" s="900"/>
      <c r="B457" s="900"/>
      <c r="C457" s="900"/>
      <c r="D457" s="901"/>
      <c r="E457" s="901"/>
      <c r="F457" s="902"/>
      <c r="G457" s="902"/>
      <c r="H457" s="903"/>
      <c r="I457" s="900"/>
      <c r="J457" s="900"/>
      <c r="K457" s="902"/>
      <c r="L457" s="904"/>
      <c r="M457" s="904"/>
      <c r="N457" s="905"/>
      <c r="O457" s="905"/>
      <c r="P457" s="906"/>
      <c r="Q457" s="906"/>
      <c r="R457" s="907"/>
      <c r="S457" s="908"/>
      <c r="T457" s="901"/>
      <c r="U457" s="902"/>
      <c r="V457" s="909"/>
      <c r="W457" s="909"/>
      <c r="X457" s="909"/>
      <c r="Y457" s="909"/>
      <c r="Z457" s="909"/>
      <c r="AA457" s="909"/>
      <c r="AB457" s="909"/>
      <c r="AC457" s="909"/>
      <c r="AD457" s="909"/>
    </row>
    <row r="458" s="141" customFormat="1" customHeight="1" spans="1:30">
      <c r="A458" s="900"/>
      <c r="B458" s="900"/>
      <c r="C458" s="900"/>
      <c r="D458" s="901"/>
      <c r="E458" s="901"/>
      <c r="F458" s="902"/>
      <c r="G458" s="902"/>
      <c r="H458" s="903"/>
      <c r="I458" s="900"/>
      <c r="J458" s="900"/>
      <c r="K458" s="902"/>
      <c r="L458" s="904"/>
      <c r="M458" s="904"/>
      <c r="N458" s="905"/>
      <c r="O458" s="905"/>
      <c r="P458" s="906"/>
      <c r="Q458" s="906"/>
      <c r="R458" s="907"/>
      <c r="S458" s="908"/>
      <c r="T458" s="901"/>
      <c r="U458" s="902"/>
      <c r="V458" s="909"/>
      <c r="W458" s="909"/>
      <c r="X458" s="909"/>
      <c r="Y458" s="909"/>
      <c r="Z458" s="909"/>
      <c r="AA458" s="909"/>
      <c r="AB458" s="909"/>
      <c r="AC458" s="909"/>
      <c r="AD458" s="909"/>
    </row>
    <row r="459" s="141" customFormat="1" customHeight="1" spans="1:30">
      <c r="A459" s="900"/>
      <c r="B459" s="900"/>
      <c r="C459" s="900"/>
      <c r="D459" s="901"/>
      <c r="E459" s="901"/>
      <c r="F459" s="902"/>
      <c r="G459" s="902"/>
      <c r="H459" s="903"/>
      <c r="I459" s="900"/>
      <c r="J459" s="900"/>
      <c r="K459" s="902"/>
      <c r="L459" s="904"/>
      <c r="M459" s="904"/>
      <c r="N459" s="905"/>
      <c r="O459" s="905"/>
      <c r="P459" s="906"/>
      <c r="Q459" s="906"/>
      <c r="R459" s="907"/>
      <c r="S459" s="908"/>
      <c r="T459" s="901"/>
      <c r="U459" s="902"/>
      <c r="V459" s="909"/>
      <c r="W459" s="909"/>
      <c r="X459" s="909"/>
      <c r="Y459" s="909"/>
      <c r="Z459" s="909"/>
      <c r="AA459" s="909"/>
      <c r="AB459" s="909"/>
      <c r="AC459" s="909"/>
      <c r="AD459" s="909"/>
    </row>
    <row r="460" s="141" customFormat="1" customHeight="1" spans="1:30">
      <c r="A460" s="900"/>
      <c r="B460" s="900"/>
      <c r="C460" s="900"/>
      <c r="D460" s="901"/>
      <c r="E460" s="901"/>
      <c r="F460" s="902"/>
      <c r="G460" s="902"/>
      <c r="H460" s="903"/>
      <c r="I460" s="900"/>
      <c r="J460" s="900"/>
      <c r="K460" s="902"/>
      <c r="L460" s="904"/>
      <c r="M460" s="904"/>
      <c r="N460" s="905"/>
      <c r="O460" s="905"/>
      <c r="P460" s="906"/>
      <c r="Q460" s="906"/>
      <c r="R460" s="907"/>
      <c r="S460" s="908"/>
      <c r="T460" s="901"/>
      <c r="U460" s="902"/>
      <c r="V460" s="909"/>
      <c r="W460" s="909"/>
      <c r="X460" s="909"/>
      <c r="Y460" s="909"/>
      <c r="Z460" s="909"/>
      <c r="AA460" s="909"/>
      <c r="AB460" s="909"/>
      <c r="AC460" s="909"/>
      <c r="AD460" s="909"/>
    </row>
    <row r="461" s="141" customFormat="1" customHeight="1" spans="1:30">
      <c r="A461" s="900"/>
      <c r="B461" s="900"/>
      <c r="C461" s="900"/>
      <c r="D461" s="901"/>
      <c r="E461" s="901"/>
      <c r="F461" s="902"/>
      <c r="G461" s="902"/>
      <c r="H461" s="903"/>
      <c r="I461" s="900"/>
      <c r="J461" s="900"/>
      <c r="K461" s="902"/>
      <c r="L461" s="904"/>
      <c r="M461" s="904"/>
      <c r="N461" s="905"/>
      <c r="O461" s="905"/>
      <c r="P461" s="906"/>
      <c r="Q461" s="906"/>
      <c r="R461" s="907"/>
      <c r="S461" s="908"/>
      <c r="T461" s="901"/>
      <c r="U461" s="902"/>
      <c r="V461" s="909"/>
      <c r="W461" s="909"/>
      <c r="X461" s="909"/>
      <c r="Y461" s="909"/>
      <c r="Z461" s="909"/>
      <c r="AA461" s="909"/>
      <c r="AB461" s="909"/>
      <c r="AC461" s="909"/>
      <c r="AD461" s="909"/>
    </row>
    <row r="462" s="141" customFormat="1" customHeight="1" spans="1:30">
      <c r="A462" s="900"/>
      <c r="B462" s="900"/>
      <c r="C462" s="900"/>
      <c r="D462" s="901"/>
      <c r="E462" s="901"/>
      <c r="F462" s="902"/>
      <c r="G462" s="902"/>
      <c r="H462" s="903"/>
      <c r="I462" s="900"/>
      <c r="J462" s="900"/>
      <c r="K462" s="902"/>
      <c r="L462" s="904"/>
      <c r="M462" s="904"/>
      <c r="N462" s="905"/>
      <c r="O462" s="905"/>
      <c r="P462" s="906"/>
      <c r="Q462" s="906"/>
      <c r="R462" s="907"/>
      <c r="S462" s="908"/>
      <c r="T462" s="901"/>
      <c r="U462" s="902"/>
      <c r="V462" s="909"/>
      <c r="W462" s="909"/>
      <c r="X462" s="909"/>
      <c r="Y462" s="909"/>
      <c r="Z462" s="909"/>
      <c r="AA462" s="909"/>
      <c r="AB462" s="909"/>
      <c r="AC462" s="909"/>
      <c r="AD462" s="909"/>
    </row>
    <row r="463" s="141" customFormat="1" customHeight="1" spans="1:30">
      <c r="A463" s="900"/>
      <c r="B463" s="900"/>
      <c r="C463" s="900"/>
      <c r="D463" s="901"/>
      <c r="E463" s="901"/>
      <c r="F463" s="902"/>
      <c r="G463" s="902"/>
      <c r="H463" s="903"/>
      <c r="I463" s="900"/>
      <c r="J463" s="900"/>
      <c r="K463" s="902"/>
      <c r="L463" s="904"/>
      <c r="M463" s="904"/>
      <c r="N463" s="905"/>
      <c r="O463" s="905"/>
      <c r="P463" s="906"/>
      <c r="Q463" s="906"/>
      <c r="R463" s="907"/>
      <c r="S463" s="908"/>
      <c r="T463" s="901"/>
      <c r="U463" s="902"/>
      <c r="V463" s="909"/>
      <c r="W463" s="909"/>
      <c r="X463" s="909"/>
      <c r="Y463" s="909"/>
      <c r="Z463" s="909"/>
      <c r="AA463" s="909"/>
      <c r="AB463" s="909"/>
      <c r="AC463" s="909"/>
      <c r="AD463" s="909"/>
    </row>
    <row r="464" s="141" customFormat="1" customHeight="1" spans="1:30">
      <c r="A464" s="900"/>
      <c r="B464" s="900"/>
      <c r="C464" s="900"/>
      <c r="D464" s="901"/>
      <c r="E464" s="901"/>
      <c r="F464" s="902"/>
      <c r="G464" s="902"/>
      <c r="H464" s="903"/>
      <c r="I464" s="900"/>
      <c r="J464" s="900"/>
      <c r="K464" s="902"/>
      <c r="L464" s="904"/>
      <c r="M464" s="904"/>
      <c r="N464" s="905"/>
      <c r="O464" s="905"/>
      <c r="P464" s="906"/>
      <c r="Q464" s="906"/>
      <c r="R464" s="907"/>
      <c r="S464" s="908"/>
      <c r="T464" s="901"/>
      <c r="U464" s="902"/>
      <c r="V464" s="909"/>
      <c r="W464" s="909"/>
      <c r="X464" s="909"/>
      <c r="Y464" s="909"/>
      <c r="Z464" s="909"/>
      <c r="AA464" s="909"/>
      <c r="AB464" s="909"/>
      <c r="AC464" s="909"/>
      <c r="AD464" s="909"/>
    </row>
    <row r="465" s="141" customFormat="1" customHeight="1" spans="1:30">
      <c r="A465" s="900"/>
      <c r="B465" s="900"/>
      <c r="C465" s="900"/>
      <c r="D465" s="901"/>
      <c r="E465" s="901"/>
      <c r="F465" s="902"/>
      <c r="G465" s="902"/>
      <c r="H465" s="903"/>
      <c r="I465" s="900"/>
      <c r="J465" s="900"/>
      <c r="K465" s="902"/>
      <c r="L465" s="904"/>
      <c r="M465" s="904"/>
      <c r="N465" s="905"/>
      <c r="O465" s="905"/>
      <c r="P465" s="906"/>
      <c r="Q465" s="906"/>
      <c r="R465" s="907"/>
      <c r="S465" s="908"/>
      <c r="T465" s="901"/>
      <c r="U465" s="902"/>
      <c r="V465" s="909"/>
      <c r="W465" s="909"/>
      <c r="X465" s="909"/>
      <c r="Y465" s="909"/>
      <c r="Z465" s="909"/>
      <c r="AA465" s="909"/>
      <c r="AB465" s="909"/>
      <c r="AC465" s="909"/>
      <c r="AD465" s="909"/>
    </row>
    <row r="466" s="141" customFormat="1" customHeight="1" spans="1:30">
      <c r="A466" s="900"/>
      <c r="B466" s="900"/>
      <c r="C466" s="900"/>
      <c r="D466" s="901"/>
      <c r="E466" s="901"/>
      <c r="F466" s="902"/>
      <c r="G466" s="902"/>
      <c r="H466" s="903"/>
      <c r="I466" s="900"/>
      <c r="J466" s="900"/>
      <c r="K466" s="902"/>
      <c r="L466" s="904"/>
      <c r="M466" s="904"/>
      <c r="N466" s="905"/>
      <c r="O466" s="905"/>
      <c r="P466" s="906"/>
      <c r="Q466" s="906"/>
      <c r="R466" s="907"/>
      <c r="S466" s="908"/>
      <c r="T466" s="901"/>
      <c r="U466" s="902"/>
      <c r="V466" s="909"/>
      <c r="W466" s="909"/>
      <c r="X466" s="909"/>
      <c r="Y466" s="909"/>
      <c r="Z466" s="909"/>
      <c r="AA466" s="909"/>
      <c r="AB466" s="909"/>
      <c r="AC466" s="909"/>
      <c r="AD466" s="909"/>
    </row>
    <row r="467" s="141" customFormat="1" customHeight="1" spans="1:30">
      <c r="A467" s="900"/>
      <c r="B467" s="900"/>
      <c r="C467" s="900"/>
      <c r="D467" s="901"/>
      <c r="E467" s="901"/>
      <c r="F467" s="902"/>
      <c r="G467" s="902"/>
      <c r="H467" s="903"/>
      <c r="I467" s="900"/>
      <c r="J467" s="900"/>
      <c r="K467" s="902"/>
      <c r="L467" s="904"/>
      <c r="M467" s="904"/>
      <c r="N467" s="905"/>
      <c r="O467" s="905"/>
      <c r="P467" s="906"/>
      <c r="Q467" s="906"/>
      <c r="R467" s="907"/>
      <c r="S467" s="908"/>
      <c r="T467" s="901"/>
      <c r="U467" s="902"/>
      <c r="V467" s="909"/>
      <c r="W467" s="909"/>
      <c r="X467" s="909"/>
      <c r="Y467" s="909"/>
      <c r="Z467" s="909"/>
      <c r="AA467" s="909"/>
      <c r="AB467" s="909"/>
      <c r="AC467" s="909"/>
      <c r="AD467" s="909"/>
    </row>
    <row r="468" s="141" customFormat="1" customHeight="1" spans="1:30">
      <c r="A468" s="900"/>
      <c r="B468" s="900"/>
      <c r="C468" s="900"/>
      <c r="D468" s="901"/>
      <c r="E468" s="901"/>
      <c r="F468" s="902"/>
      <c r="G468" s="902"/>
      <c r="H468" s="903"/>
      <c r="I468" s="900"/>
      <c r="J468" s="900"/>
      <c r="K468" s="902"/>
      <c r="L468" s="904"/>
      <c r="M468" s="904"/>
      <c r="N468" s="905"/>
      <c r="O468" s="905"/>
      <c r="P468" s="906"/>
      <c r="Q468" s="906"/>
      <c r="R468" s="907"/>
      <c r="S468" s="908"/>
      <c r="T468" s="901"/>
      <c r="U468" s="902"/>
      <c r="V468" s="909"/>
      <c r="W468" s="909"/>
      <c r="X468" s="909"/>
      <c r="Y468" s="909"/>
      <c r="Z468" s="909"/>
      <c r="AA468" s="909"/>
      <c r="AB468" s="909"/>
      <c r="AC468" s="909"/>
      <c r="AD468" s="909"/>
    </row>
    <row r="469" s="141" customFormat="1" customHeight="1" spans="1:30">
      <c r="A469" s="900"/>
      <c r="B469" s="900"/>
      <c r="C469" s="900"/>
      <c r="D469" s="901"/>
      <c r="E469" s="901"/>
      <c r="F469" s="902"/>
      <c r="G469" s="902"/>
      <c r="H469" s="903"/>
      <c r="I469" s="900"/>
      <c r="J469" s="900"/>
      <c r="K469" s="902"/>
      <c r="L469" s="904"/>
      <c r="M469" s="904"/>
      <c r="N469" s="905"/>
      <c r="O469" s="905"/>
      <c r="P469" s="906"/>
      <c r="Q469" s="906"/>
      <c r="R469" s="907"/>
      <c r="S469" s="908"/>
      <c r="T469" s="901"/>
      <c r="U469" s="902"/>
      <c r="V469" s="909"/>
      <c r="W469" s="909"/>
      <c r="X469" s="909"/>
      <c r="Y469" s="909"/>
      <c r="Z469" s="909"/>
      <c r="AA469" s="909"/>
      <c r="AB469" s="909"/>
      <c r="AC469" s="909"/>
      <c r="AD469" s="909"/>
    </row>
    <row r="470" s="141" customFormat="1" customHeight="1" spans="1:30">
      <c r="A470" s="900"/>
      <c r="B470" s="900"/>
      <c r="C470" s="900"/>
      <c r="D470" s="901"/>
      <c r="E470" s="901"/>
      <c r="F470" s="902"/>
      <c r="G470" s="902"/>
      <c r="H470" s="903"/>
      <c r="I470" s="900"/>
      <c r="J470" s="900"/>
      <c r="K470" s="902"/>
      <c r="L470" s="904"/>
      <c r="M470" s="904"/>
      <c r="N470" s="905"/>
      <c r="O470" s="905"/>
      <c r="P470" s="906"/>
      <c r="Q470" s="906"/>
      <c r="R470" s="907"/>
      <c r="S470" s="908"/>
      <c r="T470" s="901"/>
      <c r="U470" s="902"/>
      <c r="V470" s="909"/>
      <c r="W470" s="909"/>
      <c r="X470" s="909"/>
      <c r="Y470" s="909"/>
      <c r="Z470" s="909"/>
      <c r="AA470" s="909"/>
      <c r="AB470" s="909"/>
      <c r="AC470" s="909"/>
      <c r="AD470" s="909"/>
    </row>
    <row r="471" s="141" customFormat="1" customHeight="1" spans="1:30">
      <c r="A471" s="900"/>
      <c r="B471" s="900"/>
      <c r="C471" s="900"/>
      <c r="D471" s="901"/>
      <c r="E471" s="901"/>
      <c r="F471" s="902"/>
      <c r="G471" s="902"/>
      <c r="H471" s="903"/>
      <c r="I471" s="900"/>
      <c r="J471" s="900"/>
      <c r="K471" s="902"/>
      <c r="L471" s="904"/>
      <c r="M471" s="904"/>
      <c r="N471" s="905"/>
      <c r="O471" s="905"/>
      <c r="P471" s="906"/>
      <c r="Q471" s="906"/>
      <c r="R471" s="907"/>
      <c r="S471" s="908"/>
      <c r="T471" s="901"/>
      <c r="U471" s="902"/>
      <c r="V471" s="909"/>
      <c r="W471" s="909"/>
      <c r="X471" s="909"/>
      <c r="Y471" s="909"/>
      <c r="Z471" s="909"/>
      <c r="AA471" s="909"/>
      <c r="AB471" s="909"/>
      <c r="AC471" s="909"/>
      <c r="AD471" s="909"/>
    </row>
    <row r="472" s="141" customFormat="1" customHeight="1" spans="1:30">
      <c r="A472" s="900"/>
      <c r="B472" s="900"/>
      <c r="C472" s="900"/>
      <c r="D472" s="901"/>
      <c r="E472" s="901"/>
      <c r="F472" s="902"/>
      <c r="G472" s="902"/>
      <c r="H472" s="903"/>
      <c r="I472" s="900"/>
      <c r="J472" s="900"/>
      <c r="K472" s="902"/>
      <c r="L472" s="904"/>
      <c r="M472" s="904"/>
      <c r="N472" s="905"/>
      <c r="O472" s="905"/>
      <c r="P472" s="906"/>
      <c r="Q472" s="906"/>
      <c r="R472" s="907"/>
      <c r="S472" s="908"/>
      <c r="T472" s="901"/>
      <c r="U472" s="902"/>
      <c r="V472" s="909"/>
      <c r="W472" s="909"/>
      <c r="X472" s="909"/>
      <c r="Y472" s="909"/>
      <c r="Z472" s="909"/>
      <c r="AA472" s="909"/>
      <c r="AB472" s="909"/>
      <c r="AC472" s="909"/>
      <c r="AD472" s="909"/>
    </row>
    <row r="473" s="141" customFormat="1" customHeight="1" spans="1:30">
      <c r="A473" s="900"/>
      <c r="B473" s="900"/>
      <c r="C473" s="900"/>
      <c r="D473" s="901"/>
      <c r="E473" s="901"/>
      <c r="F473" s="902"/>
      <c r="G473" s="902"/>
      <c r="H473" s="903"/>
      <c r="I473" s="900"/>
      <c r="J473" s="900"/>
      <c r="K473" s="902"/>
      <c r="L473" s="904"/>
      <c r="M473" s="904"/>
      <c r="N473" s="905"/>
      <c r="O473" s="905"/>
      <c r="P473" s="906"/>
      <c r="Q473" s="906"/>
      <c r="R473" s="907"/>
      <c r="S473" s="908"/>
      <c r="T473" s="901"/>
      <c r="U473" s="902"/>
      <c r="V473" s="909"/>
      <c r="W473" s="909"/>
      <c r="X473" s="909"/>
      <c r="Y473" s="909"/>
      <c r="Z473" s="909"/>
      <c r="AA473" s="909"/>
      <c r="AB473" s="909"/>
      <c r="AC473" s="909"/>
      <c r="AD473" s="909"/>
    </row>
    <row r="474" s="141" customFormat="1" customHeight="1" spans="1:30">
      <c r="A474" s="900"/>
      <c r="B474" s="900"/>
      <c r="C474" s="900"/>
      <c r="D474" s="901"/>
      <c r="E474" s="901"/>
      <c r="F474" s="902"/>
      <c r="G474" s="902"/>
      <c r="H474" s="903"/>
      <c r="I474" s="900"/>
      <c r="J474" s="900"/>
      <c r="K474" s="902"/>
      <c r="L474" s="904"/>
      <c r="M474" s="904"/>
      <c r="N474" s="905"/>
      <c r="O474" s="905"/>
      <c r="P474" s="906"/>
      <c r="Q474" s="906"/>
      <c r="R474" s="907"/>
      <c r="S474" s="908"/>
      <c r="T474" s="901"/>
      <c r="U474" s="902"/>
      <c r="V474" s="909"/>
      <c r="W474" s="909"/>
      <c r="X474" s="909"/>
      <c r="Y474" s="909"/>
      <c r="Z474" s="909"/>
      <c r="AA474" s="909"/>
      <c r="AB474" s="909"/>
      <c r="AC474" s="909"/>
      <c r="AD474" s="909"/>
    </row>
    <row r="475" s="141" customFormat="1" customHeight="1" spans="1:30">
      <c r="A475" s="900"/>
      <c r="B475" s="900"/>
      <c r="C475" s="900"/>
      <c r="D475" s="901"/>
      <c r="E475" s="901"/>
      <c r="F475" s="902"/>
      <c r="G475" s="902"/>
      <c r="H475" s="903"/>
      <c r="I475" s="900"/>
      <c r="J475" s="900"/>
      <c r="K475" s="902"/>
      <c r="L475" s="904"/>
      <c r="M475" s="904"/>
      <c r="N475" s="905"/>
      <c r="O475" s="905"/>
      <c r="P475" s="906"/>
      <c r="Q475" s="906"/>
      <c r="R475" s="907"/>
      <c r="S475" s="908"/>
      <c r="T475" s="901"/>
      <c r="U475" s="902"/>
      <c r="V475" s="909"/>
      <c r="W475" s="909"/>
      <c r="X475" s="909"/>
      <c r="Y475" s="909"/>
      <c r="Z475" s="909"/>
      <c r="AA475" s="909"/>
      <c r="AB475" s="909"/>
      <c r="AC475" s="909"/>
      <c r="AD475" s="909"/>
    </row>
    <row r="476" s="141" customFormat="1" customHeight="1" spans="1:30">
      <c r="A476" s="900"/>
      <c r="B476" s="900"/>
      <c r="C476" s="900"/>
      <c r="D476" s="901"/>
      <c r="E476" s="901"/>
      <c r="F476" s="902"/>
      <c r="G476" s="902"/>
      <c r="H476" s="903"/>
      <c r="I476" s="900"/>
      <c r="J476" s="900"/>
      <c r="K476" s="902"/>
      <c r="L476" s="904"/>
      <c r="M476" s="904"/>
      <c r="N476" s="905"/>
      <c r="O476" s="905"/>
      <c r="P476" s="906"/>
      <c r="Q476" s="906"/>
      <c r="R476" s="907"/>
      <c r="S476" s="908"/>
      <c r="T476" s="901"/>
      <c r="U476" s="902"/>
      <c r="V476" s="909"/>
      <c r="W476" s="909"/>
      <c r="X476" s="909"/>
      <c r="Y476" s="909"/>
      <c r="Z476" s="909"/>
      <c r="AA476" s="909"/>
      <c r="AB476" s="909"/>
      <c r="AC476" s="909"/>
      <c r="AD476" s="909"/>
    </row>
    <row r="477" s="141" customFormat="1" customHeight="1" spans="1:30">
      <c r="A477" s="900"/>
      <c r="B477" s="900"/>
      <c r="C477" s="900"/>
      <c r="D477" s="901"/>
      <c r="E477" s="901"/>
      <c r="F477" s="902"/>
      <c r="G477" s="902"/>
      <c r="H477" s="903"/>
      <c r="I477" s="900"/>
      <c r="J477" s="900"/>
      <c r="K477" s="902"/>
      <c r="L477" s="904"/>
      <c r="M477" s="904"/>
      <c r="N477" s="905"/>
      <c r="O477" s="905"/>
      <c r="P477" s="906"/>
      <c r="Q477" s="906"/>
      <c r="R477" s="907"/>
      <c r="S477" s="908"/>
      <c r="T477" s="901"/>
      <c r="U477" s="902"/>
      <c r="V477" s="909"/>
      <c r="W477" s="909"/>
      <c r="X477" s="909"/>
      <c r="Y477" s="909"/>
      <c r="Z477" s="909"/>
      <c r="AA477" s="909"/>
      <c r="AB477" s="909"/>
      <c r="AC477" s="909"/>
      <c r="AD477" s="909"/>
    </row>
    <row r="478" s="141" customFormat="1" customHeight="1" spans="1:30">
      <c r="A478" s="900"/>
      <c r="B478" s="900"/>
      <c r="C478" s="900"/>
      <c r="D478" s="901"/>
      <c r="E478" s="901"/>
      <c r="F478" s="902"/>
      <c r="G478" s="902"/>
      <c r="H478" s="903"/>
      <c r="I478" s="900"/>
      <c r="J478" s="900"/>
      <c r="K478" s="902"/>
      <c r="L478" s="904"/>
      <c r="M478" s="904"/>
      <c r="N478" s="905"/>
      <c r="O478" s="905"/>
      <c r="P478" s="906"/>
      <c r="Q478" s="906"/>
      <c r="R478" s="907"/>
      <c r="S478" s="908"/>
      <c r="T478" s="901"/>
      <c r="U478" s="902"/>
      <c r="V478" s="909"/>
      <c r="W478" s="909"/>
      <c r="X478" s="909"/>
      <c r="Y478" s="909"/>
      <c r="Z478" s="909"/>
      <c r="AA478" s="909"/>
      <c r="AB478" s="909"/>
      <c r="AC478" s="909"/>
      <c r="AD478" s="909"/>
    </row>
    <row r="479" s="141" customFormat="1" customHeight="1" spans="1:30">
      <c r="A479" s="900"/>
      <c r="B479" s="900"/>
      <c r="C479" s="900"/>
      <c r="D479" s="901"/>
      <c r="E479" s="901"/>
      <c r="F479" s="902"/>
      <c r="G479" s="902"/>
      <c r="H479" s="903"/>
      <c r="I479" s="900"/>
      <c r="J479" s="900"/>
      <c r="K479" s="902"/>
      <c r="L479" s="904"/>
      <c r="M479" s="904"/>
      <c r="N479" s="905"/>
      <c r="O479" s="905"/>
      <c r="P479" s="906"/>
      <c r="Q479" s="906"/>
      <c r="R479" s="907"/>
      <c r="S479" s="908"/>
      <c r="T479" s="901"/>
      <c r="U479" s="902"/>
      <c r="V479" s="909"/>
      <c r="W479" s="909"/>
      <c r="X479" s="909"/>
      <c r="Y479" s="909"/>
      <c r="Z479" s="909"/>
      <c r="AA479" s="909"/>
      <c r="AB479" s="909"/>
      <c r="AC479" s="909"/>
      <c r="AD479" s="909"/>
    </row>
    <row r="480" s="141" customFormat="1" customHeight="1" spans="1:30">
      <c r="A480" s="900"/>
      <c r="B480" s="900"/>
      <c r="C480" s="900"/>
      <c r="D480" s="901"/>
      <c r="E480" s="901"/>
      <c r="F480" s="902"/>
      <c r="G480" s="902"/>
      <c r="H480" s="903"/>
      <c r="I480" s="900"/>
      <c r="J480" s="900"/>
      <c r="K480" s="902"/>
      <c r="L480" s="904"/>
      <c r="M480" s="904"/>
      <c r="N480" s="905"/>
      <c r="O480" s="905"/>
      <c r="P480" s="906"/>
      <c r="Q480" s="906"/>
      <c r="R480" s="907"/>
      <c r="S480" s="908"/>
      <c r="T480" s="901"/>
      <c r="U480" s="902"/>
      <c r="V480" s="909"/>
      <c r="W480" s="909"/>
      <c r="X480" s="909"/>
      <c r="Y480" s="909"/>
      <c r="Z480" s="909"/>
      <c r="AA480" s="909"/>
      <c r="AB480" s="909"/>
      <c r="AC480" s="909"/>
      <c r="AD480" s="909"/>
    </row>
    <row r="481" s="141" customFormat="1" customHeight="1" spans="1:30">
      <c r="A481" s="900"/>
      <c r="B481" s="900"/>
      <c r="C481" s="900"/>
      <c r="D481" s="901"/>
      <c r="E481" s="901"/>
      <c r="F481" s="902"/>
      <c r="G481" s="902"/>
      <c r="H481" s="903"/>
      <c r="I481" s="900"/>
      <c r="J481" s="900"/>
      <c r="K481" s="902"/>
      <c r="L481" s="904"/>
      <c r="M481" s="904"/>
      <c r="N481" s="905"/>
      <c r="O481" s="905"/>
      <c r="P481" s="906"/>
      <c r="Q481" s="906"/>
      <c r="R481" s="907"/>
      <c r="S481" s="908"/>
      <c r="T481" s="901"/>
      <c r="U481" s="902"/>
      <c r="V481" s="909"/>
      <c r="W481" s="909"/>
      <c r="X481" s="909"/>
      <c r="Y481" s="909"/>
      <c r="Z481" s="909"/>
      <c r="AA481" s="909"/>
      <c r="AB481" s="909"/>
      <c r="AC481" s="909"/>
      <c r="AD481" s="909"/>
    </row>
    <row r="482" s="141" customFormat="1" customHeight="1" spans="1:30">
      <c r="A482" s="900"/>
      <c r="B482" s="900"/>
      <c r="C482" s="900"/>
      <c r="D482" s="901"/>
      <c r="E482" s="901"/>
      <c r="F482" s="902"/>
      <c r="G482" s="902"/>
      <c r="H482" s="903"/>
      <c r="I482" s="900"/>
      <c r="J482" s="900"/>
      <c r="K482" s="902"/>
      <c r="L482" s="904"/>
      <c r="M482" s="904"/>
      <c r="N482" s="905"/>
      <c r="O482" s="905"/>
      <c r="P482" s="906"/>
      <c r="Q482" s="906"/>
      <c r="R482" s="907"/>
      <c r="S482" s="908"/>
      <c r="T482" s="901"/>
      <c r="U482" s="902"/>
      <c r="V482" s="909"/>
      <c r="W482" s="909"/>
      <c r="X482" s="909"/>
      <c r="Y482" s="909"/>
      <c r="Z482" s="909"/>
      <c r="AA482" s="909"/>
      <c r="AB482" s="909"/>
      <c r="AC482" s="909"/>
      <c r="AD482" s="909"/>
    </row>
    <row r="483" s="141" customFormat="1" customHeight="1" spans="1:30">
      <c r="A483" s="900"/>
      <c r="B483" s="900"/>
      <c r="C483" s="900"/>
      <c r="D483" s="901"/>
      <c r="E483" s="901"/>
      <c r="F483" s="902"/>
      <c r="G483" s="902"/>
      <c r="H483" s="903"/>
      <c r="I483" s="900"/>
      <c r="J483" s="900"/>
      <c r="K483" s="902"/>
      <c r="L483" s="904"/>
      <c r="M483" s="904"/>
      <c r="N483" s="905"/>
      <c r="O483" s="905"/>
      <c r="P483" s="906"/>
      <c r="Q483" s="906"/>
      <c r="R483" s="907"/>
      <c r="S483" s="908"/>
      <c r="T483" s="901"/>
      <c r="U483" s="902"/>
      <c r="V483" s="909"/>
      <c r="W483" s="909"/>
      <c r="X483" s="909"/>
      <c r="Y483" s="909"/>
      <c r="Z483" s="909"/>
      <c r="AA483" s="909"/>
      <c r="AB483" s="909"/>
      <c r="AC483" s="909"/>
      <c r="AD483" s="909"/>
    </row>
    <row r="484" s="141" customFormat="1" customHeight="1" spans="1:30">
      <c r="A484" s="900"/>
      <c r="B484" s="900"/>
      <c r="C484" s="900"/>
      <c r="D484" s="901"/>
      <c r="E484" s="901"/>
      <c r="F484" s="902"/>
      <c r="G484" s="902"/>
      <c r="H484" s="903"/>
      <c r="I484" s="900"/>
      <c r="J484" s="900"/>
      <c r="K484" s="902"/>
      <c r="L484" s="904"/>
      <c r="M484" s="904"/>
      <c r="N484" s="905"/>
      <c r="O484" s="905"/>
      <c r="P484" s="906"/>
      <c r="Q484" s="906"/>
      <c r="R484" s="907"/>
      <c r="S484" s="908"/>
      <c r="T484" s="901"/>
      <c r="U484" s="902"/>
      <c r="V484" s="909"/>
      <c r="W484" s="909"/>
      <c r="X484" s="909"/>
      <c r="Y484" s="909"/>
      <c r="Z484" s="909"/>
      <c r="AA484" s="909"/>
      <c r="AB484" s="909"/>
      <c r="AC484" s="909"/>
      <c r="AD484" s="909"/>
    </row>
    <row r="485" s="141" customFormat="1" customHeight="1" spans="1:30">
      <c r="A485" s="900"/>
      <c r="B485" s="900"/>
      <c r="C485" s="900"/>
      <c r="D485" s="901"/>
      <c r="E485" s="901"/>
      <c r="F485" s="902"/>
      <c r="G485" s="902"/>
      <c r="H485" s="903"/>
      <c r="I485" s="900"/>
      <c r="J485" s="900"/>
      <c r="K485" s="902"/>
      <c r="L485" s="904"/>
      <c r="M485" s="904"/>
      <c r="N485" s="905"/>
      <c r="O485" s="905"/>
      <c r="P485" s="906"/>
      <c r="Q485" s="906"/>
      <c r="R485" s="907"/>
      <c r="S485" s="908"/>
      <c r="T485" s="901"/>
      <c r="U485" s="902"/>
      <c r="V485" s="909"/>
      <c r="W485" s="909"/>
      <c r="X485" s="909"/>
      <c r="Y485" s="909"/>
      <c r="Z485" s="909"/>
      <c r="AA485" s="909"/>
      <c r="AB485" s="909"/>
      <c r="AC485" s="909"/>
      <c r="AD485" s="909"/>
    </row>
    <row r="486" s="141" customFormat="1" customHeight="1" spans="1:30">
      <c r="A486" s="900"/>
      <c r="B486" s="900"/>
      <c r="C486" s="900"/>
      <c r="D486" s="901"/>
      <c r="E486" s="901"/>
      <c r="F486" s="902"/>
      <c r="G486" s="902"/>
      <c r="H486" s="903"/>
      <c r="I486" s="900"/>
      <c r="J486" s="900"/>
      <c r="K486" s="902"/>
      <c r="L486" s="904"/>
      <c r="M486" s="904"/>
      <c r="N486" s="905"/>
      <c r="O486" s="905"/>
      <c r="P486" s="906"/>
      <c r="Q486" s="906"/>
      <c r="R486" s="907"/>
      <c r="S486" s="908"/>
      <c r="T486" s="901"/>
      <c r="U486" s="902"/>
      <c r="V486" s="909"/>
      <c r="W486" s="909"/>
      <c r="X486" s="909"/>
      <c r="Y486" s="909"/>
      <c r="Z486" s="909"/>
      <c r="AA486" s="909"/>
      <c r="AB486" s="909"/>
      <c r="AC486" s="909"/>
      <c r="AD486" s="909"/>
    </row>
    <row r="487" s="141" customFormat="1" customHeight="1" spans="1:30">
      <c r="A487" s="900"/>
      <c r="B487" s="900"/>
      <c r="C487" s="900"/>
      <c r="D487" s="901"/>
      <c r="E487" s="901"/>
      <c r="F487" s="902"/>
      <c r="G487" s="902"/>
      <c r="H487" s="903"/>
      <c r="I487" s="900"/>
      <c r="J487" s="900"/>
      <c r="K487" s="902"/>
      <c r="L487" s="904"/>
      <c r="M487" s="904"/>
      <c r="N487" s="905"/>
      <c r="O487" s="905"/>
      <c r="P487" s="906"/>
      <c r="Q487" s="906"/>
      <c r="R487" s="907"/>
      <c r="S487" s="908"/>
      <c r="T487" s="901"/>
      <c r="U487" s="902"/>
      <c r="V487" s="909"/>
      <c r="W487" s="909"/>
      <c r="X487" s="909"/>
      <c r="Y487" s="909"/>
      <c r="Z487" s="909"/>
      <c r="AA487" s="909"/>
      <c r="AB487" s="909"/>
      <c r="AC487" s="909"/>
      <c r="AD487" s="909"/>
    </row>
    <row r="488" s="141" customFormat="1" customHeight="1" spans="1:30">
      <c r="A488" s="900"/>
      <c r="B488" s="900"/>
      <c r="C488" s="900"/>
      <c r="D488" s="901"/>
      <c r="E488" s="901"/>
      <c r="F488" s="902"/>
      <c r="G488" s="902"/>
      <c r="H488" s="903"/>
      <c r="I488" s="900"/>
      <c r="J488" s="900"/>
      <c r="K488" s="902"/>
      <c r="L488" s="904"/>
      <c r="M488" s="904"/>
      <c r="N488" s="905"/>
      <c r="O488" s="905"/>
      <c r="P488" s="906"/>
      <c r="Q488" s="906"/>
      <c r="R488" s="907"/>
      <c r="S488" s="908"/>
      <c r="T488" s="901"/>
      <c r="U488" s="902"/>
      <c r="V488" s="909"/>
      <c r="W488" s="909"/>
      <c r="X488" s="909"/>
      <c r="Y488" s="909"/>
      <c r="Z488" s="909"/>
      <c r="AA488" s="909"/>
      <c r="AB488" s="909"/>
      <c r="AC488" s="909"/>
      <c r="AD488" s="909"/>
    </row>
    <row r="489" s="141" customFormat="1" customHeight="1" spans="1:30">
      <c r="A489" s="900"/>
      <c r="B489" s="900"/>
      <c r="C489" s="900"/>
      <c r="D489" s="901"/>
      <c r="E489" s="901"/>
      <c r="F489" s="902"/>
      <c r="G489" s="902"/>
      <c r="H489" s="903"/>
      <c r="I489" s="900"/>
      <c r="J489" s="900"/>
      <c r="K489" s="902"/>
      <c r="L489" s="904"/>
      <c r="M489" s="904"/>
      <c r="N489" s="905"/>
      <c r="O489" s="905"/>
      <c r="P489" s="906"/>
      <c r="Q489" s="906"/>
      <c r="R489" s="907"/>
      <c r="S489" s="908"/>
      <c r="T489" s="901"/>
      <c r="U489" s="902"/>
      <c r="V489" s="909"/>
      <c r="W489" s="909"/>
      <c r="X489" s="909"/>
      <c r="Y489" s="909"/>
      <c r="Z489" s="909"/>
      <c r="AA489" s="909"/>
      <c r="AB489" s="909"/>
      <c r="AC489" s="909"/>
      <c r="AD489" s="909"/>
    </row>
    <row r="490" s="141" customFormat="1" customHeight="1" spans="1:30">
      <c r="A490" s="900"/>
      <c r="B490" s="900"/>
      <c r="C490" s="900"/>
      <c r="D490" s="901"/>
      <c r="E490" s="901"/>
      <c r="F490" s="902"/>
      <c r="G490" s="902"/>
      <c r="H490" s="903"/>
      <c r="I490" s="900"/>
      <c r="J490" s="900"/>
      <c r="K490" s="902"/>
      <c r="L490" s="904"/>
      <c r="M490" s="904"/>
      <c r="N490" s="905"/>
      <c r="O490" s="905"/>
      <c r="P490" s="906"/>
      <c r="Q490" s="906"/>
      <c r="R490" s="907"/>
      <c r="S490" s="908"/>
      <c r="T490" s="901"/>
      <c r="U490" s="902"/>
      <c r="V490" s="909"/>
      <c r="W490" s="909"/>
      <c r="X490" s="909"/>
      <c r="Y490" s="909"/>
      <c r="Z490" s="909"/>
      <c r="AA490" s="909"/>
      <c r="AB490" s="909"/>
      <c r="AC490" s="909"/>
      <c r="AD490" s="909"/>
    </row>
    <row r="491" s="141" customFormat="1" customHeight="1" spans="1:30">
      <c r="A491" s="900"/>
      <c r="B491" s="900"/>
      <c r="C491" s="900"/>
      <c r="D491" s="901"/>
      <c r="E491" s="901"/>
      <c r="F491" s="902"/>
      <c r="G491" s="902"/>
      <c r="H491" s="903"/>
      <c r="I491" s="900"/>
      <c r="J491" s="900"/>
      <c r="K491" s="902"/>
      <c r="L491" s="904"/>
      <c r="M491" s="904"/>
      <c r="N491" s="905"/>
      <c r="O491" s="905"/>
      <c r="P491" s="906"/>
      <c r="Q491" s="906"/>
      <c r="R491" s="907"/>
      <c r="S491" s="908"/>
      <c r="T491" s="901"/>
      <c r="U491" s="902"/>
      <c r="V491" s="909"/>
      <c r="W491" s="909"/>
      <c r="X491" s="909"/>
      <c r="Y491" s="909"/>
      <c r="Z491" s="909"/>
      <c r="AA491" s="909"/>
      <c r="AB491" s="909"/>
      <c r="AC491" s="909"/>
      <c r="AD491" s="909"/>
    </row>
    <row r="492" s="141" customFormat="1" customHeight="1" spans="1:30">
      <c r="A492" s="900"/>
      <c r="B492" s="900"/>
      <c r="C492" s="900"/>
      <c r="D492" s="901"/>
      <c r="E492" s="901"/>
      <c r="F492" s="902"/>
      <c r="G492" s="902"/>
      <c r="H492" s="903"/>
      <c r="I492" s="900"/>
      <c r="J492" s="900"/>
      <c r="K492" s="902"/>
      <c r="L492" s="904"/>
      <c r="M492" s="904"/>
      <c r="N492" s="905"/>
      <c r="O492" s="905"/>
      <c r="P492" s="906"/>
      <c r="Q492" s="906"/>
      <c r="R492" s="907"/>
      <c r="S492" s="908"/>
      <c r="T492" s="901"/>
      <c r="U492" s="902"/>
      <c r="V492" s="909"/>
      <c r="W492" s="909"/>
      <c r="X492" s="909"/>
      <c r="Y492" s="909"/>
      <c r="Z492" s="909"/>
      <c r="AA492" s="909"/>
      <c r="AB492" s="909"/>
      <c r="AC492" s="909"/>
      <c r="AD492" s="909"/>
    </row>
    <row r="493" s="141" customFormat="1" customHeight="1" spans="1:30">
      <c r="A493" s="900"/>
      <c r="B493" s="900"/>
      <c r="C493" s="900"/>
      <c r="D493" s="901"/>
      <c r="E493" s="901"/>
      <c r="F493" s="902"/>
      <c r="G493" s="902"/>
      <c r="H493" s="903"/>
      <c r="I493" s="900"/>
      <c r="J493" s="900"/>
      <c r="K493" s="902"/>
      <c r="L493" s="904"/>
      <c r="M493" s="904"/>
      <c r="N493" s="905"/>
      <c r="O493" s="905"/>
      <c r="P493" s="906"/>
      <c r="Q493" s="906"/>
      <c r="R493" s="907"/>
      <c r="S493" s="908"/>
      <c r="T493" s="901"/>
      <c r="U493" s="902"/>
      <c r="V493" s="909"/>
      <c r="W493" s="909"/>
      <c r="X493" s="909"/>
      <c r="Y493" s="909"/>
      <c r="Z493" s="909"/>
      <c r="AA493" s="909"/>
      <c r="AB493" s="909"/>
      <c r="AC493" s="909"/>
      <c r="AD493" s="909"/>
    </row>
    <row r="494" s="141" customFormat="1" customHeight="1" spans="1:30">
      <c r="A494" s="900"/>
      <c r="B494" s="900"/>
      <c r="C494" s="900"/>
      <c r="D494" s="901"/>
      <c r="E494" s="901"/>
      <c r="F494" s="902"/>
      <c r="G494" s="902"/>
      <c r="H494" s="903"/>
      <c r="I494" s="900"/>
      <c r="J494" s="900"/>
      <c r="K494" s="902"/>
      <c r="L494" s="904"/>
      <c r="M494" s="904"/>
      <c r="N494" s="905"/>
      <c r="O494" s="905"/>
      <c r="P494" s="906"/>
      <c r="Q494" s="906"/>
      <c r="R494" s="907"/>
      <c r="S494" s="908"/>
      <c r="T494" s="901"/>
      <c r="U494" s="902"/>
      <c r="V494" s="909"/>
      <c r="W494" s="909"/>
      <c r="X494" s="909"/>
      <c r="Y494" s="909"/>
      <c r="Z494" s="909"/>
      <c r="AA494" s="909"/>
      <c r="AB494" s="909"/>
      <c r="AC494" s="909"/>
      <c r="AD494" s="909"/>
    </row>
    <row r="495" s="141" customFormat="1" customHeight="1" spans="1:30">
      <c r="A495" s="900"/>
      <c r="B495" s="900"/>
      <c r="C495" s="900"/>
      <c r="D495" s="901"/>
      <c r="E495" s="901"/>
      <c r="F495" s="902"/>
      <c r="G495" s="902"/>
      <c r="H495" s="903"/>
      <c r="I495" s="900"/>
      <c r="J495" s="900"/>
      <c r="K495" s="902"/>
      <c r="L495" s="904"/>
      <c r="M495" s="904"/>
      <c r="N495" s="905"/>
      <c r="O495" s="905"/>
      <c r="P495" s="906"/>
      <c r="Q495" s="906"/>
      <c r="R495" s="907"/>
      <c r="S495" s="908"/>
      <c r="T495" s="901"/>
      <c r="U495" s="902"/>
      <c r="V495" s="909"/>
      <c r="W495" s="909"/>
      <c r="X495" s="909"/>
      <c r="Y495" s="909"/>
      <c r="Z495" s="909"/>
      <c r="AA495" s="909"/>
      <c r="AB495" s="909"/>
      <c r="AC495" s="909"/>
      <c r="AD495" s="909"/>
    </row>
    <row r="496" s="141" customFormat="1" customHeight="1" spans="1:30">
      <c r="A496" s="900"/>
      <c r="B496" s="900"/>
      <c r="C496" s="900"/>
      <c r="D496" s="901"/>
      <c r="E496" s="901"/>
      <c r="F496" s="902"/>
      <c r="G496" s="902"/>
      <c r="H496" s="903"/>
      <c r="I496" s="900"/>
      <c r="J496" s="900"/>
      <c r="K496" s="902"/>
      <c r="L496" s="904"/>
      <c r="M496" s="904"/>
      <c r="N496" s="905"/>
      <c r="O496" s="905"/>
      <c r="P496" s="906"/>
      <c r="Q496" s="906"/>
      <c r="R496" s="907"/>
      <c r="S496" s="908"/>
      <c r="T496" s="901"/>
      <c r="U496" s="902"/>
      <c r="V496" s="909"/>
      <c r="W496" s="909"/>
      <c r="X496" s="909"/>
      <c r="Y496" s="909"/>
      <c r="Z496" s="909"/>
      <c r="AA496" s="909"/>
      <c r="AB496" s="909"/>
      <c r="AC496" s="909"/>
      <c r="AD496" s="909"/>
    </row>
    <row r="497" s="141" customFormat="1" customHeight="1" spans="1:30">
      <c r="A497" s="900"/>
      <c r="B497" s="900"/>
      <c r="C497" s="900"/>
      <c r="D497" s="901"/>
      <c r="E497" s="901"/>
      <c r="F497" s="902"/>
      <c r="G497" s="902"/>
      <c r="H497" s="903"/>
      <c r="I497" s="900"/>
      <c r="J497" s="900"/>
      <c r="K497" s="902"/>
      <c r="L497" s="904"/>
      <c r="M497" s="904"/>
      <c r="N497" s="905"/>
      <c r="O497" s="905"/>
      <c r="P497" s="906"/>
      <c r="Q497" s="906"/>
      <c r="R497" s="907"/>
      <c r="S497" s="908"/>
      <c r="T497" s="901"/>
      <c r="U497" s="902"/>
      <c r="V497" s="909"/>
      <c r="W497" s="909"/>
      <c r="X497" s="909"/>
      <c r="Y497" s="909"/>
      <c r="Z497" s="909"/>
      <c r="AA497" s="909"/>
      <c r="AB497" s="909"/>
      <c r="AC497" s="909"/>
      <c r="AD497" s="909"/>
    </row>
    <row r="498" s="141" customFormat="1" customHeight="1" spans="1:30">
      <c r="A498" s="900"/>
      <c r="B498" s="900"/>
      <c r="C498" s="900"/>
      <c r="D498" s="901"/>
      <c r="E498" s="901"/>
      <c r="F498" s="902"/>
      <c r="G498" s="902"/>
      <c r="H498" s="903"/>
      <c r="I498" s="900"/>
      <c r="J498" s="900"/>
      <c r="K498" s="902"/>
      <c r="L498" s="904"/>
      <c r="M498" s="904"/>
      <c r="N498" s="905"/>
      <c r="O498" s="905"/>
      <c r="P498" s="906"/>
      <c r="Q498" s="906"/>
      <c r="R498" s="907"/>
      <c r="S498" s="908"/>
      <c r="T498" s="901"/>
      <c r="U498" s="902"/>
      <c r="V498" s="909"/>
      <c r="W498" s="909"/>
      <c r="X498" s="909"/>
      <c r="Y498" s="909"/>
      <c r="Z498" s="909"/>
      <c r="AA498" s="909"/>
      <c r="AB498" s="909"/>
      <c r="AC498" s="909"/>
      <c r="AD498" s="909"/>
    </row>
    <row r="499" s="141" customFormat="1" customHeight="1" spans="1:30">
      <c r="A499" s="900"/>
      <c r="B499" s="900"/>
      <c r="C499" s="900"/>
      <c r="D499" s="901"/>
      <c r="E499" s="901"/>
      <c r="F499" s="902"/>
      <c r="G499" s="902"/>
      <c r="H499" s="903"/>
      <c r="I499" s="900"/>
      <c r="J499" s="900"/>
      <c r="K499" s="902"/>
      <c r="L499" s="904"/>
      <c r="M499" s="904"/>
      <c r="N499" s="905"/>
      <c r="O499" s="905"/>
      <c r="P499" s="906"/>
      <c r="Q499" s="906"/>
      <c r="R499" s="907"/>
      <c r="S499" s="908"/>
      <c r="T499" s="901"/>
      <c r="U499" s="902"/>
      <c r="V499" s="909"/>
      <c r="W499" s="909"/>
      <c r="X499" s="909"/>
      <c r="Y499" s="909"/>
      <c r="Z499" s="909"/>
      <c r="AA499" s="909"/>
      <c r="AB499" s="909"/>
      <c r="AC499" s="909"/>
      <c r="AD499" s="909"/>
    </row>
    <row r="500" s="141" customFormat="1" customHeight="1" spans="1:30">
      <c r="A500" s="900"/>
      <c r="B500" s="900"/>
      <c r="C500" s="900"/>
      <c r="D500" s="901"/>
      <c r="E500" s="901"/>
      <c r="F500" s="902"/>
      <c r="G500" s="902"/>
      <c r="H500" s="903"/>
      <c r="I500" s="900"/>
      <c r="J500" s="900"/>
      <c r="K500" s="902"/>
      <c r="L500" s="904"/>
      <c r="M500" s="904"/>
      <c r="N500" s="905"/>
      <c r="O500" s="905"/>
      <c r="P500" s="906"/>
      <c r="Q500" s="906"/>
      <c r="R500" s="907"/>
      <c r="S500" s="908"/>
      <c r="T500" s="901"/>
      <c r="U500" s="902"/>
      <c r="V500" s="909"/>
      <c r="W500" s="909"/>
      <c r="X500" s="909"/>
      <c r="Y500" s="909"/>
      <c r="Z500" s="909"/>
      <c r="AA500" s="909"/>
      <c r="AB500" s="909"/>
      <c r="AC500" s="909"/>
      <c r="AD500" s="909"/>
    </row>
    <row r="501" s="141" customFormat="1" customHeight="1" spans="1:30">
      <c r="A501" s="900"/>
      <c r="B501" s="900"/>
      <c r="C501" s="900"/>
      <c r="D501" s="901"/>
      <c r="E501" s="901"/>
      <c r="F501" s="902"/>
      <c r="G501" s="902"/>
      <c r="H501" s="903"/>
      <c r="I501" s="900"/>
      <c r="J501" s="900"/>
      <c r="K501" s="902"/>
      <c r="L501" s="904"/>
      <c r="M501" s="904"/>
      <c r="N501" s="905"/>
      <c r="O501" s="905"/>
      <c r="P501" s="906"/>
      <c r="Q501" s="906"/>
      <c r="R501" s="907"/>
      <c r="S501" s="908"/>
      <c r="T501" s="901"/>
      <c r="U501" s="902"/>
      <c r="V501" s="909"/>
      <c r="W501" s="909"/>
      <c r="X501" s="909"/>
      <c r="Y501" s="909"/>
      <c r="Z501" s="909"/>
      <c r="AA501" s="909"/>
      <c r="AB501" s="909"/>
      <c r="AC501" s="909"/>
      <c r="AD501" s="909"/>
    </row>
    <row r="502" s="141" customFormat="1" customHeight="1" spans="1:30">
      <c r="A502" s="900"/>
      <c r="B502" s="900"/>
      <c r="C502" s="900"/>
      <c r="D502" s="901"/>
      <c r="E502" s="901"/>
      <c r="F502" s="902"/>
      <c r="G502" s="902"/>
      <c r="H502" s="903"/>
      <c r="I502" s="900"/>
      <c r="J502" s="900"/>
      <c r="K502" s="902"/>
      <c r="L502" s="904"/>
      <c r="M502" s="904"/>
      <c r="N502" s="905"/>
      <c r="O502" s="905"/>
      <c r="P502" s="906"/>
      <c r="Q502" s="906"/>
      <c r="R502" s="907"/>
      <c r="S502" s="908"/>
      <c r="T502" s="901"/>
      <c r="U502" s="902"/>
      <c r="V502" s="909"/>
      <c r="W502" s="909"/>
      <c r="X502" s="909"/>
      <c r="Y502" s="909"/>
      <c r="Z502" s="909"/>
      <c r="AA502" s="909"/>
      <c r="AB502" s="909"/>
      <c r="AC502" s="909"/>
      <c r="AD502" s="909"/>
    </row>
    <row r="503" s="141" customFormat="1" customHeight="1" spans="1:30">
      <c r="A503" s="900"/>
      <c r="B503" s="900"/>
      <c r="C503" s="900"/>
      <c r="D503" s="901"/>
      <c r="E503" s="901"/>
      <c r="F503" s="902"/>
      <c r="G503" s="902"/>
      <c r="H503" s="903"/>
      <c r="I503" s="900"/>
      <c r="J503" s="900"/>
      <c r="K503" s="902"/>
      <c r="L503" s="904"/>
      <c r="M503" s="904"/>
      <c r="N503" s="905"/>
      <c r="O503" s="905"/>
      <c r="P503" s="906"/>
      <c r="Q503" s="906"/>
      <c r="R503" s="907"/>
      <c r="S503" s="908"/>
      <c r="T503" s="901"/>
      <c r="U503" s="902"/>
      <c r="V503" s="909"/>
      <c r="W503" s="909"/>
      <c r="X503" s="909"/>
      <c r="Y503" s="909"/>
      <c r="Z503" s="909"/>
      <c r="AA503" s="909"/>
      <c r="AB503" s="909"/>
      <c r="AC503" s="909"/>
      <c r="AD503" s="909"/>
    </row>
    <row r="504" s="141" customFormat="1" customHeight="1" spans="1:30">
      <c r="A504" s="900"/>
      <c r="B504" s="900"/>
      <c r="C504" s="900"/>
      <c r="D504" s="901"/>
      <c r="E504" s="901"/>
      <c r="F504" s="902"/>
      <c r="G504" s="902"/>
      <c r="H504" s="903"/>
      <c r="I504" s="900"/>
      <c r="J504" s="900"/>
      <c r="K504" s="902"/>
      <c r="L504" s="904"/>
      <c r="M504" s="904"/>
      <c r="N504" s="905"/>
      <c r="O504" s="905"/>
      <c r="P504" s="906"/>
      <c r="Q504" s="906"/>
      <c r="R504" s="907"/>
      <c r="S504" s="908"/>
      <c r="T504" s="901"/>
      <c r="U504" s="902"/>
      <c r="V504" s="909"/>
      <c r="W504" s="909"/>
      <c r="X504" s="909"/>
      <c r="Y504" s="909"/>
      <c r="Z504" s="909"/>
      <c r="AA504" s="909"/>
      <c r="AB504" s="909"/>
      <c r="AC504" s="909"/>
      <c r="AD504" s="909"/>
    </row>
    <row r="505" s="141" customFormat="1" customHeight="1" spans="1:30">
      <c r="A505" s="900"/>
      <c r="B505" s="900"/>
      <c r="C505" s="900"/>
      <c r="D505" s="901"/>
      <c r="E505" s="901"/>
      <c r="F505" s="902"/>
      <c r="G505" s="902"/>
      <c r="H505" s="903"/>
      <c r="I505" s="900"/>
      <c r="J505" s="900"/>
      <c r="K505" s="902"/>
      <c r="L505" s="904"/>
      <c r="M505" s="904"/>
      <c r="N505" s="905"/>
      <c r="O505" s="905"/>
      <c r="P505" s="906"/>
      <c r="Q505" s="906"/>
      <c r="R505" s="907"/>
      <c r="S505" s="908"/>
      <c r="T505" s="901"/>
      <c r="U505" s="902"/>
      <c r="V505" s="909"/>
      <c r="W505" s="909"/>
      <c r="X505" s="909"/>
      <c r="Y505" s="909"/>
      <c r="Z505" s="909"/>
      <c r="AA505" s="909"/>
      <c r="AB505" s="909"/>
      <c r="AC505" s="909"/>
      <c r="AD505" s="909"/>
    </row>
    <row r="506" s="141" customFormat="1" customHeight="1" spans="1:30">
      <c r="A506" s="900"/>
      <c r="B506" s="900"/>
      <c r="C506" s="900"/>
      <c r="D506" s="901"/>
      <c r="E506" s="901"/>
      <c r="F506" s="902"/>
      <c r="G506" s="902"/>
      <c r="H506" s="903"/>
      <c r="I506" s="900"/>
      <c r="J506" s="900"/>
      <c r="K506" s="902"/>
      <c r="L506" s="904"/>
      <c r="M506" s="904"/>
      <c r="N506" s="905"/>
      <c r="O506" s="905"/>
      <c r="P506" s="906"/>
      <c r="Q506" s="906"/>
      <c r="R506" s="907"/>
      <c r="S506" s="908"/>
      <c r="T506" s="901"/>
      <c r="U506" s="902"/>
      <c r="V506" s="909"/>
      <c r="W506" s="909"/>
      <c r="X506" s="909"/>
      <c r="Y506" s="909"/>
      <c r="Z506" s="909"/>
      <c r="AA506" s="909"/>
      <c r="AB506" s="909"/>
      <c r="AC506" s="909"/>
      <c r="AD506" s="909"/>
    </row>
    <row r="507" s="141" customFormat="1" customHeight="1" spans="1:30">
      <c r="A507" s="900"/>
      <c r="B507" s="900"/>
      <c r="C507" s="900"/>
      <c r="D507" s="901"/>
      <c r="E507" s="901"/>
      <c r="F507" s="902"/>
      <c r="G507" s="902"/>
      <c r="H507" s="903"/>
      <c r="I507" s="900"/>
      <c r="J507" s="900"/>
      <c r="K507" s="902"/>
      <c r="L507" s="904"/>
      <c r="M507" s="904"/>
      <c r="N507" s="905"/>
      <c r="O507" s="905"/>
      <c r="P507" s="906"/>
      <c r="Q507" s="906"/>
      <c r="R507" s="907"/>
      <c r="S507" s="908"/>
      <c r="T507" s="901"/>
      <c r="U507" s="902"/>
      <c r="V507" s="909"/>
      <c r="W507" s="909"/>
      <c r="X507" s="909"/>
      <c r="Y507" s="909"/>
      <c r="Z507" s="909"/>
      <c r="AA507" s="909"/>
      <c r="AB507" s="909"/>
      <c r="AC507" s="909"/>
      <c r="AD507" s="909"/>
    </row>
    <row r="508" s="141" customFormat="1" customHeight="1" spans="1:30">
      <c r="A508" s="900"/>
      <c r="B508" s="900"/>
      <c r="C508" s="900"/>
      <c r="D508" s="901"/>
      <c r="E508" s="901"/>
      <c r="F508" s="902"/>
      <c r="G508" s="902"/>
      <c r="H508" s="903"/>
      <c r="I508" s="900"/>
      <c r="J508" s="900"/>
      <c r="K508" s="902"/>
      <c r="L508" s="904"/>
      <c r="M508" s="904"/>
      <c r="N508" s="905"/>
      <c r="O508" s="905"/>
      <c r="P508" s="906"/>
      <c r="Q508" s="906"/>
      <c r="R508" s="907"/>
      <c r="S508" s="908"/>
      <c r="T508" s="901"/>
      <c r="U508" s="902"/>
      <c r="V508" s="909"/>
      <c r="W508" s="909"/>
      <c r="X508" s="909"/>
      <c r="Y508" s="909"/>
      <c r="Z508" s="909"/>
      <c r="AA508" s="909"/>
      <c r="AB508" s="909"/>
      <c r="AC508" s="909"/>
      <c r="AD508" s="909"/>
    </row>
    <row r="509" s="141" customFormat="1" customHeight="1" spans="1:30">
      <c r="A509" s="900"/>
      <c r="B509" s="900"/>
      <c r="C509" s="900"/>
      <c r="D509" s="901"/>
      <c r="E509" s="901"/>
      <c r="F509" s="902"/>
      <c r="G509" s="902"/>
      <c r="H509" s="903"/>
      <c r="I509" s="900"/>
      <c r="J509" s="900"/>
      <c r="K509" s="902"/>
      <c r="L509" s="904"/>
      <c r="M509" s="904"/>
      <c r="N509" s="905"/>
      <c r="O509" s="905"/>
      <c r="P509" s="906"/>
      <c r="Q509" s="906"/>
      <c r="R509" s="907"/>
      <c r="S509" s="908"/>
      <c r="T509" s="901"/>
      <c r="U509" s="902"/>
      <c r="V509" s="909"/>
      <c r="W509" s="909"/>
      <c r="X509" s="909"/>
      <c r="Y509" s="909"/>
      <c r="Z509" s="909"/>
      <c r="AA509" s="909"/>
      <c r="AB509" s="909"/>
      <c r="AC509" s="909"/>
      <c r="AD509" s="909"/>
    </row>
    <row r="510" s="141" customFormat="1" customHeight="1" spans="1:30">
      <c r="A510" s="900"/>
      <c r="B510" s="900"/>
      <c r="C510" s="900"/>
      <c r="D510" s="901"/>
      <c r="E510" s="901"/>
      <c r="F510" s="902"/>
      <c r="G510" s="902"/>
      <c r="H510" s="903"/>
      <c r="I510" s="900"/>
      <c r="J510" s="900"/>
      <c r="K510" s="902"/>
      <c r="L510" s="904"/>
      <c r="M510" s="904"/>
      <c r="N510" s="905"/>
      <c r="O510" s="905"/>
      <c r="P510" s="906"/>
      <c r="Q510" s="906"/>
      <c r="R510" s="907"/>
      <c r="S510" s="908"/>
      <c r="T510" s="901"/>
      <c r="U510" s="902"/>
      <c r="V510" s="909"/>
      <c r="W510" s="909"/>
      <c r="X510" s="909"/>
      <c r="Y510" s="909"/>
      <c r="Z510" s="909"/>
      <c r="AA510" s="909"/>
      <c r="AB510" s="909"/>
      <c r="AC510" s="909"/>
      <c r="AD510" s="909"/>
    </row>
    <row r="511" s="141" customFormat="1" customHeight="1" spans="1:30">
      <c r="A511" s="900"/>
      <c r="B511" s="900"/>
      <c r="C511" s="900"/>
      <c r="D511" s="901"/>
      <c r="E511" s="901"/>
      <c r="F511" s="902"/>
      <c r="G511" s="902"/>
      <c r="H511" s="903"/>
      <c r="I511" s="900"/>
      <c r="J511" s="900"/>
      <c r="K511" s="902"/>
      <c r="L511" s="904"/>
      <c r="M511" s="904"/>
      <c r="N511" s="905"/>
      <c r="O511" s="905"/>
      <c r="P511" s="906"/>
      <c r="Q511" s="906"/>
      <c r="R511" s="907"/>
      <c r="S511" s="908"/>
      <c r="T511" s="901"/>
      <c r="U511" s="902"/>
      <c r="V511" s="909"/>
      <c r="W511" s="909"/>
      <c r="X511" s="909"/>
      <c r="Y511" s="909"/>
      <c r="Z511" s="909"/>
      <c r="AA511" s="909"/>
      <c r="AB511" s="909"/>
      <c r="AC511" s="909"/>
      <c r="AD511" s="909"/>
    </row>
    <row r="512" s="141" customFormat="1" customHeight="1" spans="1:30">
      <c r="A512" s="900"/>
      <c r="B512" s="900"/>
      <c r="C512" s="900"/>
      <c r="D512" s="901"/>
      <c r="E512" s="901"/>
      <c r="F512" s="902"/>
      <c r="G512" s="902"/>
      <c r="H512" s="903"/>
      <c r="I512" s="900"/>
      <c r="J512" s="900"/>
      <c r="K512" s="902"/>
      <c r="L512" s="904"/>
      <c r="M512" s="904"/>
      <c r="N512" s="905"/>
      <c r="O512" s="905"/>
      <c r="P512" s="906"/>
      <c r="Q512" s="906"/>
      <c r="R512" s="907"/>
      <c r="S512" s="908"/>
      <c r="T512" s="901"/>
      <c r="U512" s="902"/>
      <c r="V512" s="909"/>
      <c r="W512" s="909"/>
      <c r="X512" s="909"/>
      <c r="Y512" s="909"/>
      <c r="Z512" s="909"/>
      <c r="AA512" s="909"/>
      <c r="AB512" s="909"/>
      <c r="AC512" s="909"/>
      <c r="AD512" s="909"/>
    </row>
    <row r="513" s="141" customFormat="1" customHeight="1" spans="1:30">
      <c r="A513" s="900"/>
      <c r="B513" s="900"/>
      <c r="C513" s="900"/>
      <c r="D513" s="901"/>
      <c r="E513" s="901"/>
      <c r="F513" s="902"/>
      <c r="G513" s="902"/>
      <c r="H513" s="903"/>
      <c r="I513" s="900"/>
      <c r="J513" s="900"/>
      <c r="K513" s="902"/>
      <c r="L513" s="904"/>
      <c r="M513" s="904"/>
      <c r="N513" s="905"/>
      <c r="O513" s="905"/>
      <c r="P513" s="906"/>
      <c r="Q513" s="906"/>
      <c r="R513" s="907"/>
      <c r="S513" s="908"/>
      <c r="T513" s="901"/>
      <c r="U513" s="902"/>
      <c r="V513" s="909"/>
      <c r="W513" s="909"/>
      <c r="X513" s="909"/>
      <c r="Y513" s="909"/>
      <c r="Z513" s="909"/>
      <c r="AA513" s="909"/>
      <c r="AB513" s="909"/>
      <c r="AC513" s="909"/>
      <c r="AD513" s="909"/>
    </row>
    <row r="514" s="141" customFormat="1" customHeight="1" spans="1:30">
      <c r="A514" s="900"/>
      <c r="B514" s="900"/>
      <c r="C514" s="900"/>
      <c r="D514" s="901"/>
      <c r="E514" s="901"/>
      <c r="F514" s="902"/>
      <c r="G514" s="902"/>
      <c r="H514" s="903"/>
      <c r="I514" s="900"/>
      <c r="J514" s="900"/>
      <c r="K514" s="902"/>
      <c r="L514" s="904"/>
      <c r="M514" s="904"/>
      <c r="N514" s="905"/>
      <c r="O514" s="905"/>
      <c r="P514" s="906"/>
      <c r="Q514" s="906"/>
      <c r="R514" s="907"/>
      <c r="S514" s="908"/>
      <c r="T514" s="901"/>
      <c r="U514" s="902"/>
      <c r="V514" s="909"/>
      <c r="W514" s="909"/>
      <c r="X514" s="909"/>
      <c r="Y514" s="909"/>
      <c r="Z514" s="909"/>
      <c r="AA514" s="909"/>
      <c r="AB514" s="909"/>
      <c r="AC514" s="909"/>
      <c r="AD514" s="909"/>
    </row>
    <row r="515" s="141" customFormat="1" customHeight="1" spans="1:30">
      <c r="A515" s="900"/>
      <c r="B515" s="900"/>
      <c r="C515" s="900"/>
      <c r="D515" s="901"/>
      <c r="E515" s="901"/>
      <c r="F515" s="902"/>
      <c r="G515" s="902"/>
      <c r="H515" s="903"/>
      <c r="I515" s="900"/>
      <c r="J515" s="900"/>
      <c r="K515" s="902"/>
      <c r="L515" s="904"/>
      <c r="M515" s="904"/>
      <c r="N515" s="905"/>
      <c r="O515" s="905"/>
      <c r="P515" s="906"/>
      <c r="Q515" s="906"/>
      <c r="R515" s="907"/>
      <c r="S515" s="908"/>
      <c r="T515" s="901"/>
      <c r="U515" s="902"/>
      <c r="V515" s="909"/>
      <c r="W515" s="909"/>
      <c r="X515" s="909"/>
      <c r="Y515" s="909"/>
      <c r="Z515" s="909"/>
      <c r="AA515" s="909"/>
      <c r="AB515" s="909"/>
      <c r="AC515" s="909"/>
      <c r="AD515" s="909"/>
    </row>
    <row r="516" s="141" customFormat="1" customHeight="1" spans="1:30">
      <c r="A516" s="900"/>
      <c r="B516" s="900"/>
      <c r="C516" s="900"/>
      <c r="D516" s="901"/>
      <c r="E516" s="901"/>
      <c r="F516" s="902"/>
      <c r="G516" s="902"/>
      <c r="H516" s="903"/>
      <c r="I516" s="900"/>
      <c r="J516" s="900"/>
      <c r="K516" s="902"/>
      <c r="L516" s="904"/>
      <c r="M516" s="904"/>
      <c r="N516" s="905"/>
      <c r="O516" s="905"/>
      <c r="P516" s="906"/>
      <c r="Q516" s="906"/>
      <c r="R516" s="907"/>
      <c r="S516" s="908"/>
      <c r="T516" s="901"/>
      <c r="U516" s="902"/>
      <c r="V516" s="909"/>
      <c r="W516" s="909"/>
      <c r="X516" s="909"/>
      <c r="Y516" s="909"/>
      <c r="Z516" s="909"/>
      <c r="AA516" s="909"/>
      <c r="AB516" s="909"/>
      <c r="AC516" s="909"/>
      <c r="AD516" s="909"/>
    </row>
    <row r="517" s="141" customFormat="1" customHeight="1" spans="1:30">
      <c r="A517" s="900"/>
      <c r="B517" s="900"/>
      <c r="C517" s="900"/>
      <c r="D517" s="901"/>
      <c r="E517" s="901"/>
      <c r="F517" s="902"/>
      <c r="G517" s="902"/>
      <c r="H517" s="903"/>
      <c r="I517" s="900"/>
      <c r="J517" s="900"/>
      <c r="K517" s="902"/>
      <c r="L517" s="904"/>
      <c r="M517" s="904"/>
      <c r="N517" s="905"/>
      <c r="O517" s="905"/>
      <c r="P517" s="906"/>
      <c r="Q517" s="906"/>
      <c r="R517" s="907"/>
      <c r="S517" s="908"/>
      <c r="T517" s="901"/>
      <c r="U517" s="902"/>
      <c r="V517" s="909"/>
      <c r="W517" s="909"/>
      <c r="X517" s="909"/>
      <c r="Y517" s="909"/>
      <c r="Z517" s="909"/>
      <c r="AA517" s="909"/>
      <c r="AB517" s="909"/>
      <c r="AC517" s="909"/>
      <c r="AD517" s="909"/>
    </row>
    <row r="518" s="141" customFormat="1" customHeight="1" spans="1:30">
      <c r="A518" s="900"/>
      <c r="B518" s="900"/>
      <c r="C518" s="900"/>
      <c r="D518" s="901"/>
      <c r="E518" s="901"/>
      <c r="F518" s="902"/>
      <c r="G518" s="902"/>
      <c r="H518" s="903"/>
      <c r="I518" s="900"/>
      <c r="J518" s="900"/>
      <c r="K518" s="902"/>
      <c r="L518" s="904"/>
      <c r="M518" s="904"/>
      <c r="N518" s="905"/>
      <c r="O518" s="905"/>
      <c r="P518" s="906"/>
      <c r="Q518" s="906"/>
      <c r="R518" s="907"/>
      <c r="S518" s="908"/>
      <c r="T518" s="901"/>
      <c r="U518" s="902"/>
      <c r="V518" s="909"/>
      <c r="W518" s="909"/>
      <c r="X518" s="909"/>
      <c r="Y518" s="909"/>
      <c r="Z518" s="909"/>
      <c r="AA518" s="909"/>
      <c r="AB518" s="909"/>
      <c r="AC518" s="909"/>
      <c r="AD518" s="909"/>
    </row>
    <row r="519" s="141" customFormat="1" customHeight="1" spans="1:30">
      <c r="A519" s="900"/>
      <c r="B519" s="900"/>
      <c r="C519" s="900"/>
      <c r="D519" s="901"/>
      <c r="E519" s="901"/>
      <c r="F519" s="902"/>
      <c r="G519" s="902"/>
      <c r="H519" s="903"/>
      <c r="I519" s="900"/>
      <c r="J519" s="900"/>
      <c r="K519" s="902"/>
      <c r="L519" s="904"/>
      <c r="M519" s="904"/>
      <c r="N519" s="905"/>
      <c r="O519" s="905"/>
      <c r="P519" s="906"/>
      <c r="Q519" s="906"/>
      <c r="R519" s="907"/>
      <c r="S519" s="908"/>
      <c r="T519" s="901"/>
      <c r="U519" s="902"/>
      <c r="V519" s="909"/>
      <c r="W519" s="909"/>
      <c r="X519" s="909"/>
      <c r="Y519" s="909"/>
      <c r="Z519" s="909"/>
      <c r="AA519" s="909"/>
      <c r="AB519" s="909"/>
      <c r="AC519" s="909"/>
      <c r="AD519" s="909"/>
    </row>
    <row r="520" s="141" customFormat="1" customHeight="1" spans="1:30">
      <c r="A520" s="900"/>
      <c r="B520" s="900"/>
      <c r="C520" s="900"/>
      <c r="D520" s="901"/>
      <c r="E520" s="901"/>
      <c r="F520" s="902"/>
      <c r="G520" s="902"/>
      <c r="H520" s="903"/>
      <c r="I520" s="900"/>
      <c r="J520" s="900"/>
      <c r="K520" s="902"/>
      <c r="L520" s="904"/>
      <c r="M520" s="904"/>
      <c r="N520" s="905"/>
      <c r="O520" s="905"/>
      <c r="P520" s="906"/>
      <c r="Q520" s="906"/>
      <c r="R520" s="907"/>
      <c r="S520" s="908"/>
      <c r="T520" s="901"/>
      <c r="U520" s="902"/>
      <c r="V520" s="909"/>
      <c r="W520" s="909"/>
      <c r="X520" s="909"/>
      <c r="Y520" s="909"/>
      <c r="Z520" s="909"/>
      <c r="AA520" s="909"/>
      <c r="AB520" s="909"/>
      <c r="AC520" s="909"/>
      <c r="AD520" s="909"/>
    </row>
    <row r="521" s="141" customFormat="1" customHeight="1" spans="1:30">
      <c r="A521" s="900"/>
      <c r="B521" s="900"/>
      <c r="C521" s="900"/>
      <c r="D521" s="901"/>
      <c r="E521" s="901"/>
      <c r="F521" s="902"/>
      <c r="G521" s="902"/>
      <c r="H521" s="903"/>
      <c r="I521" s="900"/>
      <c r="J521" s="900"/>
      <c r="K521" s="902"/>
      <c r="L521" s="904"/>
      <c r="M521" s="904"/>
      <c r="N521" s="905"/>
      <c r="O521" s="905"/>
      <c r="P521" s="906"/>
      <c r="Q521" s="906"/>
      <c r="R521" s="907"/>
      <c r="S521" s="908"/>
      <c r="T521" s="901"/>
      <c r="U521" s="902"/>
      <c r="V521" s="909"/>
      <c r="W521" s="909"/>
      <c r="X521" s="909"/>
      <c r="Y521" s="909"/>
      <c r="Z521" s="909"/>
      <c r="AA521" s="909"/>
      <c r="AB521" s="909"/>
      <c r="AC521" s="909"/>
      <c r="AD521" s="909"/>
    </row>
    <row r="522" s="141" customFormat="1" customHeight="1" spans="1:30">
      <c r="A522" s="900"/>
      <c r="B522" s="900"/>
      <c r="C522" s="900"/>
      <c r="D522" s="901"/>
      <c r="E522" s="901"/>
      <c r="F522" s="902"/>
      <c r="G522" s="902"/>
      <c r="H522" s="903"/>
      <c r="I522" s="900"/>
      <c r="J522" s="900"/>
      <c r="K522" s="902"/>
      <c r="L522" s="904"/>
      <c r="M522" s="904"/>
      <c r="N522" s="905"/>
      <c r="O522" s="905"/>
      <c r="P522" s="906"/>
      <c r="Q522" s="906"/>
      <c r="R522" s="907"/>
      <c r="S522" s="908"/>
      <c r="T522" s="901"/>
      <c r="U522" s="902"/>
      <c r="V522" s="909"/>
      <c r="W522" s="909"/>
      <c r="X522" s="909"/>
      <c r="Y522" s="909"/>
      <c r="Z522" s="909"/>
      <c r="AA522" s="909"/>
      <c r="AB522" s="909"/>
      <c r="AC522" s="909"/>
      <c r="AD522" s="909"/>
    </row>
    <row r="523" s="141" customFormat="1" customHeight="1" spans="1:30">
      <c r="A523" s="900"/>
      <c r="B523" s="900"/>
      <c r="C523" s="900"/>
      <c r="D523" s="901"/>
      <c r="E523" s="901"/>
      <c r="F523" s="902"/>
      <c r="G523" s="902"/>
      <c r="H523" s="903"/>
      <c r="I523" s="900"/>
      <c r="J523" s="900"/>
      <c r="K523" s="902"/>
      <c r="L523" s="904"/>
      <c r="M523" s="904"/>
      <c r="N523" s="905"/>
      <c r="O523" s="905"/>
      <c r="P523" s="906"/>
      <c r="Q523" s="906"/>
      <c r="R523" s="907"/>
      <c r="S523" s="908"/>
      <c r="T523" s="901"/>
      <c r="U523" s="902"/>
      <c r="V523" s="909"/>
      <c r="W523" s="909"/>
      <c r="X523" s="909"/>
      <c r="Y523" s="909"/>
      <c r="Z523" s="909"/>
      <c r="AA523" s="909"/>
      <c r="AB523" s="909"/>
      <c r="AC523" s="909"/>
      <c r="AD523" s="909"/>
    </row>
    <row r="524" s="141" customFormat="1" customHeight="1" spans="1:30">
      <c r="A524" s="900"/>
      <c r="B524" s="900"/>
      <c r="C524" s="900"/>
      <c r="D524" s="901"/>
      <c r="E524" s="901"/>
      <c r="F524" s="902"/>
      <c r="G524" s="902"/>
      <c r="H524" s="903"/>
      <c r="I524" s="900"/>
      <c r="J524" s="900"/>
      <c r="K524" s="902"/>
      <c r="L524" s="904"/>
      <c r="M524" s="904"/>
      <c r="N524" s="905"/>
      <c r="O524" s="905"/>
      <c r="P524" s="906"/>
      <c r="Q524" s="906"/>
      <c r="R524" s="907"/>
      <c r="S524" s="908"/>
      <c r="T524" s="901"/>
      <c r="U524" s="902"/>
      <c r="V524" s="909"/>
      <c r="W524" s="909"/>
      <c r="X524" s="909"/>
      <c r="Y524" s="909"/>
      <c r="Z524" s="909"/>
      <c r="AA524" s="909"/>
      <c r="AB524" s="909"/>
      <c r="AC524" s="909"/>
      <c r="AD524" s="909"/>
    </row>
    <row r="525" s="141" customFormat="1" customHeight="1" spans="1:30">
      <c r="A525" s="900"/>
      <c r="B525" s="900"/>
      <c r="C525" s="900"/>
      <c r="D525" s="901"/>
      <c r="E525" s="901"/>
      <c r="F525" s="902"/>
      <c r="G525" s="902"/>
      <c r="H525" s="903"/>
      <c r="I525" s="900"/>
      <c r="J525" s="900"/>
      <c r="K525" s="902"/>
      <c r="L525" s="904"/>
      <c r="M525" s="904"/>
      <c r="N525" s="905"/>
      <c r="O525" s="905"/>
      <c r="P525" s="906"/>
      <c r="Q525" s="906"/>
      <c r="R525" s="907"/>
      <c r="S525" s="908"/>
      <c r="T525" s="901"/>
      <c r="U525" s="902"/>
      <c r="V525" s="909"/>
      <c r="W525" s="909"/>
      <c r="X525" s="909"/>
      <c r="Y525" s="909"/>
      <c r="Z525" s="909"/>
      <c r="AA525" s="909"/>
      <c r="AB525" s="909"/>
      <c r="AC525" s="909"/>
      <c r="AD525" s="909"/>
    </row>
    <row r="526" s="141" customFormat="1" customHeight="1" spans="1:30">
      <c r="A526" s="900"/>
      <c r="B526" s="900"/>
      <c r="C526" s="900"/>
      <c r="D526" s="901"/>
      <c r="E526" s="901"/>
      <c r="F526" s="902"/>
      <c r="G526" s="902"/>
      <c r="H526" s="903"/>
      <c r="I526" s="900"/>
      <c r="J526" s="900"/>
      <c r="K526" s="902"/>
      <c r="L526" s="904"/>
      <c r="M526" s="904"/>
      <c r="N526" s="905"/>
      <c r="O526" s="905"/>
      <c r="P526" s="906"/>
      <c r="Q526" s="906"/>
      <c r="R526" s="907"/>
      <c r="S526" s="908"/>
      <c r="T526" s="901"/>
      <c r="U526" s="902"/>
      <c r="V526" s="909"/>
      <c r="W526" s="909"/>
      <c r="X526" s="909"/>
      <c r="Y526" s="909"/>
      <c r="Z526" s="909"/>
      <c r="AA526" s="909"/>
      <c r="AB526" s="909"/>
      <c r="AC526" s="909"/>
      <c r="AD526" s="909"/>
    </row>
    <row r="527" s="141" customFormat="1" customHeight="1" spans="1:30">
      <c r="A527" s="900"/>
      <c r="B527" s="900"/>
      <c r="C527" s="900"/>
      <c r="D527" s="901"/>
      <c r="E527" s="901"/>
      <c r="F527" s="902"/>
      <c r="G527" s="902"/>
      <c r="H527" s="903"/>
      <c r="I527" s="900"/>
      <c r="J527" s="900"/>
      <c r="K527" s="902"/>
      <c r="L527" s="904"/>
      <c r="M527" s="904"/>
      <c r="N527" s="905"/>
      <c r="O527" s="905"/>
      <c r="P527" s="906"/>
      <c r="Q527" s="906"/>
      <c r="R527" s="907"/>
      <c r="S527" s="908"/>
      <c r="T527" s="901"/>
      <c r="U527" s="902"/>
      <c r="V527" s="909"/>
      <c r="W527" s="909"/>
      <c r="X527" s="909"/>
      <c r="Y527" s="909"/>
      <c r="Z527" s="909"/>
      <c r="AA527" s="909"/>
      <c r="AB527" s="909"/>
      <c r="AC527" s="909"/>
      <c r="AD527" s="909"/>
    </row>
    <row r="528" s="141" customFormat="1" customHeight="1" spans="1:30">
      <c r="A528" s="900"/>
      <c r="B528" s="900"/>
      <c r="C528" s="900"/>
      <c r="D528" s="901"/>
      <c r="E528" s="901"/>
      <c r="F528" s="902"/>
      <c r="G528" s="902"/>
      <c r="H528" s="903"/>
      <c r="I528" s="900"/>
      <c r="J528" s="900"/>
      <c r="K528" s="902"/>
      <c r="L528" s="904"/>
      <c r="M528" s="904"/>
      <c r="N528" s="905"/>
      <c r="O528" s="905"/>
      <c r="P528" s="906"/>
      <c r="Q528" s="906"/>
      <c r="R528" s="907"/>
      <c r="S528" s="908"/>
      <c r="T528" s="901"/>
      <c r="U528" s="902"/>
      <c r="V528" s="909"/>
      <c r="W528" s="909"/>
      <c r="X528" s="909"/>
      <c r="Y528" s="909"/>
      <c r="Z528" s="909"/>
      <c r="AA528" s="909"/>
      <c r="AB528" s="909"/>
      <c r="AC528" s="909"/>
      <c r="AD528" s="909"/>
    </row>
    <row r="529" s="141" customFormat="1" customHeight="1" spans="1:30">
      <c r="A529" s="900"/>
      <c r="B529" s="900"/>
      <c r="C529" s="900"/>
      <c r="D529" s="901"/>
      <c r="E529" s="901"/>
      <c r="F529" s="902"/>
      <c r="G529" s="902"/>
      <c r="H529" s="903"/>
      <c r="I529" s="900"/>
      <c r="J529" s="900"/>
      <c r="K529" s="902"/>
      <c r="L529" s="904"/>
      <c r="M529" s="904"/>
      <c r="N529" s="905"/>
      <c r="O529" s="905"/>
      <c r="P529" s="906"/>
      <c r="Q529" s="906"/>
      <c r="R529" s="907"/>
      <c r="S529" s="908"/>
      <c r="T529" s="901"/>
      <c r="U529" s="902"/>
      <c r="V529" s="909"/>
      <c r="W529" s="909"/>
      <c r="X529" s="909"/>
      <c r="Y529" s="909"/>
      <c r="Z529" s="909"/>
      <c r="AA529" s="909"/>
      <c r="AB529" s="909"/>
      <c r="AC529" s="909"/>
      <c r="AD529" s="909"/>
    </row>
    <row r="530" s="141" customFormat="1" customHeight="1" spans="1:30">
      <c r="A530" s="900"/>
      <c r="B530" s="900"/>
      <c r="C530" s="900"/>
      <c r="D530" s="901"/>
      <c r="E530" s="901"/>
      <c r="F530" s="902"/>
      <c r="G530" s="902"/>
      <c r="H530" s="903"/>
      <c r="I530" s="900"/>
      <c r="J530" s="900"/>
      <c r="K530" s="902"/>
      <c r="L530" s="904"/>
      <c r="M530" s="904"/>
      <c r="N530" s="905"/>
      <c r="O530" s="905"/>
      <c r="P530" s="906"/>
      <c r="Q530" s="906"/>
      <c r="R530" s="907"/>
      <c r="S530" s="908"/>
      <c r="T530" s="901"/>
      <c r="U530" s="902"/>
      <c r="V530" s="909"/>
      <c r="W530" s="909"/>
      <c r="X530" s="909"/>
      <c r="Y530" s="909"/>
      <c r="Z530" s="909"/>
      <c r="AA530" s="909"/>
      <c r="AB530" s="909"/>
      <c r="AC530" s="909"/>
      <c r="AD530" s="909"/>
    </row>
    <row r="531" s="141" customFormat="1" customHeight="1" spans="1:30">
      <c r="A531" s="900"/>
      <c r="B531" s="900"/>
      <c r="C531" s="900"/>
      <c r="D531" s="901"/>
      <c r="E531" s="901"/>
      <c r="F531" s="902"/>
      <c r="G531" s="902"/>
      <c r="H531" s="903"/>
      <c r="I531" s="900"/>
      <c r="J531" s="900"/>
      <c r="K531" s="902"/>
      <c r="L531" s="904"/>
      <c r="M531" s="904"/>
      <c r="N531" s="905"/>
      <c r="O531" s="905"/>
      <c r="P531" s="906"/>
      <c r="Q531" s="906"/>
      <c r="R531" s="907"/>
      <c r="S531" s="908"/>
      <c r="T531" s="901"/>
      <c r="U531" s="902"/>
      <c r="V531" s="909"/>
      <c r="W531" s="909"/>
      <c r="X531" s="909"/>
      <c r="Y531" s="909"/>
      <c r="Z531" s="909"/>
      <c r="AA531" s="909"/>
      <c r="AB531" s="909"/>
      <c r="AC531" s="909"/>
      <c r="AD531" s="909"/>
    </row>
    <row r="532" s="141" customFormat="1" customHeight="1" spans="1:30">
      <c r="A532" s="900"/>
      <c r="B532" s="900"/>
      <c r="C532" s="900"/>
      <c r="D532" s="901"/>
      <c r="E532" s="901"/>
      <c r="F532" s="902"/>
      <c r="G532" s="902"/>
      <c r="H532" s="903"/>
      <c r="I532" s="900"/>
      <c r="J532" s="900"/>
      <c r="K532" s="902"/>
      <c r="L532" s="904"/>
      <c r="M532" s="904"/>
      <c r="N532" s="905"/>
      <c r="O532" s="905"/>
      <c r="P532" s="906"/>
      <c r="Q532" s="906"/>
      <c r="R532" s="907"/>
      <c r="S532" s="908"/>
      <c r="T532" s="901"/>
      <c r="U532" s="902"/>
      <c r="V532" s="909"/>
      <c r="W532" s="909"/>
      <c r="X532" s="909"/>
      <c r="Y532" s="909"/>
      <c r="Z532" s="909"/>
      <c r="AA532" s="909"/>
      <c r="AB532" s="909"/>
      <c r="AC532" s="909"/>
      <c r="AD532" s="909"/>
    </row>
    <row r="533" s="141" customFormat="1" customHeight="1" spans="1:30">
      <c r="A533" s="900"/>
      <c r="B533" s="900"/>
      <c r="C533" s="900"/>
      <c r="D533" s="901"/>
      <c r="E533" s="901"/>
      <c r="F533" s="902"/>
      <c r="G533" s="902"/>
      <c r="H533" s="903"/>
      <c r="I533" s="900"/>
      <c r="J533" s="900"/>
      <c r="K533" s="902"/>
      <c r="L533" s="904"/>
      <c r="M533" s="904"/>
      <c r="N533" s="905"/>
      <c r="O533" s="905"/>
      <c r="P533" s="906"/>
      <c r="Q533" s="906"/>
      <c r="R533" s="907"/>
      <c r="S533" s="908"/>
      <c r="T533" s="901"/>
      <c r="U533" s="902"/>
      <c r="V533" s="909"/>
      <c r="W533" s="909"/>
      <c r="X533" s="909"/>
      <c r="Y533" s="909"/>
      <c r="Z533" s="909"/>
      <c r="AA533" s="909"/>
      <c r="AB533" s="909"/>
      <c r="AC533" s="909"/>
      <c r="AD533" s="909"/>
    </row>
    <row r="534" s="141" customFormat="1" customHeight="1" spans="1:30">
      <c r="A534" s="900"/>
      <c r="B534" s="900"/>
      <c r="C534" s="900"/>
      <c r="D534" s="901"/>
      <c r="E534" s="901"/>
      <c r="F534" s="902"/>
      <c r="G534" s="902"/>
      <c r="H534" s="903"/>
      <c r="I534" s="900"/>
      <c r="J534" s="900"/>
      <c r="K534" s="902"/>
      <c r="L534" s="904"/>
      <c r="M534" s="904"/>
      <c r="N534" s="905"/>
      <c r="O534" s="905"/>
      <c r="P534" s="906"/>
      <c r="Q534" s="906"/>
      <c r="R534" s="907"/>
      <c r="S534" s="908"/>
      <c r="T534" s="901"/>
      <c r="U534" s="902"/>
      <c r="V534" s="909"/>
      <c r="W534" s="909"/>
      <c r="X534" s="909"/>
      <c r="Y534" s="909"/>
      <c r="Z534" s="909"/>
      <c r="AA534" s="909"/>
      <c r="AB534" s="909"/>
      <c r="AC534" s="909"/>
      <c r="AD534" s="909"/>
    </row>
    <row r="535" s="141" customFormat="1" customHeight="1" spans="1:30">
      <c r="A535" s="900"/>
      <c r="B535" s="900"/>
      <c r="C535" s="900"/>
      <c r="D535" s="901"/>
      <c r="E535" s="901"/>
      <c r="F535" s="902"/>
      <c r="G535" s="902"/>
      <c r="H535" s="903"/>
      <c r="I535" s="900"/>
      <c r="J535" s="900"/>
      <c r="K535" s="902"/>
      <c r="L535" s="904"/>
      <c r="M535" s="904"/>
      <c r="N535" s="905"/>
      <c r="O535" s="905"/>
      <c r="P535" s="906"/>
      <c r="Q535" s="906"/>
      <c r="R535" s="907"/>
      <c r="S535" s="908"/>
      <c r="T535" s="901"/>
      <c r="U535" s="902"/>
      <c r="V535" s="909"/>
      <c r="W535" s="909"/>
      <c r="X535" s="909"/>
      <c r="Y535" s="909"/>
      <c r="Z535" s="909"/>
      <c r="AA535" s="909"/>
      <c r="AB535" s="909"/>
      <c r="AC535" s="909"/>
      <c r="AD535" s="909"/>
    </row>
    <row r="536" s="141" customFormat="1" customHeight="1" spans="1:30">
      <c r="A536" s="900"/>
      <c r="B536" s="900"/>
      <c r="C536" s="900"/>
      <c r="D536" s="901"/>
      <c r="E536" s="901"/>
      <c r="F536" s="902"/>
      <c r="G536" s="902"/>
      <c r="H536" s="903"/>
      <c r="I536" s="900"/>
      <c r="J536" s="900"/>
      <c r="K536" s="902"/>
      <c r="L536" s="904"/>
      <c r="M536" s="904"/>
      <c r="N536" s="905"/>
      <c r="O536" s="905"/>
      <c r="P536" s="906"/>
      <c r="Q536" s="906"/>
      <c r="R536" s="907"/>
      <c r="S536" s="908"/>
      <c r="T536" s="901"/>
      <c r="U536" s="902"/>
      <c r="V536" s="909"/>
      <c r="W536" s="909"/>
      <c r="X536" s="909"/>
      <c r="Y536" s="909"/>
      <c r="Z536" s="909"/>
      <c r="AA536" s="909"/>
      <c r="AB536" s="909"/>
      <c r="AC536" s="909"/>
      <c r="AD536" s="909"/>
    </row>
    <row r="537" s="141" customFormat="1" customHeight="1" spans="1:30">
      <c r="A537" s="900"/>
      <c r="B537" s="900"/>
      <c r="C537" s="900"/>
      <c r="D537" s="901"/>
      <c r="E537" s="901"/>
      <c r="F537" s="902"/>
      <c r="G537" s="902"/>
      <c r="H537" s="903"/>
      <c r="I537" s="900"/>
      <c r="J537" s="900"/>
      <c r="K537" s="902"/>
      <c r="L537" s="904"/>
      <c r="M537" s="904"/>
      <c r="N537" s="905"/>
      <c r="O537" s="905"/>
      <c r="P537" s="906"/>
      <c r="Q537" s="906"/>
      <c r="R537" s="907"/>
      <c r="S537" s="908"/>
      <c r="T537" s="901"/>
      <c r="U537" s="902"/>
      <c r="V537" s="909"/>
      <c r="W537" s="909"/>
      <c r="X537" s="909"/>
      <c r="Y537" s="909"/>
      <c r="Z537" s="909"/>
      <c r="AA537" s="909"/>
      <c r="AB537" s="909"/>
      <c r="AC537" s="909"/>
      <c r="AD537" s="909"/>
    </row>
    <row r="538" s="141" customFormat="1" customHeight="1" spans="1:30">
      <c r="A538" s="900"/>
      <c r="B538" s="900"/>
      <c r="C538" s="900"/>
      <c r="D538" s="901"/>
      <c r="E538" s="901"/>
      <c r="F538" s="902"/>
      <c r="G538" s="902"/>
      <c r="H538" s="903"/>
      <c r="I538" s="900"/>
      <c r="J538" s="900"/>
      <c r="K538" s="902"/>
      <c r="L538" s="904"/>
      <c r="M538" s="904"/>
      <c r="N538" s="905"/>
      <c r="O538" s="905"/>
      <c r="P538" s="906"/>
      <c r="Q538" s="906"/>
      <c r="R538" s="907"/>
      <c r="S538" s="908"/>
      <c r="T538" s="901"/>
      <c r="U538" s="902"/>
      <c r="V538" s="909"/>
      <c r="W538" s="909"/>
      <c r="X538" s="909"/>
      <c r="Y538" s="909"/>
      <c r="Z538" s="909"/>
      <c r="AA538" s="909"/>
      <c r="AB538" s="909"/>
      <c r="AC538" s="909"/>
      <c r="AD538" s="909"/>
    </row>
    <row r="539" s="141" customFormat="1" customHeight="1" spans="1:30">
      <c r="A539" s="900"/>
      <c r="B539" s="900"/>
      <c r="C539" s="900"/>
      <c r="D539" s="901"/>
      <c r="E539" s="901"/>
      <c r="F539" s="902"/>
      <c r="G539" s="902"/>
      <c r="H539" s="903"/>
      <c r="I539" s="900"/>
      <c r="J539" s="900"/>
      <c r="K539" s="902"/>
      <c r="L539" s="904"/>
      <c r="M539" s="904"/>
      <c r="N539" s="905"/>
      <c r="O539" s="905"/>
      <c r="P539" s="906"/>
      <c r="Q539" s="906"/>
      <c r="R539" s="907"/>
      <c r="S539" s="908"/>
      <c r="T539" s="901"/>
      <c r="U539" s="902"/>
      <c r="V539" s="909"/>
      <c r="W539" s="909"/>
      <c r="X539" s="909"/>
      <c r="Y539" s="909"/>
      <c r="Z539" s="909"/>
      <c r="AA539" s="909"/>
      <c r="AB539" s="909"/>
      <c r="AC539" s="909"/>
      <c r="AD539" s="909"/>
    </row>
    <row r="540" s="141" customFormat="1" customHeight="1" spans="1:30">
      <c r="A540" s="900"/>
      <c r="B540" s="900"/>
      <c r="C540" s="900"/>
      <c r="D540" s="901"/>
      <c r="E540" s="901"/>
      <c r="F540" s="902"/>
      <c r="G540" s="902"/>
      <c r="H540" s="903"/>
      <c r="I540" s="900"/>
      <c r="J540" s="900"/>
      <c r="K540" s="902"/>
      <c r="L540" s="904"/>
      <c r="M540" s="904"/>
      <c r="N540" s="905"/>
      <c r="O540" s="905"/>
      <c r="P540" s="906"/>
      <c r="Q540" s="906"/>
      <c r="R540" s="907"/>
      <c r="S540" s="908"/>
      <c r="T540" s="901"/>
      <c r="U540" s="902"/>
      <c r="V540" s="909"/>
      <c r="W540" s="909"/>
      <c r="X540" s="909"/>
      <c r="Y540" s="909"/>
      <c r="Z540" s="909"/>
      <c r="AA540" s="909"/>
      <c r="AB540" s="909"/>
      <c r="AC540" s="909"/>
      <c r="AD540" s="909"/>
    </row>
    <row r="541" s="141" customFormat="1" customHeight="1" spans="1:30">
      <c r="A541" s="900"/>
      <c r="B541" s="900"/>
      <c r="C541" s="900"/>
      <c r="D541" s="901"/>
      <c r="E541" s="901"/>
      <c r="F541" s="902"/>
      <c r="G541" s="902"/>
      <c r="H541" s="903"/>
      <c r="I541" s="900"/>
      <c r="J541" s="900"/>
      <c r="K541" s="902"/>
      <c r="L541" s="904"/>
      <c r="M541" s="904"/>
      <c r="N541" s="905"/>
      <c r="O541" s="905"/>
      <c r="P541" s="906"/>
      <c r="Q541" s="906"/>
      <c r="R541" s="907"/>
      <c r="S541" s="908"/>
      <c r="T541" s="901"/>
      <c r="U541" s="902"/>
      <c r="V541" s="909"/>
      <c r="W541" s="909"/>
      <c r="X541" s="909"/>
      <c r="Y541" s="909"/>
      <c r="Z541" s="909"/>
      <c r="AA541" s="909"/>
      <c r="AB541" s="909"/>
      <c r="AC541" s="909"/>
      <c r="AD541" s="909"/>
    </row>
    <row r="542" s="141" customFormat="1" customHeight="1" spans="1:30">
      <c r="A542" s="900"/>
      <c r="B542" s="900"/>
      <c r="C542" s="900"/>
      <c r="D542" s="901"/>
      <c r="E542" s="901"/>
      <c r="F542" s="902"/>
      <c r="G542" s="902"/>
      <c r="H542" s="903"/>
      <c r="I542" s="900"/>
      <c r="J542" s="900"/>
      <c r="K542" s="902"/>
      <c r="L542" s="904"/>
      <c r="M542" s="904"/>
      <c r="N542" s="905"/>
      <c r="O542" s="905"/>
      <c r="P542" s="906"/>
      <c r="Q542" s="906"/>
      <c r="R542" s="907"/>
      <c r="S542" s="908"/>
      <c r="T542" s="901"/>
      <c r="U542" s="902"/>
      <c r="V542" s="909"/>
      <c r="W542" s="909"/>
      <c r="X542" s="909"/>
      <c r="Y542" s="909"/>
      <c r="Z542" s="909"/>
      <c r="AA542" s="909"/>
      <c r="AB542" s="909"/>
      <c r="AC542" s="909"/>
      <c r="AD542" s="909"/>
    </row>
    <row r="543" s="141" customFormat="1" customHeight="1" spans="1:30">
      <c r="A543" s="900"/>
      <c r="B543" s="900"/>
      <c r="C543" s="900"/>
      <c r="D543" s="901"/>
      <c r="E543" s="901"/>
      <c r="F543" s="902"/>
      <c r="G543" s="902"/>
      <c r="H543" s="903"/>
      <c r="I543" s="900"/>
      <c r="J543" s="900"/>
      <c r="K543" s="902"/>
      <c r="L543" s="904"/>
      <c r="M543" s="904"/>
      <c r="N543" s="905"/>
      <c r="O543" s="905"/>
      <c r="P543" s="906"/>
      <c r="Q543" s="906"/>
      <c r="R543" s="907"/>
      <c r="S543" s="908"/>
      <c r="T543" s="901"/>
      <c r="U543" s="902"/>
      <c r="V543" s="909"/>
      <c r="W543" s="909"/>
      <c r="X543" s="909"/>
      <c r="Y543" s="909"/>
      <c r="Z543" s="909"/>
      <c r="AA543" s="909"/>
      <c r="AB543" s="909"/>
      <c r="AC543" s="909"/>
      <c r="AD543" s="909"/>
    </row>
    <row r="544" s="141" customFormat="1" customHeight="1" spans="1:30">
      <c r="A544" s="900"/>
      <c r="B544" s="900"/>
      <c r="C544" s="900"/>
      <c r="D544" s="901"/>
      <c r="E544" s="901"/>
      <c r="F544" s="902"/>
      <c r="G544" s="902"/>
      <c r="H544" s="903"/>
      <c r="I544" s="900"/>
      <c r="J544" s="900"/>
      <c r="K544" s="902"/>
      <c r="L544" s="904"/>
      <c r="M544" s="904"/>
      <c r="N544" s="905"/>
      <c r="O544" s="905"/>
      <c r="P544" s="906"/>
      <c r="Q544" s="906"/>
      <c r="R544" s="907"/>
      <c r="S544" s="908"/>
      <c r="T544" s="901"/>
      <c r="U544" s="902"/>
      <c r="V544" s="909"/>
      <c r="W544" s="909"/>
      <c r="X544" s="909"/>
      <c r="Y544" s="909"/>
      <c r="Z544" s="909"/>
      <c r="AA544" s="909"/>
      <c r="AB544" s="909"/>
      <c r="AC544" s="909"/>
      <c r="AD544" s="909"/>
    </row>
    <row r="545" s="141" customFormat="1" customHeight="1" spans="1:30">
      <c r="A545" s="900"/>
      <c r="B545" s="900"/>
      <c r="C545" s="900"/>
      <c r="D545" s="901"/>
      <c r="E545" s="901"/>
      <c r="F545" s="902"/>
      <c r="G545" s="902"/>
      <c r="H545" s="903"/>
      <c r="I545" s="900"/>
      <c r="J545" s="900"/>
      <c r="K545" s="902"/>
      <c r="L545" s="904"/>
      <c r="M545" s="904"/>
      <c r="N545" s="905"/>
      <c r="O545" s="905"/>
      <c r="P545" s="906"/>
      <c r="Q545" s="906"/>
      <c r="R545" s="907"/>
      <c r="S545" s="908"/>
      <c r="T545" s="901"/>
      <c r="U545" s="902"/>
      <c r="V545" s="909"/>
      <c r="W545" s="909"/>
      <c r="X545" s="909"/>
      <c r="Y545" s="909"/>
      <c r="Z545" s="909"/>
      <c r="AA545" s="909"/>
      <c r="AB545" s="909"/>
      <c r="AC545" s="909"/>
      <c r="AD545" s="909"/>
    </row>
    <row r="546" s="141" customFormat="1" customHeight="1" spans="1:30">
      <c r="A546" s="900"/>
      <c r="B546" s="900"/>
      <c r="C546" s="900"/>
      <c r="D546" s="901"/>
      <c r="E546" s="901"/>
      <c r="F546" s="902"/>
      <c r="G546" s="902"/>
      <c r="H546" s="903"/>
      <c r="I546" s="900"/>
      <c r="J546" s="900"/>
      <c r="K546" s="902"/>
      <c r="L546" s="904"/>
      <c r="M546" s="904"/>
      <c r="N546" s="905"/>
      <c r="O546" s="905"/>
      <c r="P546" s="906"/>
      <c r="Q546" s="906"/>
      <c r="R546" s="907"/>
      <c r="S546" s="908"/>
      <c r="T546" s="901"/>
      <c r="U546" s="902"/>
      <c r="V546" s="909"/>
      <c r="W546" s="909"/>
      <c r="X546" s="909"/>
      <c r="Y546" s="909"/>
      <c r="Z546" s="909"/>
      <c r="AA546" s="909"/>
      <c r="AB546" s="909"/>
      <c r="AC546" s="909"/>
      <c r="AD546" s="909"/>
    </row>
    <row r="547" s="141" customFormat="1" customHeight="1" spans="1:30">
      <c r="A547" s="900"/>
      <c r="B547" s="900"/>
      <c r="C547" s="900"/>
      <c r="D547" s="901"/>
      <c r="E547" s="901"/>
      <c r="F547" s="902"/>
      <c r="G547" s="902"/>
      <c r="H547" s="903"/>
      <c r="I547" s="900"/>
      <c r="J547" s="900"/>
      <c r="K547" s="902"/>
      <c r="L547" s="904"/>
      <c r="M547" s="904"/>
      <c r="N547" s="905"/>
      <c r="O547" s="905"/>
      <c r="P547" s="906"/>
      <c r="Q547" s="906"/>
      <c r="R547" s="907"/>
      <c r="S547" s="908"/>
      <c r="T547" s="901"/>
      <c r="U547" s="902"/>
      <c r="V547" s="909"/>
      <c r="W547" s="909"/>
      <c r="X547" s="909"/>
      <c r="Y547" s="909"/>
      <c r="Z547" s="909"/>
      <c r="AA547" s="909"/>
      <c r="AB547" s="909"/>
      <c r="AC547" s="909"/>
      <c r="AD547" s="909"/>
    </row>
    <row r="548" s="141" customFormat="1" customHeight="1" spans="1:30">
      <c r="A548" s="900"/>
      <c r="B548" s="900"/>
      <c r="C548" s="900"/>
      <c r="D548" s="901"/>
      <c r="E548" s="901"/>
      <c r="F548" s="902"/>
      <c r="G548" s="902"/>
      <c r="H548" s="903"/>
      <c r="I548" s="900"/>
      <c r="J548" s="900"/>
      <c r="K548" s="902"/>
      <c r="L548" s="904"/>
      <c r="M548" s="904"/>
      <c r="N548" s="905"/>
      <c r="O548" s="905"/>
      <c r="P548" s="906"/>
      <c r="Q548" s="906"/>
      <c r="R548" s="907"/>
      <c r="S548" s="908"/>
      <c r="T548" s="901"/>
      <c r="U548" s="902"/>
      <c r="V548" s="909"/>
      <c r="W548" s="909"/>
      <c r="X548" s="909"/>
      <c r="Y548" s="909"/>
      <c r="Z548" s="909"/>
      <c r="AA548" s="909"/>
      <c r="AB548" s="909"/>
      <c r="AC548" s="909"/>
      <c r="AD548" s="909"/>
    </row>
    <row r="549" s="141" customFormat="1" customHeight="1" spans="1:30">
      <c r="A549" s="900"/>
      <c r="B549" s="900"/>
      <c r="C549" s="900"/>
      <c r="D549" s="901"/>
      <c r="E549" s="901"/>
      <c r="F549" s="902"/>
      <c r="G549" s="902"/>
      <c r="H549" s="903"/>
      <c r="I549" s="900"/>
      <c r="J549" s="900"/>
      <c r="K549" s="902"/>
      <c r="L549" s="904"/>
      <c r="M549" s="904"/>
      <c r="N549" s="905"/>
      <c r="O549" s="905"/>
      <c r="P549" s="906"/>
      <c r="Q549" s="906"/>
      <c r="R549" s="907"/>
      <c r="S549" s="908"/>
      <c r="T549" s="901"/>
      <c r="U549" s="902"/>
      <c r="V549" s="909"/>
      <c r="W549" s="909"/>
      <c r="X549" s="909"/>
      <c r="Y549" s="909"/>
      <c r="Z549" s="909"/>
      <c r="AA549" s="909"/>
      <c r="AB549" s="909"/>
      <c r="AC549" s="909"/>
      <c r="AD549" s="909"/>
    </row>
    <row r="550" s="141" customFormat="1" customHeight="1" spans="1:30">
      <c r="A550" s="900"/>
      <c r="B550" s="900"/>
      <c r="C550" s="900"/>
      <c r="D550" s="901"/>
      <c r="E550" s="901"/>
      <c r="F550" s="902"/>
      <c r="G550" s="902"/>
      <c r="H550" s="903"/>
      <c r="I550" s="900"/>
      <c r="J550" s="900"/>
      <c r="K550" s="902"/>
      <c r="L550" s="904"/>
      <c r="M550" s="904"/>
      <c r="N550" s="905"/>
      <c r="O550" s="905"/>
      <c r="P550" s="906"/>
      <c r="Q550" s="906"/>
      <c r="R550" s="907"/>
      <c r="S550" s="908"/>
      <c r="T550" s="901"/>
      <c r="U550" s="902"/>
      <c r="V550" s="909"/>
      <c r="W550" s="909"/>
      <c r="X550" s="909"/>
      <c r="Y550" s="909"/>
      <c r="Z550" s="909"/>
      <c r="AA550" s="909"/>
      <c r="AB550" s="909"/>
      <c r="AC550" s="909"/>
      <c r="AD550" s="909"/>
    </row>
    <row r="551" s="141" customFormat="1" customHeight="1" spans="1:30">
      <c r="A551" s="900"/>
      <c r="B551" s="900"/>
      <c r="C551" s="900"/>
      <c r="D551" s="901"/>
      <c r="E551" s="901"/>
      <c r="F551" s="902"/>
      <c r="G551" s="902"/>
      <c r="H551" s="903"/>
      <c r="I551" s="900"/>
      <c r="J551" s="900"/>
      <c r="K551" s="902"/>
      <c r="L551" s="904"/>
      <c r="M551" s="904"/>
      <c r="N551" s="905"/>
      <c r="O551" s="905"/>
      <c r="P551" s="906"/>
      <c r="Q551" s="906"/>
      <c r="R551" s="907"/>
      <c r="S551" s="908"/>
      <c r="T551" s="901"/>
      <c r="U551" s="902"/>
      <c r="V551" s="909"/>
      <c r="W551" s="909"/>
      <c r="X551" s="909"/>
      <c r="Y551" s="909"/>
      <c r="Z551" s="909"/>
      <c r="AA551" s="909"/>
      <c r="AB551" s="909"/>
      <c r="AC551" s="909"/>
      <c r="AD551" s="909"/>
    </row>
    <row r="552" s="141" customFormat="1" customHeight="1" spans="1:30">
      <c r="A552" s="900"/>
      <c r="B552" s="900"/>
      <c r="C552" s="900"/>
      <c r="D552" s="901"/>
      <c r="E552" s="901"/>
      <c r="F552" s="902"/>
      <c r="G552" s="902"/>
      <c r="H552" s="903"/>
      <c r="I552" s="900"/>
      <c r="J552" s="900"/>
      <c r="K552" s="902"/>
      <c r="L552" s="904"/>
      <c r="M552" s="904"/>
      <c r="N552" s="905"/>
      <c r="O552" s="905"/>
      <c r="P552" s="906"/>
      <c r="Q552" s="906"/>
      <c r="R552" s="907"/>
      <c r="S552" s="908"/>
      <c r="T552" s="901"/>
      <c r="U552" s="902"/>
      <c r="V552" s="909"/>
      <c r="W552" s="909"/>
      <c r="X552" s="909"/>
      <c r="Y552" s="909"/>
      <c r="Z552" s="909"/>
      <c r="AA552" s="909"/>
      <c r="AB552" s="909"/>
      <c r="AC552" s="909"/>
      <c r="AD552" s="909"/>
    </row>
    <row r="553" s="141" customFormat="1" customHeight="1" spans="1:30">
      <c r="A553" s="900"/>
      <c r="B553" s="900"/>
      <c r="C553" s="900"/>
      <c r="D553" s="901"/>
      <c r="E553" s="901"/>
      <c r="F553" s="902"/>
      <c r="G553" s="902"/>
      <c r="H553" s="903"/>
      <c r="I553" s="900"/>
      <c r="J553" s="900"/>
      <c r="K553" s="902"/>
      <c r="L553" s="904"/>
      <c r="M553" s="904"/>
      <c r="N553" s="905"/>
      <c r="O553" s="905"/>
      <c r="P553" s="906"/>
      <c r="Q553" s="906"/>
      <c r="R553" s="907"/>
      <c r="S553" s="908"/>
      <c r="T553" s="901"/>
      <c r="U553" s="902"/>
      <c r="V553" s="909"/>
      <c r="W553" s="909"/>
      <c r="X553" s="909"/>
      <c r="Y553" s="909"/>
      <c r="Z553" s="909"/>
      <c r="AA553" s="909"/>
      <c r="AB553" s="909"/>
      <c r="AC553" s="909"/>
      <c r="AD553" s="909"/>
    </row>
    <row r="554" s="141" customFormat="1" customHeight="1" spans="1:30">
      <c r="A554" s="900"/>
      <c r="B554" s="900"/>
      <c r="C554" s="900"/>
      <c r="D554" s="901"/>
      <c r="E554" s="901"/>
      <c r="F554" s="902"/>
      <c r="G554" s="902"/>
      <c r="H554" s="903"/>
      <c r="I554" s="900"/>
      <c r="J554" s="900"/>
      <c r="K554" s="902"/>
      <c r="L554" s="904"/>
      <c r="M554" s="904"/>
      <c r="N554" s="905"/>
      <c r="O554" s="905"/>
      <c r="P554" s="906"/>
      <c r="Q554" s="906"/>
      <c r="R554" s="907"/>
      <c r="S554" s="908"/>
      <c r="T554" s="901"/>
      <c r="U554" s="902"/>
      <c r="V554" s="909"/>
      <c r="W554" s="909"/>
      <c r="X554" s="909"/>
      <c r="Y554" s="909"/>
      <c r="Z554" s="909"/>
      <c r="AA554" s="909"/>
      <c r="AB554" s="909"/>
      <c r="AC554" s="909"/>
      <c r="AD554" s="909"/>
    </row>
    <row r="555" s="141" customFormat="1" customHeight="1" spans="1:30">
      <c r="A555" s="900"/>
      <c r="B555" s="900"/>
      <c r="C555" s="900"/>
      <c r="D555" s="901"/>
      <c r="E555" s="901"/>
      <c r="F555" s="902"/>
      <c r="G555" s="902"/>
      <c r="H555" s="903"/>
      <c r="I555" s="900"/>
      <c r="J555" s="900"/>
      <c r="K555" s="902"/>
      <c r="L555" s="904"/>
      <c r="M555" s="904"/>
      <c r="N555" s="905"/>
      <c r="O555" s="905"/>
      <c r="P555" s="906"/>
      <c r="Q555" s="906"/>
      <c r="R555" s="907"/>
      <c r="S555" s="908"/>
      <c r="T555" s="901"/>
      <c r="U555" s="902"/>
      <c r="V555" s="909"/>
      <c r="W555" s="909"/>
      <c r="X555" s="909"/>
      <c r="Y555" s="909"/>
      <c r="Z555" s="909"/>
      <c r="AA555" s="909"/>
      <c r="AB555" s="909"/>
      <c r="AC555" s="909"/>
      <c r="AD555" s="909"/>
    </row>
    <row r="556" s="141" customFormat="1" customHeight="1" spans="1:30">
      <c r="A556" s="900"/>
      <c r="B556" s="900"/>
      <c r="C556" s="900"/>
      <c r="D556" s="901"/>
      <c r="E556" s="901"/>
      <c r="F556" s="902"/>
      <c r="G556" s="902"/>
      <c r="H556" s="903"/>
      <c r="I556" s="900"/>
      <c r="J556" s="900"/>
      <c r="K556" s="902"/>
      <c r="L556" s="904"/>
      <c r="M556" s="904"/>
      <c r="N556" s="905"/>
      <c r="O556" s="905"/>
      <c r="P556" s="906"/>
      <c r="Q556" s="906"/>
      <c r="R556" s="907"/>
      <c r="S556" s="908"/>
      <c r="T556" s="901"/>
      <c r="U556" s="902"/>
      <c r="V556" s="909"/>
      <c r="W556" s="909"/>
      <c r="X556" s="909"/>
      <c r="Y556" s="909"/>
      <c r="Z556" s="909"/>
      <c r="AA556" s="909"/>
      <c r="AB556" s="909"/>
      <c r="AC556" s="909"/>
      <c r="AD556" s="909"/>
    </row>
    <row r="557" s="141" customFormat="1" customHeight="1" spans="1:30">
      <c r="A557" s="900"/>
      <c r="B557" s="900"/>
      <c r="C557" s="900"/>
      <c r="D557" s="901"/>
      <c r="E557" s="901"/>
      <c r="F557" s="902"/>
      <c r="G557" s="902"/>
      <c r="H557" s="903"/>
      <c r="I557" s="900"/>
      <c r="J557" s="900"/>
      <c r="K557" s="902"/>
      <c r="L557" s="904"/>
      <c r="M557" s="904"/>
      <c r="N557" s="905"/>
      <c r="O557" s="905"/>
      <c r="P557" s="906"/>
      <c r="Q557" s="906"/>
      <c r="R557" s="907"/>
      <c r="S557" s="908"/>
      <c r="T557" s="901"/>
      <c r="U557" s="902"/>
      <c r="V557" s="909"/>
      <c r="W557" s="909"/>
      <c r="X557" s="909"/>
      <c r="Y557" s="909"/>
      <c r="Z557" s="909"/>
      <c r="AA557" s="909"/>
      <c r="AB557" s="909"/>
      <c r="AC557" s="909"/>
      <c r="AD557" s="909"/>
    </row>
    <row r="558" s="141" customFormat="1" customHeight="1" spans="1:30">
      <c r="A558" s="900"/>
      <c r="B558" s="900"/>
      <c r="C558" s="900"/>
      <c r="D558" s="901"/>
      <c r="E558" s="901"/>
      <c r="F558" s="902"/>
      <c r="G558" s="902"/>
      <c r="H558" s="903"/>
      <c r="I558" s="900"/>
      <c r="J558" s="900"/>
      <c r="K558" s="902"/>
      <c r="L558" s="904"/>
      <c r="M558" s="904"/>
      <c r="N558" s="905"/>
      <c r="O558" s="905"/>
      <c r="P558" s="906"/>
      <c r="Q558" s="906"/>
      <c r="R558" s="907"/>
      <c r="S558" s="908"/>
      <c r="T558" s="901"/>
      <c r="U558" s="902"/>
      <c r="V558" s="909"/>
      <c r="W558" s="909"/>
      <c r="X558" s="909"/>
      <c r="Y558" s="909"/>
      <c r="Z558" s="909"/>
      <c r="AA558" s="909"/>
      <c r="AB558" s="909"/>
      <c r="AC558" s="909"/>
      <c r="AD558" s="909"/>
    </row>
    <row r="559" s="141" customFormat="1" customHeight="1" spans="1:30">
      <c r="A559" s="900"/>
      <c r="B559" s="900"/>
      <c r="C559" s="900"/>
      <c r="D559" s="901"/>
      <c r="E559" s="901"/>
      <c r="F559" s="902"/>
      <c r="G559" s="902"/>
      <c r="H559" s="903"/>
      <c r="I559" s="900"/>
      <c r="J559" s="900"/>
      <c r="K559" s="902"/>
      <c r="L559" s="904"/>
      <c r="M559" s="904"/>
      <c r="N559" s="905"/>
      <c r="O559" s="905"/>
      <c r="P559" s="906"/>
      <c r="Q559" s="906"/>
      <c r="R559" s="907"/>
      <c r="S559" s="908"/>
      <c r="T559" s="901"/>
      <c r="U559" s="902"/>
      <c r="V559" s="909"/>
      <c r="W559" s="909"/>
      <c r="X559" s="909"/>
      <c r="Y559" s="909"/>
      <c r="Z559" s="909"/>
      <c r="AA559" s="909"/>
      <c r="AB559" s="909"/>
      <c r="AC559" s="909"/>
      <c r="AD559" s="909"/>
    </row>
    <row r="560" s="141" customFormat="1" customHeight="1" spans="1:30">
      <c r="A560" s="900"/>
      <c r="B560" s="900"/>
      <c r="C560" s="900"/>
      <c r="D560" s="901"/>
      <c r="E560" s="901"/>
      <c r="F560" s="902"/>
      <c r="G560" s="902"/>
      <c r="H560" s="903"/>
      <c r="I560" s="900"/>
      <c r="J560" s="900"/>
      <c r="K560" s="902"/>
      <c r="L560" s="904"/>
      <c r="M560" s="904"/>
      <c r="N560" s="905"/>
      <c r="O560" s="905"/>
      <c r="P560" s="906"/>
      <c r="Q560" s="906"/>
      <c r="R560" s="907"/>
      <c r="S560" s="908"/>
      <c r="T560" s="901"/>
      <c r="U560" s="902"/>
      <c r="V560" s="909"/>
      <c r="W560" s="909"/>
      <c r="X560" s="909"/>
      <c r="Y560" s="909"/>
      <c r="Z560" s="909"/>
      <c r="AA560" s="909"/>
      <c r="AB560" s="909"/>
      <c r="AC560" s="909"/>
      <c r="AD560" s="909"/>
    </row>
    <row r="561" s="141" customFormat="1" customHeight="1" spans="1:30">
      <c r="A561" s="900"/>
      <c r="B561" s="900"/>
      <c r="C561" s="900"/>
      <c r="D561" s="901"/>
      <c r="E561" s="901"/>
      <c r="F561" s="902"/>
      <c r="G561" s="902"/>
      <c r="H561" s="903"/>
      <c r="I561" s="900"/>
      <c r="J561" s="900"/>
      <c r="K561" s="902"/>
      <c r="L561" s="904"/>
      <c r="M561" s="904"/>
      <c r="N561" s="905"/>
      <c r="O561" s="905"/>
      <c r="P561" s="906"/>
      <c r="Q561" s="906"/>
      <c r="R561" s="907"/>
      <c r="S561" s="908"/>
      <c r="T561" s="901"/>
      <c r="U561" s="902"/>
      <c r="V561" s="909"/>
      <c r="W561" s="909"/>
      <c r="X561" s="909"/>
      <c r="Y561" s="909"/>
      <c r="Z561" s="909"/>
      <c r="AA561" s="909"/>
      <c r="AB561" s="909"/>
      <c r="AC561" s="909"/>
      <c r="AD561" s="909"/>
    </row>
    <row r="562" s="141" customFormat="1" customHeight="1" spans="1:30">
      <c r="A562" s="900"/>
      <c r="B562" s="900"/>
      <c r="C562" s="900"/>
      <c r="D562" s="901"/>
      <c r="E562" s="901"/>
      <c r="F562" s="902"/>
      <c r="G562" s="902"/>
      <c r="H562" s="903"/>
      <c r="I562" s="900"/>
      <c r="J562" s="900"/>
      <c r="K562" s="902"/>
      <c r="L562" s="904"/>
      <c r="M562" s="904"/>
      <c r="N562" s="905"/>
      <c r="O562" s="905"/>
      <c r="P562" s="906"/>
      <c r="Q562" s="906"/>
      <c r="R562" s="907"/>
      <c r="S562" s="908"/>
      <c r="T562" s="901"/>
      <c r="U562" s="902"/>
      <c r="V562" s="909"/>
      <c r="W562" s="909"/>
      <c r="X562" s="909"/>
      <c r="Y562" s="909"/>
      <c r="Z562" s="909"/>
      <c r="AA562" s="909"/>
      <c r="AB562" s="909"/>
      <c r="AC562" s="909"/>
      <c r="AD562" s="909"/>
    </row>
    <row r="563" s="141" customFormat="1" customHeight="1" spans="1:30">
      <c r="A563" s="900"/>
      <c r="B563" s="900"/>
      <c r="C563" s="900"/>
      <c r="D563" s="901"/>
      <c r="E563" s="901"/>
      <c r="F563" s="902"/>
      <c r="G563" s="902"/>
      <c r="H563" s="903"/>
      <c r="I563" s="900"/>
      <c r="J563" s="900"/>
      <c r="K563" s="902"/>
      <c r="L563" s="904"/>
      <c r="M563" s="904"/>
      <c r="N563" s="905"/>
      <c r="O563" s="905"/>
      <c r="P563" s="906"/>
      <c r="Q563" s="906"/>
      <c r="R563" s="907"/>
      <c r="S563" s="908"/>
      <c r="T563" s="901"/>
      <c r="U563" s="902"/>
      <c r="V563" s="909"/>
      <c r="W563" s="909"/>
      <c r="X563" s="909"/>
      <c r="Y563" s="909"/>
      <c r="Z563" s="909"/>
      <c r="AA563" s="909"/>
      <c r="AB563" s="909"/>
      <c r="AC563" s="909"/>
      <c r="AD563" s="909"/>
    </row>
    <row r="564" s="141" customFormat="1" customHeight="1" spans="1:30">
      <c r="A564" s="900"/>
      <c r="B564" s="900"/>
      <c r="C564" s="900"/>
      <c r="D564" s="901"/>
      <c r="E564" s="901"/>
      <c r="F564" s="902"/>
      <c r="G564" s="902"/>
      <c r="H564" s="903"/>
      <c r="I564" s="900"/>
      <c r="J564" s="900"/>
      <c r="K564" s="902"/>
      <c r="L564" s="904"/>
      <c r="M564" s="904"/>
      <c r="N564" s="905"/>
      <c r="O564" s="905"/>
      <c r="P564" s="906"/>
      <c r="Q564" s="906"/>
      <c r="R564" s="907"/>
      <c r="S564" s="908"/>
      <c r="T564" s="901"/>
      <c r="U564" s="902"/>
      <c r="V564" s="909"/>
      <c r="W564" s="909"/>
      <c r="X564" s="909"/>
      <c r="Y564" s="909"/>
      <c r="Z564" s="909"/>
      <c r="AA564" s="909"/>
      <c r="AB564" s="909"/>
      <c r="AC564" s="909"/>
      <c r="AD564" s="909"/>
    </row>
    <row r="565" s="141" customFormat="1" customHeight="1" spans="1:30">
      <c r="A565" s="900"/>
      <c r="B565" s="900"/>
      <c r="C565" s="900"/>
      <c r="D565" s="901"/>
      <c r="E565" s="901"/>
      <c r="F565" s="902"/>
      <c r="G565" s="902"/>
      <c r="H565" s="903"/>
      <c r="I565" s="900"/>
      <c r="J565" s="900"/>
      <c r="K565" s="902"/>
      <c r="L565" s="904"/>
      <c r="M565" s="904"/>
      <c r="N565" s="905"/>
      <c r="O565" s="905"/>
      <c r="P565" s="906"/>
      <c r="Q565" s="906"/>
      <c r="R565" s="907"/>
      <c r="S565" s="908"/>
      <c r="T565" s="901"/>
      <c r="U565" s="902"/>
      <c r="V565" s="909"/>
      <c r="W565" s="909"/>
      <c r="X565" s="909"/>
      <c r="Y565" s="909"/>
      <c r="Z565" s="909"/>
      <c r="AA565" s="909"/>
      <c r="AB565" s="909"/>
      <c r="AC565" s="909"/>
      <c r="AD565" s="909"/>
    </row>
    <row r="566" s="141" customFormat="1" customHeight="1" spans="1:30">
      <c r="A566" s="900"/>
      <c r="B566" s="900"/>
      <c r="C566" s="900"/>
      <c r="D566" s="901"/>
      <c r="E566" s="901"/>
      <c r="F566" s="902"/>
      <c r="G566" s="902"/>
      <c r="H566" s="903"/>
      <c r="I566" s="900"/>
      <c r="J566" s="900"/>
      <c r="K566" s="902"/>
      <c r="L566" s="904"/>
      <c r="M566" s="904"/>
      <c r="N566" s="905"/>
      <c r="O566" s="905"/>
      <c r="P566" s="906"/>
      <c r="Q566" s="906"/>
      <c r="R566" s="907"/>
      <c r="S566" s="908"/>
      <c r="T566" s="901"/>
      <c r="U566" s="902"/>
      <c r="V566" s="909"/>
      <c r="W566" s="909"/>
      <c r="X566" s="909"/>
      <c r="Y566" s="909"/>
      <c r="Z566" s="909"/>
      <c r="AA566" s="909"/>
      <c r="AB566" s="909"/>
      <c r="AC566" s="909"/>
      <c r="AD566" s="909"/>
    </row>
    <row r="567" s="141" customFormat="1" customHeight="1" spans="1:30">
      <c r="A567" s="900"/>
      <c r="B567" s="900"/>
      <c r="C567" s="900"/>
      <c r="D567" s="901"/>
      <c r="E567" s="901"/>
      <c r="F567" s="902"/>
      <c r="G567" s="902"/>
      <c r="H567" s="903"/>
      <c r="I567" s="900"/>
      <c r="J567" s="900"/>
      <c r="K567" s="902"/>
      <c r="L567" s="904"/>
      <c r="M567" s="904"/>
      <c r="N567" s="905"/>
      <c r="O567" s="905"/>
      <c r="P567" s="906"/>
      <c r="Q567" s="906"/>
      <c r="R567" s="907"/>
      <c r="S567" s="908"/>
      <c r="T567" s="901"/>
      <c r="U567" s="902"/>
      <c r="V567" s="909"/>
      <c r="W567" s="909"/>
      <c r="X567" s="909"/>
      <c r="Y567" s="909"/>
      <c r="Z567" s="909"/>
      <c r="AA567" s="909"/>
      <c r="AB567" s="909"/>
      <c r="AC567" s="909"/>
      <c r="AD567" s="909"/>
    </row>
    <row r="568" s="141" customFormat="1" customHeight="1" spans="1:30">
      <c r="A568" s="900"/>
      <c r="B568" s="900"/>
      <c r="C568" s="900"/>
      <c r="D568" s="901"/>
      <c r="E568" s="901"/>
      <c r="F568" s="902"/>
      <c r="G568" s="902"/>
      <c r="H568" s="903"/>
      <c r="I568" s="900"/>
      <c r="J568" s="900"/>
      <c r="K568" s="902"/>
      <c r="L568" s="904"/>
      <c r="M568" s="904"/>
      <c r="N568" s="905"/>
      <c r="O568" s="905"/>
      <c r="P568" s="906"/>
      <c r="Q568" s="906"/>
      <c r="R568" s="907"/>
      <c r="S568" s="908"/>
      <c r="T568" s="901"/>
      <c r="U568" s="902"/>
      <c r="V568" s="909"/>
      <c r="W568" s="909"/>
      <c r="X568" s="909"/>
      <c r="Y568" s="909"/>
      <c r="Z568" s="909"/>
      <c r="AA568" s="909"/>
      <c r="AB568" s="909"/>
      <c r="AC568" s="909"/>
      <c r="AD568" s="909"/>
    </row>
    <row r="569" s="141" customFormat="1" customHeight="1" spans="1:30">
      <c r="A569" s="900"/>
      <c r="B569" s="900"/>
      <c r="C569" s="900"/>
      <c r="D569" s="901"/>
      <c r="E569" s="901"/>
      <c r="F569" s="902"/>
      <c r="G569" s="902"/>
      <c r="H569" s="903"/>
      <c r="I569" s="900"/>
      <c r="J569" s="900"/>
      <c r="K569" s="902"/>
      <c r="L569" s="904"/>
      <c r="M569" s="904"/>
      <c r="N569" s="905"/>
      <c r="O569" s="905"/>
      <c r="P569" s="906"/>
      <c r="Q569" s="906"/>
      <c r="R569" s="907"/>
      <c r="S569" s="908"/>
      <c r="T569" s="901"/>
      <c r="U569" s="902"/>
      <c r="V569" s="909"/>
      <c r="W569" s="909"/>
      <c r="X569" s="909"/>
      <c r="Y569" s="909"/>
      <c r="Z569" s="909"/>
      <c r="AA569" s="909"/>
      <c r="AB569" s="909"/>
      <c r="AC569" s="909"/>
      <c r="AD569" s="909"/>
    </row>
    <row r="570" s="141" customFormat="1" customHeight="1" spans="1:30">
      <c r="A570" s="900"/>
      <c r="B570" s="900"/>
      <c r="C570" s="900"/>
      <c r="D570" s="901"/>
      <c r="E570" s="901"/>
      <c r="F570" s="902"/>
      <c r="G570" s="902"/>
      <c r="H570" s="903"/>
      <c r="I570" s="900"/>
      <c r="J570" s="900"/>
      <c r="K570" s="902"/>
      <c r="L570" s="904"/>
      <c r="M570" s="904"/>
      <c r="N570" s="905"/>
      <c r="O570" s="905"/>
      <c r="P570" s="906"/>
      <c r="Q570" s="906"/>
      <c r="R570" s="907"/>
      <c r="S570" s="908"/>
      <c r="T570" s="901"/>
      <c r="U570" s="902"/>
      <c r="V570" s="909"/>
      <c r="W570" s="909"/>
      <c r="X570" s="909"/>
      <c r="Y570" s="909"/>
      <c r="Z570" s="909"/>
      <c r="AA570" s="909"/>
      <c r="AB570" s="909"/>
      <c r="AC570" s="909"/>
      <c r="AD570" s="909"/>
    </row>
    <row r="571" s="141" customFormat="1" customHeight="1" spans="1:30">
      <c r="A571" s="900"/>
      <c r="B571" s="900"/>
      <c r="C571" s="900"/>
      <c r="D571" s="901"/>
      <c r="E571" s="901"/>
      <c r="F571" s="902"/>
      <c r="G571" s="902"/>
      <c r="H571" s="903"/>
      <c r="I571" s="900"/>
      <c r="J571" s="900"/>
      <c r="K571" s="902"/>
      <c r="L571" s="904"/>
      <c r="M571" s="904"/>
      <c r="N571" s="905"/>
      <c r="O571" s="905"/>
      <c r="P571" s="906"/>
      <c r="Q571" s="906"/>
      <c r="R571" s="907"/>
      <c r="S571" s="908"/>
      <c r="T571" s="901"/>
      <c r="U571" s="902"/>
      <c r="V571" s="909"/>
      <c r="W571" s="909"/>
      <c r="X571" s="909"/>
      <c r="Y571" s="909"/>
      <c r="Z571" s="909"/>
      <c r="AA571" s="909"/>
      <c r="AB571" s="909"/>
      <c r="AC571" s="909"/>
      <c r="AD571" s="909"/>
    </row>
    <row r="572" s="141" customFormat="1" customHeight="1" spans="1:30">
      <c r="A572" s="900"/>
      <c r="B572" s="900"/>
      <c r="C572" s="900"/>
      <c r="D572" s="901"/>
      <c r="E572" s="901"/>
      <c r="F572" s="902"/>
      <c r="G572" s="902"/>
      <c r="H572" s="903"/>
      <c r="I572" s="900"/>
      <c r="J572" s="900"/>
      <c r="K572" s="902"/>
      <c r="L572" s="904"/>
      <c r="M572" s="904"/>
      <c r="N572" s="905"/>
      <c r="O572" s="905"/>
      <c r="P572" s="906"/>
      <c r="Q572" s="906"/>
      <c r="R572" s="907"/>
      <c r="S572" s="908"/>
      <c r="T572" s="901"/>
      <c r="U572" s="902"/>
      <c r="V572" s="909"/>
      <c r="W572" s="909"/>
      <c r="X572" s="909"/>
      <c r="Y572" s="909"/>
      <c r="Z572" s="909"/>
      <c r="AA572" s="909"/>
      <c r="AB572" s="909"/>
      <c r="AC572" s="909"/>
      <c r="AD572" s="909"/>
    </row>
    <row r="573" s="141" customFormat="1" customHeight="1" spans="1:30">
      <c r="A573" s="900"/>
      <c r="B573" s="900"/>
      <c r="C573" s="900"/>
      <c r="D573" s="901"/>
      <c r="E573" s="901"/>
      <c r="F573" s="902"/>
      <c r="G573" s="902"/>
      <c r="H573" s="903"/>
      <c r="I573" s="900"/>
      <c r="J573" s="900"/>
      <c r="K573" s="902"/>
      <c r="L573" s="904"/>
      <c r="M573" s="904"/>
      <c r="N573" s="905"/>
      <c r="O573" s="905"/>
      <c r="P573" s="906"/>
      <c r="Q573" s="906"/>
      <c r="R573" s="907"/>
      <c r="S573" s="908"/>
      <c r="T573" s="901"/>
      <c r="U573" s="902"/>
      <c r="V573" s="909"/>
      <c r="W573" s="909"/>
      <c r="X573" s="909"/>
      <c r="Y573" s="909"/>
      <c r="Z573" s="909"/>
      <c r="AA573" s="909"/>
      <c r="AB573" s="909"/>
      <c r="AC573" s="909"/>
      <c r="AD573" s="909"/>
    </row>
    <row r="574" s="141" customFormat="1" customHeight="1" spans="1:30">
      <c r="A574" s="900"/>
      <c r="B574" s="900"/>
      <c r="C574" s="900"/>
      <c r="D574" s="901"/>
      <c r="E574" s="901"/>
      <c r="F574" s="902"/>
      <c r="G574" s="902"/>
      <c r="H574" s="903"/>
      <c r="I574" s="900"/>
      <c r="J574" s="900"/>
      <c r="K574" s="902"/>
      <c r="L574" s="904"/>
      <c r="M574" s="904"/>
      <c r="N574" s="905"/>
      <c r="O574" s="905"/>
      <c r="P574" s="906"/>
      <c r="Q574" s="906"/>
      <c r="R574" s="907"/>
      <c r="S574" s="908"/>
      <c r="T574" s="901"/>
      <c r="U574" s="902"/>
      <c r="V574" s="909"/>
      <c r="W574" s="909"/>
      <c r="X574" s="909"/>
      <c r="Y574" s="909"/>
      <c r="Z574" s="909"/>
      <c r="AA574" s="909"/>
      <c r="AB574" s="909"/>
      <c r="AC574" s="909"/>
      <c r="AD574" s="909"/>
    </row>
    <row r="575" s="141" customFormat="1" customHeight="1" spans="1:30">
      <c r="A575" s="900"/>
      <c r="B575" s="900"/>
      <c r="C575" s="900"/>
      <c r="D575" s="901"/>
      <c r="E575" s="901"/>
      <c r="F575" s="902"/>
      <c r="G575" s="902"/>
      <c r="H575" s="903"/>
      <c r="I575" s="900"/>
      <c r="J575" s="900"/>
      <c r="K575" s="902"/>
      <c r="L575" s="904"/>
      <c r="M575" s="904"/>
      <c r="N575" s="905"/>
      <c r="O575" s="905"/>
      <c r="P575" s="906"/>
      <c r="Q575" s="906"/>
      <c r="R575" s="907"/>
      <c r="S575" s="908"/>
      <c r="T575" s="901"/>
      <c r="U575" s="902"/>
      <c r="V575" s="909"/>
      <c r="W575" s="909"/>
      <c r="X575" s="909"/>
      <c r="Y575" s="909"/>
      <c r="Z575" s="909"/>
      <c r="AA575" s="909"/>
      <c r="AB575" s="909"/>
      <c r="AC575" s="909"/>
      <c r="AD575" s="909"/>
    </row>
    <row r="576" s="141" customFormat="1" customHeight="1" spans="1:30">
      <c r="A576" s="900"/>
      <c r="B576" s="900"/>
      <c r="C576" s="900"/>
      <c r="D576" s="901"/>
      <c r="E576" s="901"/>
      <c r="F576" s="902"/>
      <c r="G576" s="902"/>
      <c r="H576" s="903"/>
      <c r="I576" s="900"/>
      <c r="J576" s="900"/>
      <c r="K576" s="902"/>
      <c r="L576" s="904"/>
      <c r="M576" s="904"/>
      <c r="N576" s="905"/>
      <c r="O576" s="905"/>
      <c r="P576" s="906"/>
      <c r="Q576" s="906"/>
      <c r="R576" s="907"/>
      <c r="S576" s="908"/>
      <c r="T576" s="901"/>
      <c r="U576" s="902"/>
      <c r="V576" s="909"/>
      <c r="W576" s="909"/>
      <c r="X576" s="909"/>
      <c r="Y576" s="909"/>
      <c r="Z576" s="909"/>
      <c r="AA576" s="909"/>
      <c r="AB576" s="909"/>
      <c r="AC576" s="909"/>
      <c r="AD576" s="909"/>
    </row>
    <row r="577" s="141" customFormat="1" customHeight="1" spans="1:30">
      <c r="A577" s="900"/>
      <c r="B577" s="900"/>
      <c r="C577" s="900"/>
      <c r="D577" s="901"/>
      <c r="E577" s="901"/>
      <c r="F577" s="902"/>
      <c r="G577" s="902"/>
      <c r="H577" s="903"/>
      <c r="I577" s="900"/>
      <c r="J577" s="900"/>
      <c r="K577" s="902"/>
      <c r="L577" s="904"/>
      <c r="M577" s="904"/>
      <c r="N577" s="905"/>
      <c r="O577" s="905"/>
      <c r="P577" s="906"/>
      <c r="Q577" s="906"/>
      <c r="R577" s="907"/>
      <c r="S577" s="908"/>
      <c r="T577" s="901"/>
      <c r="U577" s="902"/>
      <c r="V577" s="909"/>
      <c r="W577" s="909"/>
      <c r="X577" s="909"/>
      <c r="Y577" s="909"/>
      <c r="Z577" s="909"/>
      <c r="AA577" s="909"/>
      <c r="AB577" s="909"/>
      <c r="AC577" s="909"/>
      <c r="AD577" s="909"/>
    </row>
    <row r="578" s="141" customFormat="1" customHeight="1" spans="1:30">
      <c r="A578" s="900"/>
      <c r="B578" s="900"/>
      <c r="C578" s="900"/>
      <c r="D578" s="901"/>
      <c r="E578" s="901"/>
      <c r="F578" s="902"/>
      <c r="G578" s="902"/>
      <c r="H578" s="903"/>
      <c r="I578" s="900"/>
      <c r="J578" s="900"/>
      <c r="K578" s="902"/>
      <c r="L578" s="904"/>
      <c r="M578" s="904"/>
      <c r="N578" s="905"/>
      <c r="O578" s="905"/>
      <c r="P578" s="906"/>
      <c r="Q578" s="906"/>
      <c r="R578" s="907"/>
      <c r="S578" s="908"/>
      <c r="T578" s="901"/>
      <c r="U578" s="902"/>
      <c r="V578" s="909"/>
      <c r="W578" s="909"/>
      <c r="X578" s="909"/>
      <c r="Y578" s="909"/>
      <c r="Z578" s="909"/>
      <c r="AA578" s="909"/>
      <c r="AB578" s="909"/>
      <c r="AC578" s="909"/>
      <c r="AD578" s="909"/>
    </row>
    <row r="579" s="141" customFormat="1" customHeight="1" spans="1:30">
      <c r="A579" s="900"/>
      <c r="B579" s="900"/>
      <c r="C579" s="900"/>
      <c r="D579" s="901"/>
      <c r="E579" s="901"/>
      <c r="F579" s="902"/>
      <c r="G579" s="902"/>
      <c r="H579" s="903"/>
      <c r="I579" s="900"/>
      <c r="J579" s="900"/>
      <c r="K579" s="902"/>
      <c r="L579" s="904"/>
      <c r="M579" s="904"/>
      <c r="N579" s="905"/>
      <c r="O579" s="905"/>
      <c r="P579" s="906"/>
      <c r="Q579" s="906"/>
      <c r="R579" s="907"/>
      <c r="S579" s="908"/>
      <c r="T579" s="901"/>
      <c r="U579" s="902"/>
      <c r="V579" s="909"/>
      <c r="W579" s="909"/>
      <c r="X579" s="909"/>
      <c r="Y579" s="909"/>
      <c r="Z579" s="909"/>
      <c r="AA579" s="909"/>
      <c r="AB579" s="909"/>
      <c r="AC579" s="909"/>
      <c r="AD579" s="909"/>
    </row>
    <row r="580" s="141" customFormat="1" customHeight="1" spans="1:30">
      <c r="A580" s="900"/>
      <c r="B580" s="900"/>
      <c r="C580" s="900"/>
      <c r="D580" s="901"/>
      <c r="E580" s="901"/>
      <c r="F580" s="902"/>
      <c r="G580" s="902"/>
      <c r="H580" s="903"/>
      <c r="I580" s="900"/>
      <c r="J580" s="900"/>
      <c r="K580" s="902"/>
      <c r="L580" s="904"/>
      <c r="M580" s="904"/>
      <c r="N580" s="905"/>
      <c r="O580" s="905"/>
      <c r="P580" s="906"/>
      <c r="Q580" s="906"/>
      <c r="R580" s="907"/>
      <c r="S580" s="908"/>
      <c r="T580" s="901"/>
      <c r="U580" s="902"/>
      <c r="V580" s="909"/>
      <c r="W580" s="909"/>
      <c r="X580" s="909"/>
      <c r="Y580" s="909"/>
      <c r="Z580" s="909"/>
      <c r="AA580" s="909"/>
      <c r="AB580" s="909"/>
      <c r="AC580" s="909"/>
      <c r="AD580" s="909"/>
    </row>
    <row r="581" s="141" customFormat="1" customHeight="1" spans="1:30">
      <c r="A581" s="900"/>
      <c r="B581" s="900"/>
      <c r="C581" s="900"/>
      <c r="D581" s="901"/>
      <c r="E581" s="901"/>
      <c r="F581" s="902"/>
      <c r="G581" s="902"/>
      <c r="H581" s="903"/>
      <c r="I581" s="900"/>
      <c r="J581" s="900"/>
      <c r="K581" s="902"/>
      <c r="L581" s="904"/>
      <c r="M581" s="904"/>
      <c r="N581" s="905"/>
      <c r="O581" s="905"/>
      <c r="P581" s="906"/>
      <c r="Q581" s="906"/>
      <c r="R581" s="907"/>
      <c r="S581" s="908"/>
      <c r="T581" s="901"/>
      <c r="U581" s="902"/>
      <c r="V581" s="909"/>
      <c r="W581" s="909"/>
      <c r="X581" s="909"/>
      <c r="Y581" s="909"/>
      <c r="Z581" s="909"/>
      <c r="AA581" s="909"/>
      <c r="AB581" s="909"/>
      <c r="AC581" s="909"/>
      <c r="AD581" s="909"/>
    </row>
    <row r="582" s="141" customFormat="1" customHeight="1" spans="1:30">
      <c r="A582" s="900"/>
      <c r="B582" s="900"/>
      <c r="C582" s="900"/>
      <c r="D582" s="901"/>
      <c r="E582" s="901"/>
      <c r="F582" s="902"/>
      <c r="G582" s="902"/>
      <c r="H582" s="903"/>
      <c r="I582" s="900"/>
      <c r="J582" s="900"/>
      <c r="K582" s="902"/>
      <c r="L582" s="904"/>
      <c r="M582" s="904"/>
      <c r="N582" s="905"/>
      <c r="O582" s="905"/>
      <c r="P582" s="906"/>
      <c r="Q582" s="906"/>
      <c r="R582" s="907"/>
      <c r="S582" s="908"/>
      <c r="T582" s="901"/>
      <c r="U582" s="902"/>
      <c r="V582" s="909"/>
      <c r="W582" s="909"/>
      <c r="X582" s="909"/>
      <c r="Y582" s="909"/>
      <c r="Z582" s="909"/>
      <c r="AA582" s="909"/>
      <c r="AB582" s="909"/>
      <c r="AC582" s="909"/>
      <c r="AD582" s="909"/>
    </row>
    <row r="583" s="141" customFormat="1" customHeight="1" spans="1:30">
      <c r="A583" s="900"/>
      <c r="B583" s="900"/>
      <c r="C583" s="900"/>
      <c r="D583" s="901"/>
      <c r="E583" s="901"/>
      <c r="F583" s="902"/>
      <c r="G583" s="902"/>
      <c r="H583" s="903"/>
      <c r="I583" s="900"/>
      <c r="J583" s="900"/>
      <c r="K583" s="902"/>
      <c r="L583" s="904"/>
      <c r="M583" s="904"/>
      <c r="N583" s="905"/>
      <c r="O583" s="905"/>
      <c r="P583" s="906"/>
      <c r="Q583" s="906"/>
      <c r="R583" s="907"/>
      <c r="S583" s="908"/>
      <c r="T583" s="901"/>
      <c r="U583" s="902"/>
      <c r="V583" s="909"/>
      <c r="W583" s="909"/>
      <c r="X583" s="909"/>
      <c r="Y583" s="909"/>
      <c r="Z583" s="909"/>
      <c r="AA583" s="909"/>
      <c r="AB583" s="909"/>
      <c r="AC583" s="909"/>
      <c r="AD583" s="909"/>
    </row>
    <row r="584" s="141" customFormat="1" customHeight="1" spans="1:30">
      <c r="A584" s="900"/>
      <c r="B584" s="900"/>
      <c r="C584" s="900"/>
      <c r="D584" s="901"/>
      <c r="E584" s="901"/>
      <c r="F584" s="902"/>
      <c r="G584" s="902"/>
      <c r="H584" s="903"/>
      <c r="I584" s="900"/>
      <c r="J584" s="900"/>
      <c r="K584" s="902"/>
      <c r="L584" s="904"/>
      <c r="M584" s="904"/>
      <c r="N584" s="905"/>
      <c r="O584" s="905"/>
      <c r="P584" s="906"/>
      <c r="Q584" s="906"/>
      <c r="R584" s="907"/>
      <c r="S584" s="908"/>
      <c r="T584" s="901"/>
      <c r="U584" s="902"/>
      <c r="V584" s="909"/>
      <c r="W584" s="909"/>
      <c r="X584" s="909"/>
      <c r="Y584" s="909"/>
      <c r="Z584" s="909"/>
      <c r="AA584" s="909"/>
      <c r="AB584" s="909"/>
      <c r="AC584" s="909"/>
      <c r="AD584" s="909"/>
    </row>
    <row r="585" s="141" customFormat="1" customHeight="1" spans="1:30">
      <c r="A585" s="900"/>
      <c r="B585" s="900"/>
      <c r="C585" s="900"/>
      <c r="D585" s="901"/>
      <c r="E585" s="901"/>
      <c r="F585" s="902"/>
      <c r="G585" s="902"/>
      <c r="H585" s="903"/>
      <c r="I585" s="900"/>
      <c r="J585" s="900"/>
      <c r="K585" s="902"/>
      <c r="L585" s="904"/>
      <c r="M585" s="904"/>
      <c r="N585" s="905"/>
      <c r="O585" s="905"/>
      <c r="P585" s="906"/>
      <c r="Q585" s="906"/>
      <c r="R585" s="907"/>
      <c r="S585" s="908"/>
      <c r="T585" s="901"/>
      <c r="U585" s="902"/>
      <c r="V585" s="909"/>
      <c r="W585" s="909"/>
      <c r="X585" s="909"/>
      <c r="Y585" s="909"/>
      <c r="Z585" s="909"/>
      <c r="AA585" s="909"/>
      <c r="AB585" s="909"/>
      <c r="AC585" s="909"/>
      <c r="AD585" s="909"/>
    </row>
    <row r="586" s="141" customFormat="1" customHeight="1" spans="1:30">
      <c r="A586" s="900"/>
      <c r="B586" s="900"/>
      <c r="C586" s="900"/>
      <c r="D586" s="901"/>
      <c r="E586" s="901"/>
      <c r="F586" s="902"/>
      <c r="G586" s="902"/>
      <c r="H586" s="903"/>
      <c r="I586" s="900"/>
      <c r="J586" s="900"/>
      <c r="K586" s="902"/>
      <c r="L586" s="904"/>
      <c r="M586" s="904"/>
      <c r="N586" s="905"/>
      <c r="O586" s="905"/>
      <c r="P586" s="906"/>
      <c r="Q586" s="906"/>
      <c r="R586" s="907"/>
      <c r="S586" s="908"/>
      <c r="T586" s="901"/>
      <c r="U586" s="902"/>
      <c r="V586" s="909"/>
      <c r="W586" s="909"/>
      <c r="X586" s="909"/>
      <c r="Y586" s="909"/>
      <c r="Z586" s="909"/>
      <c r="AA586" s="909"/>
      <c r="AB586" s="909"/>
      <c r="AC586" s="909"/>
      <c r="AD586" s="909"/>
    </row>
    <row r="587" s="141" customFormat="1" customHeight="1" spans="1:30">
      <c r="A587" s="900"/>
      <c r="B587" s="900"/>
      <c r="C587" s="900"/>
      <c r="D587" s="901"/>
      <c r="E587" s="901"/>
      <c r="F587" s="902"/>
      <c r="G587" s="902"/>
      <c r="H587" s="903"/>
      <c r="I587" s="900"/>
      <c r="J587" s="900"/>
      <c r="K587" s="902"/>
      <c r="L587" s="904"/>
      <c r="M587" s="904"/>
      <c r="N587" s="905"/>
      <c r="O587" s="905"/>
      <c r="P587" s="906"/>
      <c r="Q587" s="906"/>
      <c r="R587" s="907"/>
      <c r="S587" s="908"/>
      <c r="T587" s="901"/>
      <c r="U587" s="902"/>
      <c r="V587" s="909"/>
      <c r="W587" s="909"/>
      <c r="X587" s="909"/>
      <c r="Y587" s="909"/>
      <c r="Z587" s="909"/>
      <c r="AA587" s="909"/>
      <c r="AB587" s="909"/>
      <c r="AC587" s="909"/>
      <c r="AD587" s="909"/>
    </row>
    <row r="588" s="141" customFormat="1" customHeight="1" spans="1:30">
      <c r="A588" s="900"/>
      <c r="B588" s="900"/>
      <c r="C588" s="900"/>
      <c r="D588" s="901"/>
      <c r="E588" s="901"/>
      <c r="F588" s="902"/>
      <c r="G588" s="902"/>
      <c r="H588" s="903"/>
      <c r="I588" s="900"/>
      <c r="J588" s="900"/>
      <c r="K588" s="902"/>
      <c r="L588" s="904"/>
      <c r="M588" s="904"/>
      <c r="N588" s="905"/>
      <c r="O588" s="905"/>
      <c r="P588" s="906"/>
      <c r="Q588" s="906"/>
      <c r="R588" s="907"/>
      <c r="S588" s="908"/>
      <c r="T588" s="901"/>
      <c r="U588" s="902"/>
      <c r="V588" s="909"/>
      <c r="W588" s="909"/>
      <c r="X588" s="909"/>
      <c r="Y588" s="909"/>
      <c r="Z588" s="909"/>
      <c r="AA588" s="909"/>
      <c r="AB588" s="909"/>
      <c r="AC588" s="909"/>
      <c r="AD588" s="909"/>
    </row>
    <row r="589" s="141" customFormat="1" customHeight="1" spans="1:30">
      <c r="A589" s="900"/>
      <c r="B589" s="900"/>
      <c r="C589" s="900"/>
      <c r="D589" s="901"/>
      <c r="E589" s="901"/>
      <c r="F589" s="902"/>
      <c r="G589" s="902"/>
      <c r="H589" s="903"/>
      <c r="I589" s="900"/>
      <c r="J589" s="900"/>
      <c r="K589" s="902"/>
      <c r="L589" s="904"/>
      <c r="M589" s="904"/>
      <c r="N589" s="905"/>
      <c r="O589" s="905"/>
      <c r="P589" s="906"/>
      <c r="Q589" s="906"/>
      <c r="R589" s="907"/>
      <c r="S589" s="908"/>
      <c r="T589" s="901"/>
      <c r="U589" s="902"/>
      <c r="V589" s="909"/>
      <c r="W589" s="909"/>
      <c r="X589" s="909"/>
      <c r="Y589" s="909"/>
      <c r="Z589" s="909"/>
      <c r="AA589" s="909"/>
      <c r="AB589" s="909"/>
      <c r="AC589" s="909"/>
      <c r="AD589" s="909"/>
    </row>
    <row r="590" s="141" customFormat="1" customHeight="1" spans="1:30">
      <c r="A590" s="900"/>
      <c r="B590" s="900"/>
      <c r="C590" s="900"/>
      <c r="D590" s="901"/>
      <c r="E590" s="901"/>
      <c r="F590" s="902"/>
      <c r="G590" s="902"/>
      <c r="H590" s="903"/>
      <c r="I590" s="900"/>
      <c r="J590" s="900"/>
      <c r="K590" s="902"/>
      <c r="L590" s="904"/>
      <c r="M590" s="904"/>
      <c r="N590" s="905"/>
      <c r="O590" s="905"/>
      <c r="P590" s="906"/>
      <c r="Q590" s="906"/>
      <c r="R590" s="907"/>
      <c r="S590" s="908"/>
      <c r="T590" s="901"/>
      <c r="U590" s="902"/>
      <c r="V590" s="909"/>
      <c r="W590" s="909"/>
      <c r="X590" s="909"/>
      <c r="Y590" s="909"/>
      <c r="Z590" s="909"/>
      <c r="AA590" s="909"/>
      <c r="AB590" s="909"/>
      <c r="AC590" s="909"/>
      <c r="AD590" s="909"/>
    </row>
    <row r="591" s="141" customFormat="1" customHeight="1" spans="1:30">
      <c r="A591" s="900"/>
      <c r="B591" s="900"/>
      <c r="C591" s="900"/>
      <c r="D591" s="901"/>
      <c r="E591" s="901"/>
      <c r="F591" s="902"/>
      <c r="G591" s="902"/>
      <c r="H591" s="903"/>
      <c r="I591" s="900"/>
      <c r="J591" s="900"/>
      <c r="K591" s="902"/>
      <c r="L591" s="904"/>
      <c r="M591" s="904"/>
      <c r="N591" s="905"/>
      <c r="O591" s="905"/>
      <c r="P591" s="906"/>
      <c r="Q591" s="906"/>
      <c r="R591" s="907"/>
      <c r="S591" s="908"/>
      <c r="T591" s="901"/>
      <c r="U591" s="902"/>
      <c r="V591" s="909"/>
      <c r="W591" s="909"/>
      <c r="X591" s="909"/>
      <c r="Y591" s="909"/>
      <c r="Z591" s="909"/>
      <c r="AA591" s="909"/>
      <c r="AB591" s="909"/>
      <c r="AC591" s="909"/>
      <c r="AD591" s="909"/>
    </row>
    <row r="592" s="141" customFormat="1" customHeight="1" spans="1:30">
      <c r="A592" s="900"/>
      <c r="B592" s="900"/>
      <c r="C592" s="900"/>
      <c r="D592" s="901"/>
      <c r="E592" s="901"/>
      <c r="F592" s="902"/>
      <c r="G592" s="902"/>
      <c r="H592" s="903"/>
      <c r="I592" s="900"/>
      <c r="J592" s="900"/>
      <c r="K592" s="902"/>
      <c r="L592" s="904"/>
      <c r="M592" s="904"/>
      <c r="N592" s="905"/>
      <c r="O592" s="905"/>
      <c r="P592" s="906"/>
      <c r="Q592" s="906"/>
      <c r="R592" s="907"/>
      <c r="S592" s="908"/>
      <c r="T592" s="901"/>
      <c r="U592" s="902"/>
      <c r="V592" s="909"/>
      <c r="W592" s="909"/>
      <c r="X592" s="909"/>
      <c r="Y592" s="909"/>
      <c r="Z592" s="909"/>
      <c r="AA592" s="909"/>
      <c r="AB592" s="909"/>
      <c r="AC592" s="909"/>
      <c r="AD592" s="909"/>
    </row>
    <row r="593" s="141" customFormat="1" customHeight="1" spans="1:30">
      <c r="A593" s="900"/>
      <c r="B593" s="900"/>
      <c r="C593" s="900"/>
      <c r="D593" s="901"/>
      <c r="E593" s="901"/>
      <c r="F593" s="902"/>
      <c r="G593" s="902"/>
      <c r="H593" s="903"/>
      <c r="I593" s="900"/>
      <c r="J593" s="900"/>
      <c r="K593" s="902"/>
      <c r="L593" s="904"/>
      <c r="M593" s="904"/>
      <c r="N593" s="905"/>
      <c r="O593" s="905"/>
      <c r="P593" s="906"/>
      <c r="Q593" s="906"/>
      <c r="R593" s="907"/>
      <c r="S593" s="908"/>
      <c r="T593" s="901"/>
      <c r="U593" s="902"/>
      <c r="V593" s="909"/>
      <c r="W593" s="909"/>
      <c r="X593" s="909"/>
      <c r="Y593" s="909"/>
      <c r="Z593" s="909"/>
      <c r="AA593" s="909"/>
      <c r="AB593" s="909"/>
      <c r="AC593" s="909"/>
      <c r="AD593" s="909"/>
    </row>
    <row r="594" s="141" customFormat="1" customHeight="1" spans="1:30">
      <c r="A594" s="900"/>
      <c r="B594" s="900"/>
      <c r="C594" s="900"/>
      <c r="D594" s="901"/>
      <c r="E594" s="901"/>
      <c r="F594" s="902"/>
      <c r="G594" s="902"/>
      <c r="H594" s="903"/>
      <c r="I594" s="900"/>
      <c r="J594" s="900"/>
      <c r="K594" s="902"/>
      <c r="L594" s="904"/>
      <c r="M594" s="904"/>
      <c r="N594" s="905"/>
      <c r="O594" s="905"/>
      <c r="P594" s="906"/>
      <c r="Q594" s="906"/>
      <c r="R594" s="907"/>
      <c r="S594" s="908"/>
      <c r="T594" s="901"/>
      <c r="U594" s="902"/>
      <c r="V594" s="909"/>
      <c r="W594" s="909"/>
      <c r="X594" s="909"/>
      <c r="Y594" s="909"/>
      <c r="Z594" s="909"/>
      <c r="AA594" s="909"/>
      <c r="AB594" s="909"/>
      <c r="AC594" s="909"/>
      <c r="AD594" s="909"/>
    </row>
    <row r="595" s="141" customFormat="1" customHeight="1" spans="1:30">
      <c r="A595" s="900"/>
      <c r="B595" s="900"/>
      <c r="C595" s="900"/>
      <c r="D595" s="901"/>
      <c r="E595" s="901"/>
      <c r="F595" s="902"/>
      <c r="G595" s="902"/>
      <c r="H595" s="903"/>
      <c r="I595" s="900"/>
      <c r="J595" s="900"/>
      <c r="K595" s="902"/>
      <c r="L595" s="904"/>
      <c r="M595" s="904"/>
      <c r="N595" s="905"/>
      <c r="O595" s="905"/>
      <c r="P595" s="906"/>
      <c r="Q595" s="906"/>
      <c r="R595" s="907"/>
      <c r="S595" s="908"/>
      <c r="T595" s="901"/>
      <c r="U595" s="902"/>
      <c r="V595" s="909"/>
      <c r="W595" s="909"/>
      <c r="X595" s="909"/>
      <c r="Y595" s="909"/>
      <c r="Z595" s="909"/>
      <c r="AA595" s="909"/>
      <c r="AB595" s="909"/>
      <c r="AC595" s="909"/>
      <c r="AD595" s="909"/>
    </row>
    <row r="596" s="141" customFormat="1" customHeight="1" spans="1:30">
      <c r="A596" s="900"/>
      <c r="B596" s="900"/>
      <c r="C596" s="900"/>
      <c r="D596" s="901"/>
      <c r="E596" s="901"/>
      <c r="F596" s="902"/>
      <c r="G596" s="902"/>
      <c r="H596" s="903"/>
      <c r="I596" s="900"/>
      <c r="J596" s="900"/>
      <c r="K596" s="902"/>
      <c r="L596" s="904"/>
      <c r="M596" s="904"/>
      <c r="N596" s="905"/>
      <c r="O596" s="905"/>
      <c r="P596" s="906"/>
      <c r="Q596" s="906"/>
      <c r="R596" s="907"/>
      <c r="S596" s="908"/>
      <c r="T596" s="901"/>
      <c r="U596" s="902"/>
      <c r="V596" s="909"/>
      <c r="W596" s="909"/>
      <c r="X596" s="909"/>
      <c r="Y596" s="909"/>
      <c r="Z596" s="909"/>
      <c r="AA596" s="909"/>
      <c r="AB596" s="909"/>
      <c r="AC596" s="909"/>
      <c r="AD596" s="909"/>
    </row>
    <row r="597" s="141" customFormat="1" customHeight="1" spans="1:30">
      <c r="A597" s="900"/>
      <c r="B597" s="900"/>
      <c r="C597" s="900"/>
      <c r="D597" s="901"/>
      <c r="E597" s="901"/>
      <c r="F597" s="902"/>
      <c r="G597" s="902"/>
      <c r="H597" s="903"/>
      <c r="I597" s="900"/>
      <c r="J597" s="900"/>
      <c r="K597" s="902"/>
      <c r="L597" s="904"/>
      <c r="M597" s="904"/>
      <c r="N597" s="905"/>
      <c r="O597" s="905"/>
      <c r="P597" s="906"/>
      <c r="Q597" s="906"/>
      <c r="R597" s="907"/>
      <c r="S597" s="908"/>
      <c r="T597" s="901"/>
      <c r="U597" s="902"/>
      <c r="V597" s="909"/>
      <c r="W597" s="909"/>
      <c r="X597" s="909"/>
      <c r="Y597" s="909"/>
      <c r="Z597" s="909"/>
      <c r="AA597" s="909"/>
      <c r="AB597" s="909"/>
      <c r="AC597" s="909"/>
      <c r="AD597" s="909"/>
    </row>
    <row r="598" s="141" customFormat="1" customHeight="1" spans="1:30">
      <c r="A598" s="900"/>
      <c r="B598" s="900"/>
      <c r="C598" s="900"/>
      <c r="D598" s="901"/>
      <c r="E598" s="901"/>
      <c r="F598" s="902"/>
      <c r="G598" s="902"/>
      <c r="H598" s="903"/>
      <c r="I598" s="900"/>
      <c r="J598" s="900"/>
      <c r="K598" s="902"/>
      <c r="L598" s="904"/>
      <c r="M598" s="904"/>
      <c r="N598" s="905"/>
      <c r="O598" s="905"/>
      <c r="P598" s="906"/>
      <c r="Q598" s="906"/>
      <c r="R598" s="907"/>
      <c r="S598" s="908"/>
      <c r="T598" s="901"/>
      <c r="U598" s="902"/>
      <c r="V598" s="909"/>
      <c r="W598" s="909"/>
      <c r="X598" s="909"/>
      <c r="Y598" s="909"/>
      <c r="Z598" s="909"/>
      <c r="AA598" s="909"/>
      <c r="AB598" s="909"/>
      <c r="AC598" s="909"/>
      <c r="AD598" s="909"/>
    </row>
    <row r="599" s="141" customFormat="1" customHeight="1" spans="1:30">
      <c r="A599" s="900"/>
      <c r="B599" s="900"/>
      <c r="C599" s="900"/>
      <c r="D599" s="901"/>
      <c r="E599" s="901"/>
      <c r="F599" s="902"/>
      <c r="G599" s="902"/>
      <c r="H599" s="903"/>
      <c r="I599" s="900"/>
      <c r="J599" s="900"/>
      <c r="K599" s="902"/>
      <c r="L599" s="904"/>
      <c r="M599" s="904"/>
      <c r="N599" s="905"/>
      <c r="O599" s="905"/>
      <c r="P599" s="906"/>
      <c r="Q599" s="906"/>
      <c r="R599" s="907"/>
      <c r="S599" s="908"/>
      <c r="T599" s="901"/>
      <c r="U599" s="902"/>
      <c r="V599" s="909"/>
      <c r="W599" s="909"/>
      <c r="X599" s="909"/>
      <c r="Y599" s="909"/>
      <c r="Z599" s="909"/>
      <c r="AA599" s="909"/>
      <c r="AB599" s="909"/>
      <c r="AC599" s="909"/>
      <c r="AD599" s="909"/>
    </row>
    <row r="600" s="141" customFormat="1" customHeight="1" spans="1:30">
      <c r="A600" s="900"/>
      <c r="B600" s="900"/>
      <c r="C600" s="900"/>
      <c r="D600" s="901"/>
      <c r="E600" s="901"/>
      <c r="F600" s="902"/>
      <c r="G600" s="902"/>
      <c r="H600" s="903"/>
      <c r="I600" s="900"/>
      <c r="J600" s="900"/>
      <c r="K600" s="902"/>
      <c r="L600" s="904"/>
      <c r="M600" s="904"/>
      <c r="N600" s="905"/>
      <c r="O600" s="905"/>
      <c r="P600" s="906"/>
      <c r="Q600" s="906"/>
      <c r="R600" s="907"/>
      <c r="S600" s="908"/>
      <c r="T600" s="901"/>
      <c r="U600" s="902"/>
      <c r="V600" s="909"/>
      <c r="W600" s="909"/>
      <c r="X600" s="909"/>
      <c r="Y600" s="909"/>
      <c r="Z600" s="909"/>
      <c r="AA600" s="909"/>
      <c r="AB600" s="909"/>
      <c r="AC600" s="909"/>
      <c r="AD600" s="909"/>
    </row>
    <row r="601" s="141" customFormat="1" customHeight="1" spans="1:30">
      <c r="A601" s="900"/>
      <c r="B601" s="900"/>
      <c r="C601" s="900"/>
      <c r="D601" s="901"/>
      <c r="E601" s="901"/>
      <c r="F601" s="902"/>
      <c r="G601" s="902"/>
      <c r="H601" s="903"/>
      <c r="I601" s="900"/>
      <c r="J601" s="900"/>
      <c r="K601" s="902"/>
      <c r="L601" s="904"/>
      <c r="M601" s="904"/>
      <c r="N601" s="905"/>
      <c r="O601" s="905"/>
      <c r="P601" s="906"/>
      <c r="Q601" s="906"/>
      <c r="R601" s="907"/>
      <c r="S601" s="908"/>
      <c r="T601" s="901"/>
      <c r="U601" s="902"/>
      <c r="V601" s="909"/>
      <c r="W601" s="909"/>
      <c r="X601" s="909"/>
      <c r="Y601" s="909"/>
      <c r="Z601" s="909"/>
      <c r="AA601" s="909"/>
      <c r="AB601" s="909"/>
      <c r="AC601" s="909"/>
      <c r="AD601" s="909"/>
    </row>
    <row r="602" s="141" customFormat="1" customHeight="1" spans="1:30">
      <c r="A602" s="900"/>
      <c r="B602" s="900"/>
      <c r="C602" s="900"/>
      <c r="D602" s="901"/>
      <c r="E602" s="901"/>
      <c r="F602" s="902"/>
      <c r="G602" s="902"/>
      <c r="H602" s="903"/>
      <c r="I602" s="900"/>
      <c r="J602" s="900"/>
      <c r="K602" s="902"/>
      <c r="L602" s="904"/>
      <c r="M602" s="904"/>
      <c r="N602" s="905"/>
      <c r="O602" s="905"/>
      <c r="P602" s="906"/>
      <c r="Q602" s="906"/>
      <c r="R602" s="907"/>
      <c r="S602" s="908"/>
      <c r="T602" s="901"/>
      <c r="U602" s="902"/>
      <c r="V602" s="909"/>
      <c r="W602" s="909"/>
      <c r="X602" s="909"/>
      <c r="Y602" s="909"/>
      <c r="Z602" s="909"/>
      <c r="AA602" s="909"/>
      <c r="AB602" s="909"/>
      <c r="AC602" s="909"/>
      <c r="AD602" s="909"/>
    </row>
    <row r="603" s="141" customFormat="1" customHeight="1" spans="1:30">
      <c r="A603" s="900"/>
      <c r="B603" s="900"/>
      <c r="C603" s="900"/>
      <c r="D603" s="901"/>
      <c r="E603" s="901"/>
      <c r="F603" s="902"/>
      <c r="G603" s="902"/>
      <c r="H603" s="903"/>
      <c r="I603" s="900"/>
      <c r="J603" s="900"/>
      <c r="K603" s="902"/>
      <c r="L603" s="904"/>
      <c r="M603" s="904"/>
      <c r="N603" s="905"/>
      <c r="O603" s="905"/>
      <c r="P603" s="906"/>
      <c r="Q603" s="906"/>
      <c r="R603" s="907"/>
      <c r="S603" s="908"/>
      <c r="T603" s="901"/>
      <c r="U603" s="902"/>
      <c r="V603" s="909"/>
      <c r="W603" s="909"/>
      <c r="X603" s="909"/>
      <c r="Y603" s="909"/>
      <c r="Z603" s="909"/>
      <c r="AA603" s="909"/>
      <c r="AB603" s="909"/>
      <c r="AC603" s="909"/>
      <c r="AD603" s="909"/>
    </row>
    <row r="604" s="141" customFormat="1" customHeight="1" spans="1:30">
      <c r="A604" s="900"/>
      <c r="B604" s="900"/>
      <c r="C604" s="900"/>
      <c r="D604" s="901"/>
      <c r="E604" s="901"/>
      <c r="F604" s="902"/>
      <c r="G604" s="902"/>
      <c r="H604" s="903"/>
      <c r="I604" s="900"/>
      <c r="J604" s="900"/>
      <c r="K604" s="902"/>
      <c r="L604" s="904"/>
      <c r="M604" s="904"/>
      <c r="N604" s="905"/>
      <c r="O604" s="905"/>
      <c r="P604" s="906"/>
      <c r="Q604" s="906"/>
      <c r="R604" s="907"/>
      <c r="S604" s="908"/>
      <c r="T604" s="901"/>
      <c r="U604" s="902"/>
      <c r="V604" s="909"/>
      <c r="W604" s="909"/>
      <c r="X604" s="909"/>
      <c r="Y604" s="909"/>
      <c r="Z604" s="909"/>
      <c r="AA604" s="909"/>
      <c r="AB604" s="909"/>
      <c r="AC604" s="909"/>
      <c r="AD604" s="909"/>
    </row>
    <row r="605" s="141" customFormat="1" customHeight="1" spans="1:30">
      <c r="A605" s="900"/>
      <c r="B605" s="900"/>
      <c r="C605" s="900"/>
      <c r="D605" s="901"/>
      <c r="E605" s="901"/>
      <c r="F605" s="902"/>
      <c r="G605" s="902"/>
      <c r="H605" s="903"/>
      <c r="I605" s="900"/>
      <c r="J605" s="900"/>
      <c r="K605" s="902"/>
      <c r="L605" s="904"/>
      <c r="M605" s="904"/>
      <c r="N605" s="905"/>
      <c r="O605" s="905"/>
      <c r="P605" s="906"/>
      <c r="Q605" s="906"/>
      <c r="R605" s="907"/>
      <c r="S605" s="908"/>
      <c r="T605" s="901"/>
      <c r="U605" s="902"/>
      <c r="V605" s="909"/>
      <c r="W605" s="909"/>
      <c r="X605" s="909"/>
      <c r="Y605" s="909"/>
      <c r="Z605" s="909"/>
      <c r="AA605" s="909"/>
      <c r="AB605" s="909"/>
      <c r="AC605" s="909"/>
      <c r="AD605" s="909"/>
    </row>
    <row r="606" s="141" customFormat="1" customHeight="1" spans="1:30">
      <c r="A606" s="900"/>
      <c r="B606" s="900"/>
      <c r="C606" s="900"/>
      <c r="D606" s="901"/>
      <c r="E606" s="901"/>
      <c r="F606" s="902"/>
      <c r="G606" s="902"/>
      <c r="H606" s="903"/>
      <c r="I606" s="900"/>
      <c r="J606" s="900"/>
      <c r="K606" s="902"/>
      <c r="L606" s="904"/>
      <c r="M606" s="904"/>
      <c r="N606" s="905"/>
      <c r="O606" s="905"/>
      <c r="P606" s="906"/>
      <c r="Q606" s="906"/>
      <c r="R606" s="907"/>
      <c r="S606" s="908"/>
      <c r="T606" s="901"/>
      <c r="U606" s="902"/>
      <c r="V606" s="909"/>
      <c r="W606" s="909"/>
      <c r="X606" s="909"/>
      <c r="Y606" s="909"/>
      <c r="Z606" s="909"/>
      <c r="AA606" s="909"/>
      <c r="AB606" s="909"/>
      <c r="AC606" s="909"/>
      <c r="AD606" s="909"/>
    </row>
    <row r="607" s="141" customFormat="1" customHeight="1" spans="1:30">
      <c r="A607" s="900"/>
      <c r="B607" s="900"/>
      <c r="C607" s="900"/>
      <c r="D607" s="901"/>
      <c r="E607" s="901"/>
      <c r="F607" s="902"/>
      <c r="G607" s="902"/>
      <c r="H607" s="903"/>
      <c r="I607" s="900"/>
      <c r="J607" s="900"/>
      <c r="K607" s="902"/>
      <c r="L607" s="904"/>
      <c r="M607" s="904"/>
      <c r="N607" s="905"/>
      <c r="O607" s="905"/>
      <c r="P607" s="906"/>
      <c r="Q607" s="906"/>
      <c r="R607" s="907"/>
      <c r="S607" s="908"/>
      <c r="T607" s="901"/>
      <c r="U607" s="902"/>
      <c r="V607" s="909"/>
      <c r="W607" s="909"/>
      <c r="X607" s="909"/>
      <c r="Y607" s="909"/>
      <c r="Z607" s="909"/>
      <c r="AA607" s="909"/>
      <c r="AB607" s="909"/>
      <c r="AC607" s="909"/>
      <c r="AD607" s="909"/>
    </row>
    <row r="608" s="141" customFormat="1" customHeight="1" spans="1:30">
      <c r="A608" s="900"/>
      <c r="B608" s="900"/>
      <c r="C608" s="900"/>
      <c r="D608" s="901"/>
      <c r="E608" s="901"/>
      <c r="F608" s="902"/>
      <c r="G608" s="902"/>
      <c r="H608" s="903"/>
      <c r="I608" s="900"/>
      <c r="J608" s="900"/>
      <c r="K608" s="902"/>
      <c r="L608" s="904"/>
      <c r="M608" s="904"/>
      <c r="N608" s="905"/>
      <c r="O608" s="905"/>
      <c r="P608" s="906"/>
      <c r="Q608" s="906"/>
      <c r="R608" s="907"/>
      <c r="S608" s="908"/>
      <c r="T608" s="901"/>
      <c r="U608" s="902"/>
      <c r="V608" s="909"/>
      <c r="W608" s="909"/>
      <c r="X608" s="909"/>
      <c r="Y608" s="909"/>
      <c r="Z608" s="909"/>
      <c r="AA608" s="909"/>
      <c r="AB608" s="909"/>
      <c r="AC608" s="909"/>
      <c r="AD608" s="909"/>
    </row>
    <row r="609" s="141" customFormat="1" customHeight="1" spans="1:30">
      <c r="A609" s="900"/>
      <c r="B609" s="900"/>
      <c r="C609" s="900"/>
      <c r="D609" s="901"/>
      <c r="E609" s="901"/>
      <c r="F609" s="902"/>
      <c r="G609" s="902"/>
      <c r="H609" s="903"/>
      <c r="I609" s="900"/>
      <c r="J609" s="900"/>
      <c r="K609" s="902"/>
      <c r="L609" s="904"/>
      <c r="M609" s="904"/>
      <c r="N609" s="905"/>
      <c r="O609" s="905"/>
      <c r="P609" s="906"/>
      <c r="Q609" s="906"/>
      <c r="R609" s="907"/>
      <c r="S609" s="908"/>
      <c r="T609" s="901"/>
      <c r="U609" s="902"/>
      <c r="V609" s="909"/>
      <c r="W609" s="909"/>
      <c r="X609" s="909"/>
      <c r="Y609" s="909"/>
      <c r="Z609" s="909"/>
      <c r="AA609" s="909"/>
      <c r="AB609" s="909"/>
      <c r="AC609" s="909"/>
      <c r="AD609" s="909"/>
    </row>
    <row r="610" s="141" customFormat="1" customHeight="1" spans="1:30">
      <c r="A610" s="900"/>
      <c r="B610" s="900"/>
      <c r="C610" s="900"/>
      <c r="D610" s="901"/>
      <c r="E610" s="901"/>
      <c r="F610" s="902"/>
      <c r="G610" s="902"/>
      <c r="H610" s="903"/>
      <c r="I610" s="900"/>
      <c r="J610" s="900"/>
      <c r="K610" s="902"/>
      <c r="L610" s="904"/>
      <c r="M610" s="904"/>
      <c r="N610" s="905"/>
      <c r="O610" s="905"/>
      <c r="P610" s="906"/>
      <c r="Q610" s="906"/>
      <c r="R610" s="907"/>
      <c r="S610" s="908"/>
      <c r="T610" s="901"/>
      <c r="U610" s="902"/>
      <c r="V610" s="909"/>
      <c r="W610" s="909"/>
      <c r="X610" s="909"/>
      <c r="Y610" s="909"/>
      <c r="Z610" s="909"/>
      <c r="AA610" s="909"/>
      <c r="AB610" s="909"/>
      <c r="AC610" s="909"/>
      <c r="AD610" s="909"/>
    </row>
    <row r="611" s="141" customFormat="1" customHeight="1" spans="1:30">
      <c r="A611" s="900"/>
      <c r="B611" s="900"/>
      <c r="C611" s="900"/>
      <c r="D611" s="901"/>
      <c r="E611" s="901"/>
      <c r="F611" s="902"/>
      <c r="G611" s="902"/>
      <c r="H611" s="903"/>
      <c r="I611" s="900"/>
      <c r="J611" s="900"/>
      <c r="K611" s="902"/>
      <c r="L611" s="904"/>
      <c r="M611" s="904"/>
      <c r="N611" s="905"/>
      <c r="O611" s="905"/>
      <c r="P611" s="906"/>
      <c r="Q611" s="906"/>
      <c r="R611" s="907"/>
      <c r="S611" s="908"/>
      <c r="T611" s="901"/>
      <c r="U611" s="902"/>
      <c r="V611" s="909"/>
      <c r="W611" s="909"/>
      <c r="X611" s="909"/>
      <c r="Y611" s="909"/>
      <c r="Z611" s="909"/>
      <c r="AA611" s="909"/>
      <c r="AB611" s="909"/>
      <c r="AC611" s="909"/>
      <c r="AD611" s="909"/>
    </row>
    <row r="612" s="141" customFormat="1" customHeight="1" spans="1:30">
      <c r="A612" s="900"/>
      <c r="B612" s="900"/>
      <c r="C612" s="900"/>
      <c r="D612" s="901"/>
      <c r="E612" s="901"/>
      <c r="F612" s="902"/>
      <c r="G612" s="902"/>
      <c r="H612" s="903"/>
      <c r="I612" s="900"/>
      <c r="J612" s="900"/>
      <c r="K612" s="902"/>
      <c r="L612" s="904"/>
      <c r="M612" s="904"/>
      <c r="N612" s="905"/>
      <c r="O612" s="905"/>
      <c r="P612" s="906"/>
      <c r="Q612" s="906"/>
      <c r="R612" s="907"/>
      <c r="S612" s="908"/>
      <c r="T612" s="901"/>
      <c r="U612" s="902"/>
      <c r="V612" s="909"/>
      <c r="W612" s="909"/>
      <c r="X612" s="909"/>
      <c r="Y612" s="909"/>
      <c r="Z612" s="909"/>
      <c r="AA612" s="909"/>
      <c r="AB612" s="909"/>
      <c r="AC612" s="909"/>
      <c r="AD612" s="909"/>
    </row>
    <row r="613" s="141" customFormat="1" customHeight="1" spans="1:30">
      <c r="A613" s="900"/>
      <c r="B613" s="900"/>
      <c r="C613" s="900"/>
      <c r="D613" s="901"/>
      <c r="E613" s="901"/>
      <c r="F613" s="902"/>
      <c r="G613" s="902"/>
      <c r="H613" s="903"/>
      <c r="I613" s="900"/>
      <c r="J613" s="900"/>
      <c r="K613" s="902"/>
      <c r="L613" s="904"/>
      <c r="M613" s="904"/>
      <c r="N613" s="905"/>
      <c r="O613" s="905"/>
      <c r="P613" s="906"/>
      <c r="Q613" s="906"/>
      <c r="R613" s="907"/>
      <c r="S613" s="908"/>
      <c r="T613" s="901"/>
      <c r="U613" s="902"/>
      <c r="V613" s="909"/>
      <c r="W613" s="909"/>
      <c r="X613" s="909"/>
      <c r="Y613" s="909"/>
      <c r="Z613" s="909"/>
      <c r="AA613" s="909"/>
      <c r="AB613" s="909"/>
      <c r="AC613" s="909"/>
      <c r="AD613" s="909"/>
    </row>
    <row r="614" s="141" customFormat="1" customHeight="1" spans="1:30">
      <c r="A614" s="900"/>
      <c r="B614" s="900"/>
      <c r="C614" s="900"/>
      <c r="D614" s="901"/>
      <c r="E614" s="901"/>
      <c r="F614" s="902"/>
      <c r="G614" s="902"/>
      <c r="H614" s="903"/>
      <c r="I614" s="900"/>
      <c r="J614" s="900"/>
      <c r="K614" s="902"/>
      <c r="L614" s="904"/>
      <c r="M614" s="904"/>
      <c r="N614" s="905"/>
      <c r="O614" s="905"/>
      <c r="P614" s="906"/>
      <c r="Q614" s="906"/>
      <c r="R614" s="907"/>
      <c r="S614" s="908"/>
      <c r="T614" s="901"/>
      <c r="U614" s="902"/>
      <c r="V614" s="909"/>
      <c r="W614" s="909"/>
      <c r="X614" s="909"/>
      <c r="Y614" s="909"/>
      <c r="Z614" s="909"/>
      <c r="AA614" s="909"/>
      <c r="AB614" s="909"/>
      <c r="AC614" s="909"/>
      <c r="AD614" s="909"/>
    </row>
    <row r="615" s="141" customFormat="1" customHeight="1" spans="1:30">
      <c r="A615" s="900"/>
      <c r="B615" s="900"/>
      <c r="C615" s="900"/>
      <c r="D615" s="901"/>
      <c r="E615" s="901"/>
      <c r="F615" s="902"/>
      <c r="G615" s="902"/>
      <c r="H615" s="903"/>
      <c r="I615" s="900"/>
      <c r="J615" s="900"/>
      <c r="K615" s="902"/>
      <c r="L615" s="904"/>
      <c r="M615" s="904"/>
      <c r="N615" s="905"/>
      <c r="O615" s="905"/>
      <c r="P615" s="906"/>
      <c r="Q615" s="906"/>
      <c r="R615" s="907"/>
      <c r="S615" s="908"/>
      <c r="T615" s="901"/>
      <c r="U615" s="902"/>
      <c r="V615" s="909"/>
      <c r="W615" s="909"/>
      <c r="X615" s="909"/>
      <c r="Y615" s="909"/>
      <c r="Z615" s="909"/>
      <c r="AA615" s="909"/>
      <c r="AB615" s="909"/>
      <c r="AC615" s="909"/>
      <c r="AD615" s="909"/>
    </row>
    <row r="616" s="141" customFormat="1" customHeight="1" spans="1:30">
      <c r="A616" s="900"/>
      <c r="B616" s="900"/>
      <c r="C616" s="900"/>
      <c r="D616" s="901"/>
      <c r="E616" s="901"/>
      <c r="F616" s="902"/>
      <c r="G616" s="902"/>
      <c r="H616" s="903"/>
      <c r="I616" s="900"/>
      <c r="J616" s="900"/>
      <c r="K616" s="902"/>
      <c r="L616" s="904"/>
      <c r="M616" s="904"/>
      <c r="N616" s="905"/>
      <c r="O616" s="905"/>
      <c r="P616" s="906"/>
      <c r="Q616" s="906"/>
      <c r="R616" s="907"/>
      <c r="S616" s="908"/>
      <c r="T616" s="901"/>
      <c r="U616" s="902"/>
      <c r="V616" s="909"/>
      <c r="W616" s="909"/>
      <c r="X616" s="909"/>
      <c r="Y616" s="909"/>
      <c r="Z616" s="909"/>
      <c r="AA616" s="909"/>
      <c r="AB616" s="909"/>
      <c r="AC616" s="909"/>
      <c r="AD616" s="909"/>
    </row>
    <row r="617" s="141" customFormat="1" customHeight="1" spans="1:30">
      <c r="A617" s="900"/>
      <c r="B617" s="900"/>
      <c r="C617" s="900"/>
      <c r="D617" s="901"/>
      <c r="E617" s="901"/>
      <c r="F617" s="902"/>
      <c r="G617" s="902"/>
      <c r="H617" s="903"/>
      <c r="I617" s="900"/>
      <c r="J617" s="900"/>
      <c r="K617" s="902"/>
      <c r="L617" s="904"/>
      <c r="M617" s="904"/>
      <c r="N617" s="905"/>
      <c r="O617" s="905"/>
      <c r="P617" s="906"/>
      <c r="Q617" s="906"/>
      <c r="R617" s="907"/>
      <c r="S617" s="908"/>
      <c r="T617" s="901"/>
      <c r="U617" s="902"/>
      <c r="V617" s="909"/>
      <c r="W617" s="909"/>
      <c r="X617" s="909"/>
      <c r="Y617" s="909"/>
      <c r="Z617" s="909"/>
      <c r="AA617" s="909"/>
      <c r="AB617" s="909"/>
      <c r="AC617" s="909"/>
      <c r="AD617" s="909"/>
    </row>
    <row r="618" s="141" customFormat="1" customHeight="1" spans="1:30">
      <c r="A618" s="900"/>
      <c r="B618" s="900"/>
      <c r="C618" s="900"/>
      <c r="D618" s="901"/>
      <c r="E618" s="901"/>
      <c r="F618" s="902"/>
      <c r="G618" s="902"/>
      <c r="H618" s="903"/>
      <c r="I618" s="900"/>
      <c r="J618" s="900"/>
      <c r="K618" s="902"/>
      <c r="L618" s="904"/>
      <c r="M618" s="904"/>
      <c r="N618" s="905"/>
      <c r="O618" s="905"/>
      <c r="P618" s="906"/>
      <c r="Q618" s="906"/>
      <c r="R618" s="907"/>
      <c r="S618" s="908"/>
      <c r="T618" s="901"/>
      <c r="U618" s="902"/>
      <c r="V618" s="909"/>
      <c r="W618" s="909"/>
      <c r="X618" s="909"/>
      <c r="Y618" s="909"/>
      <c r="Z618" s="909"/>
      <c r="AA618" s="909"/>
      <c r="AB618" s="909"/>
      <c r="AC618" s="909"/>
      <c r="AD618" s="909"/>
    </row>
    <row r="619" s="141" customFormat="1" customHeight="1" spans="1:30">
      <c r="A619" s="900"/>
      <c r="B619" s="900"/>
      <c r="C619" s="900"/>
      <c r="D619" s="901"/>
      <c r="E619" s="901"/>
      <c r="F619" s="902"/>
      <c r="G619" s="902"/>
      <c r="H619" s="903"/>
      <c r="I619" s="900"/>
      <c r="J619" s="900"/>
      <c r="K619" s="902"/>
      <c r="L619" s="904"/>
      <c r="M619" s="904"/>
      <c r="N619" s="905"/>
      <c r="O619" s="905"/>
      <c r="P619" s="906"/>
      <c r="Q619" s="906"/>
      <c r="R619" s="907"/>
      <c r="S619" s="908"/>
      <c r="T619" s="901"/>
      <c r="U619" s="902"/>
      <c r="V619" s="909"/>
      <c r="W619" s="909"/>
      <c r="X619" s="909"/>
      <c r="Y619" s="909"/>
      <c r="Z619" s="909"/>
      <c r="AA619" s="909"/>
      <c r="AB619" s="909"/>
      <c r="AC619" s="909"/>
      <c r="AD619" s="909"/>
    </row>
    <row r="620" s="141" customFormat="1" customHeight="1" spans="1:30">
      <c r="A620" s="900"/>
      <c r="B620" s="900"/>
      <c r="C620" s="900"/>
      <c r="D620" s="901"/>
      <c r="E620" s="901"/>
      <c r="F620" s="902"/>
      <c r="G620" s="902"/>
      <c r="H620" s="903"/>
      <c r="I620" s="900"/>
      <c r="J620" s="900"/>
      <c r="K620" s="902"/>
      <c r="L620" s="904"/>
      <c r="M620" s="904"/>
      <c r="N620" s="905"/>
      <c r="O620" s="905"/>
      <c r="P620" s="906"/>
      <c r="Q620" s="906"/>
      <c r="R620" s="907"/>
      <c r="S620" s="908"/>
      <c r="T620" s="901"/>
      <c r="U620" s="902"/>
      <c r="V620" s="909"/>
      <c r="W620" s="909"/>
      <c r="X620" s="909"/>
      <c r="Y620" s="909"/>
      <c r="Z620" s="909"/>
      <c r="AA620" s="909"/>
      <c r="AB620" s="909"/>
      <c r="AC620" s="909"/>
      <c r="AD620" s="909"/>
    </row>
    <row r="621" s="141" customFormat="1" customHeight="1" spans="1:30">
      <c r="A621" s="900"/>
      <c r="B621" s="900"/>
      <c r="C621" s="900"/>
      <c r="D621" s="901"/>
      <c r="E621" s="901"/>
      <c r="F621" s="902"/>
      <c r="G621" s="902"/>
      <c r="H621" s="903"/>
      <c r="I621" s="900"/>
      <c r="J621" s="900"/>
      <c r="K621" s="902"/>
      <c r="L621" s="904"/>
      <c r="M621" s="904"/>
      <c r="N621" s="905"/>
      <c r="O621" s="905"/>
      <c r="P621" s="906"/>
      <c r="Q621" s="906"/>
      <c r="R621" s="907"/>
      <c r="S621" s="908"/>
      <c r="T621" s="901"/>
      <c r="U621" s="902"/>
      <c r="V621" s="909"/>
      <c r="W621" s="909"/>
      <c r="X621" s="909"/>
      <c r="Y621" s="909"/>
      <c r="Z621" s="909"/>
      <c r="AA621" s="909"/>
      <c r="AB621" s="909"/>
      <c r="AC621" s="909"/>
      <c r="AD621" s="909"/>
    </row>
    <row r="622" s="141" customFormat="1" customHeight="1" spans="1:30">
      <c r="A622" s="900"/>
      <c r="B622" s="900"/>
      <c r="C622" s="900"/>
      <c r="D622" s="901"/>
      <c r="E622" s="901"/>
      <c r="F622" s="902"/>
      <c r="G622" s="902"/>
      <c r="H622" s="903"/>
      <c r="I622" s="900"/>
      <c r="J622" s="900"/>
      <c r="K622" s="902"/>
      <c r="L622" s="904"/>
      <c r="M622" s="904"/>
      <c r="N622" s="905"/>
      <c r="O622" s="905"/>
      <c r="P622" s="906"/>
      <c r="Q622" s="906"/>
      <c r="R622" s="907"/>
      <c r="S622" s="908"/>
      <c r="T622" s="901"/>
      <c r="U622" s="902"/>
      <c r="V622" s="909"/>
      <c r="W622" s="909"/>
      <c r="X622" s="909"/>
      <c r="Y622" s="909"/>
      <c r="Z622" s="909"/>
      <c r="AA622" s="909"/>
      <c r="AB622" s="909"/>
      <c r="AC622" s="909"/>
      <c r="AD622" s="909"/>
    </row>
    <row r="623" s="141" customFormat="1" customHeight="1" spans="1:30">
      <c r="A623" s="900"/>
      <c r="B623" s="900"/>
      <c r="C623" s="900"/>
      <c r="D623" s="901"/>
      <c r="E623" s="901"/>
      <c r="F623" s="902"/>
      <c r="G623" s="902"/>
      <c r="H623" s="903"/>
      <c r="I623" s="900"/>
      <c r="J623" s="900"/>
      <c r="K623" s="902"/>
      <c r="L623" s="904"/>
      <c r="M623" s="904"/>
      <c r="N623" s="905"/>
      <c r="O623" s="905"/>
      <c r="P623" s="906"/>
      <c r="Q623" s="906"/>
      <c r="R623" s="907"/>
      <c r="S623" s="908"/>
      <c r="T623" s="901"/>
      <c r="U623" s="902"/>
      <c r="V623" s="909"/>
      <c r="W623" s="909"/>
      <c r="X623" s="909"/>
      <c r="Y623" s="909"/>
      <c r="Z623" s="909"/>
      <c r="AA623" s="909"/>
      <c r="AB623" s="909"/>
      <c r="AC623" s="909"/>
      <c r="AD623" s="909"/>
    </row>
    <row r="624" s="141" customFormat="1" customHeight="1" spans="1:30">
      <c r="A624" s="900"/>
      <c r="B624" s="900"/>
      <c r="C624" s="900"/>
      <c r="D624" s="901"/>
      <c r="E624" s="901"/>
      <c r="F624" s="902"/>
      <c r="G624" s="902"/>
      <c r="H624" s="903"/>
      <c r="I624" s="900"/>
      <c r="J624" s="900"/>
      <c r="K624" s="902"/>
      <c r="L624" s="904"/>
      <c r="M624" s="904"/>
      <c r="N624" s="905"/>
      <c r="O624" s="905"/>
      <c r="P624" s="906"/>
      <c r="Q624" s="906"/>
      <c r="R624" s="907"/>
      <c r="S624" s="908"/>
      <c r="T624" s="901"/>
      <c r="U624" s="902"/>
      <c r="V624" s="909"/>
      <c r="W624" s="909"/>
      <c r="X624" s="909"/>
      <c r="Y624" s="909"/>
      <c r="Z624" s="909"/>
      <c r="AA624" s="909"/>
      <c r="AB624" s="909"/>
      <c r="AC624" s="909"/>
      <c r="AD624" s="909"/>
    </row>
    <row r="625" s="141" customFormat="1" customHeight="1" spans="1:30">
      <c r="A625" s="900"/>
      <c r="B625" s="900"/>
      <c r="C625" s="900"/>
      <c r="D625" s="901"/>
      <c r="E625" s="901"/>
      <c r="F625" s="902"/>
      <c r="G625" s="902"/>
      <c r="H625" s="903"/>
      <c r="I625" s="900"/>
      <c r="J625" s="900"/>
      <c r="K625" s="902"/>
      <c r="L625" s="904"/>
      <c r="M625" s="904"/>
      <c r="N625" s="905"/>
      <c r="O625" s="905"/>
      <c r="P625" s="906"/>
      <c r="Q625" s="906"/>
      <c r="R625" s="907"/>
      <c r="S625" s="908"/>
      <c r="T625" s="901"/>
      <c r="U625" s="902"/>
      <c r="V625" s="909"/>
      <c r="W625" s="909"/>
      <c r="X625" s="909"/>
      <c r="Y625" s="909"/>
      <c r="Z625" s="909"/>
      <c r="AA625" s="909"/>
      <c r="AB625" s="909"/>
      <c r="AC625" s="909"/>
      <c r="AD625" s="909"/>
    </row>
    <row r="626" s="141" customFormat="1" customHeight="1" spans="1:30">
      <c r="A626" s="900"/>
      <c r="B626" s="900"/>
      <c r="C626" s="900"/>
      <c r="D626" s="901"/>
      <c r="E626" s="901"/>
      <c r="F626" s="902"/>
      <c r="G626" s="902"/>
      <c r="H626" s="903"/>
      <c r="I626" s="900"/>
      <c r="J626" s="900"/>
      <c r="K626" s="902"/>
      <c r="L626" s="904"/>
      <c r="M626" s="904"/>
      <c r="N626" s="905"/>
      <c r="O626" s="905"/>
      <c r="P626" s="906"/>
      <c r="Q626" s="906"/>
      <c r="R626" s="907"/>
      <c r="S626" s="908"/>
      <c r="T626" s="901"/>
      <c r="U626" s="902"/>
      <c r="V626" s="909"/>
      <c r="W626" s="909"/>
      <c r="X626" s="909"/>
      <c r="Y626" s="909"/>
      <c r="Z626" s="909"/>
      <c r="AA626" s="909"/>
      <c r="AB626" s="909"/>
      <c r="AC626" s="909"/>
      <c r="AD626" s="909"/>
    </row>
    <row r="627" s="141" customFormat="1" customHeight="1" spans="1:30">
      <c r="A627" s="900"/>
      <c r="B627" s="900"/>
      <c r="C627" s="900"/>
      <c r="D627" s="901"/>
      <c r="E627" s="901"/>
      <c r="F627" s="902"/>
      <c r="G627" s="902"/>
      <c r="H627" s="903"/>
      <c r="I627" s="900"/>
      <c r="J627" s="900"/>
      <c r="K627" s="902"/>
      <c r="L627" s="904"/>
      <c r="M627" s="904"/>
      <c r="N627" s="905"/>
      <c r="O627" s="905"/>
      <c r="P627" s="906"/>
      <c r="Q627" s="906"/>
      <c r="R627" s="907"/>
      <c r="S627" s="908"/>
      <c r="T627" s="901"/>
      <c r="U627" s="902"/>
      <c r="V627" s="909"/>
      <c r="W627" s="909"/>
      <c r="X627" s="909"/>
      <c r="Y627" s="909"/>
      <c r="Z627" s="909"/>
      <c r="AA627" s="909"/>
      <c r="AB627" s="909"/>
      <c r="AC627" s="909"/>
      <c r="AD627" s="909"/>
    </row>
    <row r="628" s="141" customFormat="1" customHeight="1" spans="1:30">
      <c r="A628" s="900"/>
      <c r="B628" s="900"/>
      <c r="C628" s="900"/>
      <c r="D628" s="901"/>
      <c r="E628" s="901"/>
      <c r="F628" s="902"/>
      <c r="G628" s="902"/>
      <c r="H628" s="903"/>
      <c r="I628" s="900"/>
      <c r="J628" s="900"/>
      <c r="K628" s="902"/>
      <c r="L628" s="904"/>
      <c r="M628" s="904"/>
      <c r="N628" s="905"/>
      <c r="O628" s="905"/>
      <c r="P628" s="906"/>
      <c r="Q628" s="906"/>
      <c r="R628" s="907"/>
      <c r="S628" s="908"/>
      <c r="T628" s="901"/>
      <c r="U628" s="902"/>
      <c r="V628" s="909"/>
      <c r="W628" s="909"/>
      <c r="X628" s="909"/>
      <c r="Y628" s="909"/>
      <c r="Z628" s="909"/>
      <c r="AA628" s="909"/>
      <c r="AB628" s="909"/>
      <c r="AC628" s="909"/>
      <c r="AD628" s="909"/>
    </row>
    <row r="629" s="141" customFormat="1" customHeight="1" spans="1:30">
      <c r="A629" s="900"/>
      <c r="B629" s="900"/>
      <c r="C629" s="900"/>
      <c r="D629" s="901"/>
      <c r="E629" s="901"/>
      <c r="F629" s="902"/>
      <c r="G629" s="902"/>
      <c r="H629" s="903"/>
      <c r="I629" s="900"/>
      <c r="J629" s="900"/>
      <c r="K629" s="902"/>
      <c r="L629" s="904"/>
      <c r="M629" s="904"/>
      <c r="N629" s="905"/>
      <c r="O629" s="905"/>
      <c r="P629" s="906"/>
      <c r="Q629" s="906"/>
      <c r="R629" s="907"/>
      <c r="S629" s="908"/>
      <c r="T629" s="901"/>
      <c r="U629" s="902"/>
      <c r="V629" s="909"/>
      <c r="W629" s="909"/>
      <c r="X629" s="909"/>
      <c r="Y629" s="909"/>
      <c r="Z629" s="909"/>
      <c r="AA629" s="909"/>
      <c r="AB629" s="909"/>
      <c r="AC629" s="909"/>
      <c r="AD629" s="909"/>
    </row>
    <row r="630" s="141" customFormat="1" customHeight="1" spans="1:30">
      <c r="A630" s="900"/>
      <c r="B630" s="900"/>
      <c r="C630" s="900"/>
      <c r="D630" s="901"/>
      <c r="E630" s="901"/>
      <c r="F630" s="902"/>
      <c r="G630" s="902"/>
      <c r="H630" s="903"/>
      <c r="I630" s="900"/>
      <c r="J630" s="900"/>
      <c r="K630" s="902"/>
      <c r="L630" s="904"/>
      <c r="M630" s="904"/>
      <c r="N630" s="905"/>
      <c r="O630" s="905"/>
      <c r="P630" s="906"/>
      <c r="Q630" s="906"/>
      <c r="R630" s="907"/>
      <c r="S630" s="908"/>
      <c r="T630" s="901"/>
      <c r="U630" s="902"/>
      <c r="V630" s="909"/>
      <c r="W630" s="909"/>
      <c r="X630" s="909"/>
      <c r="Y630" s="909"/>
      <c r="Z630" s="909"/>
      <c r="AA630" s="909"/>
      <c r="AB630" s="909"/>
      <c r="AC630" s="909"/>
      <c r="AD630" s="909"/>
    </row>
    <row r="631" s="141" customFormat="1" customHeight="1" spans="1:30">
      <c r="A631" s="900"/>
      <c r="B631" s="900"/>
      <c r="C631" s="900"/>
      <c r="D631" s="901"/>
      <c r="E631" s="901"/>
      <c r="F631" s="902"/>
      <c r="G631" s="902"/>
      <c r="H631" s="903"/>
      <c r="I631" s="900"/>
      <c r="J631" s="900"/>
      <c r="K631" s="902"/>
      <c r="L631" s="904"/>
      <c r="M631" s="904"/>
      <c r="N631" s="905"/>
      <c r="O631" s="905"/>
      <c r="P631" s="906"/>
      <c r="Q631" s="906"/>
      <c r="R631" s="907"/>
      <c r="S631" s="908"/>
      <c r="T631" s="901"/>
      <c r="U631" s="902"/>
      <c r="V631" s="909"/>
      <c r="W631" s="909"/>
      <c r="X631" s="909"/>
      <c r="Y631" s="909"/>
      <c r="Z631" s="909"/>
      <c r="AA631" s="909"/>
      <c r="AB631" s="909"/>
      <c r="AC631" s="909"/>
      <c r="AD631" s="909"/>
    </row>
    <row r="632" s="141" customFormat="1" customHeight="1" spans="1:30">
      <c r="A632" s="900"/>
      <c r="B632" s="900"/>
      <c r="C632" s="900"/>
      <c r="D632" s="901"/>
      <c r="E632" s="901"/>
      <c r="F632" s="902"/>
      <c r="G632" s="902"/>
      <c r="H632" s="903"/>
      <c r="I632" s="900"/>
      <c r="J632" s="900"/>
      <c r="K632" s="902"/>
      <c r="L632" s="904"/>
      <c r="M632" s="904"/>
      <c r="N632" s="905"/>
      <c r="O632" s="905"/>
      <c r="P632" s="906"/>
      <c r="Q632" s="906"/>
      <c r="R632" s="907"/>
      <c r="S632" s="908"/>
      <c r="T632" s="901"/>
      <c r="U632" s="902"/>
      <c r="V632" s="909"/>
      <c r="W632" s="909"/>
      <c r="X632" s="909"/>
      <c r="Y632" s="909"/>
      <c r="Z632" s="909"/>
      <c r="AA632" s="909"/>
      <c r="AB632" s="909"/>
      <c r="AC632" s="909"/>
      <c r="AD632" s="909"/>
    </row>
    <row r="633" s="141" customFormat="1" customHeight="1" spans="1:30">
      <c r="A633" s="900"/>
      <c r="B633" s="900"/>
      <c r="C633" s="900"/>
      <c r="D633" s="901"/>
      <c r="E633" s="901"/>
      <c r="F633" s="902"/>
      <c r="G633" s="902"/>
      <c r="H633" s="903"/>
      <c r="I633" s="900"/>
      <c r="J633" s="900"/>
      <c r="K633" s="902"/>
      <c r="L633" s="904"/>
      <c r="M633" s="904"/>
      <c r="N633" s="905"/>
      <c r="O633" s="905"/>
      <c r="P633" s="906"/>
      <c r="Q633" s="906"/>
      <c r="R633" s="907"/>
      <c r="S633" s="908"/>
      <c r="T633" s="901"/>
      <c r="U633" s="902"/>
      <c r="V633" s="909"/>
      <c r="W633" s="909"/>
      <c r="X633" s="909"/>
      <c r="Y633" s="909"/>
      <c r="Z633" s="909"/>
      <c r="AA633" s="909"/>
      <c r="AB633" s="909"/>
      <c r="AC633" s="909"/>
      <c r="AD633" s="909"/>
    </row>
    <row r="634" s="141" customFormat="1" customHeight="1" spans="1:30">
      <c r="A634" s="900"/>
      <c r="B634" s="900"/>
      <c r="C634" s="900"/>
      <c r="D634" s="901"/>
      <c r="E634" s="901"/>
      <c r="F634" s="902"/>
      <c r="G634" s="902"/>
      <c r="H634" s="903"/>
      <c r="I634" s="900"/>
      <c r="J634" s="900"/>
      <c r="K634" s="902"/>
      <c r="L634" s="904"/>
      <c r="M634" s="904"/>
      <c r="N634" s="905"/>
      <c r="O634" s="905"/>
      <c r="P634" s="906"/>
      <c r="Q634" s="906"/>
      <c r="R634" s="907"/>
      <c r="S634" s="908"/>
      <c r="T634" s="901"/>
      <c r="U634" s="902"/>
      <c r="V634" s="909"/>
      <c r="W634" s="909"/>
      <c r="X634" s="909"/>
      <c r="Y634" s="909"/>
      <c r="Z634" s="909"/>
      <c r="AA634" s="909"/>
      <c r="AB634" s="909"/>
      <c r="AC634" s="909"/>
      <c r="AD634" s="909"/>
    </row>
    <row r="635" s="141" customFormat="1" customHeight="1" spans="1:30">
      <c r="A635" s="900"/>
      <c r="B635" s="900"/>
      <c r="C635" s="900"/>
      <c r="D635" s="901"/>
      <c r="E635" s="901"/>
      <c r="F635" s="902"/>
      <c r="G635" s="902"/>
      <c r="H635" s="903"/>
      <c r="I635" s="900"/>
      <c r="J635" s="900"/>
      <c r="K635" s="902"/>
      <c r="L635" s="904"/>
      <c r="M635" s="904"/>
      <c r="N635" s="905"/>
      <c r="O635" s="905"/>
      <c r="P635" s="906"/>
      <c r="Q635" s="906"/>
      <c r="R635" s="907"/>
      <c r="S635" s="908"/>
      <c r="T635" s="901"/>
      <c r="U635" s="902"/>
      <c r="V635" s="909"/>
      <c r="W635" s="909"/>
      <c r="X635" s="909"/>
      <c r="Y635" s="909"/>
      <c r="Z635" s="909"/>
      <c r="AA635" s="909"/>
      <c r="AB635" s="909"/>
      <c r="AC635" s="909"/>
      <c r="AD635" s="909"/>
    </row>
    <row r="636" s="141" customFormat="1" customHeight="1" spans="1:30">
      <c r="A636" s="900"/>
      <c r="B636" s="900"/>
      <c r="C636" s="900"/>
      <c r="D636" s="901"/>
      <c r="E636" s="901"/>
      <c r="F636" s="902"/>
      <c r="G636" s="902"/>
      <c r="H636" s="903"/>
      <c r="I636" s="900"/>
      <c r="J636" s="900"/>
      <c r="K636" s="902"/>
      <c r="L636" s="904"/>
      <c r="M636" s="904"/>
      <c r="N636" s="905"/>
      <c r="O636" s="905"/>
      <c r="P636" s="906"/>
      <c r="Q636" s="906"/>
      <c r="R636" s="907"/>
      <c r="S636" s="908"/>
      <c r="T636" s="901"/>
      <c r="U636" s="902"/>
      <c r="V636" s="909"/>
      <c r="W636" s="909"/>
      <c r="X636" s="909"/>
      <c r="Y636" s="909"/>
      <c r="Z636" s="909"/>
      <c r="AA636" s="909"/>
      <c r="AB636" s="909"/>
      <c r="AC636" s="909"/>
      <c r="AD636" s="909"/>
    </row>
    <row r="637" s="141" customFormat="1" customHeight="1" spans="1:30">
      <c r="A637" s="900"/>
      <c r="B637" s="900"/>
      <c r="C637" s="900"/>
      <c r="D637" s="901"/>
      <c r="E637" s="901"/>
      <c r="F637" s="902"/>
      <c r="G637" s="902"/>
      <c r="H637" s="903"/>
      <c r="I637" s="900"/>
      <c r="J637" s="900"/>
      <c r="K637" s="902"/>
      <c r="L637" s="904"/>
      <c r="M637" s="904"/>
      <c r="N637" s="905"/>
      <c r="O637" s="905"/>
      <c r="P637" s="906"/>
      <c r="Q637" s="906"/>
      <c r="R637" s="907"/>
      <c r="S637" s="908"/>
      <c r="T637" s="901"/>
      <c r="U637" s="902"/>
      <c r="V637" s="909"/>
      <c r="W637" s="909"/>
      <c r="X637" s="909"/>
      <c r="Y637" s="909"/>
      <c r="Z637" s="909"/>
      <c r="AA637" s="909"/>
      <c r="AB637" s="909"/>
      <c r="AC637" s="909"/>
      <c r="AD637" s="909"/>
    </row>
    <row r="638" s="141" customFormat="1" customHeight="1" spans="1:30">
      <c r="A638" s="900"/>
      <c r="B638" s="900"/>
      <c r="C638" s="900"/>
      <c r="D638" s="901"/>
      <c r="E638" s="901"/>
      <c r="F638" s="902"/>
      <c r="G638" s="902"/>
      <c r="H638" s="903"/>
      <c r="I638" s="900"/>
      <c r="J638" s="900"/>
      <c r="K638" s="902"/>
      <c r="L638" s="904"/>
      <c r="M638" s="904"/>
      <c r="N638" s="905"/>
      <c r="O638" s="905"/>
      <c r="P638" s="906"/>
      <c r="Q638" s="906"/>
      <c r="R638" s="907"/>
      <c r="S638" s="908"/>
      <c r="T638" s="901"/>
      <c r="U638" s="902"/>
      <c r="V638" s="909"/>
      <c r="W638" s="909"/>
      <c r="X638" s="909"/>
      <c r="Y638" s="909"/>
      <c r="Z638" s="909"/>
      <c r="AA638" s="909"/>
      <c r="AB638" s="909"/>
      <c r="AC638" s="909"/>
      <c r="AD638" s="909"/>
    </row>
    <row r="639" s="141" customFormat="1" customHeight="1" spans="1:30">
      <c r="A639" s="900"/>
      <c r="B639" s="900"/>
      <c r="C639" s="900"/>
      <c r="D639" s="901"/>
      <c r="E639" s="901"/>
      <c r="F639" s="902"/>
      <c r="G639" s="902"/>
      <c r="H639" s="903"/>
      <c r="I639" s="900"/>
      <c r="J639" s="900"/>
      <c r="K639" s="902"/>
      <c r="L639" s="904"/>
      <c r="M639" s="904"/>
      <c r="N639" s="905"/>
      <c r="O639" s="905"/>
      <c r="P639" s="906"/>
      <c r="Q639" s="906"/>
      <c r="R639" s="907"/>
      <c r="S639" s="908"/>
      <c r="T639" s="901"/>
      <c r="U639" s="902"/>
      <c r="V639" s="909"/>
      <c r="W639" s="909"/>
      <c r="X639" s="909"/>
      <c r="Y639" s="909"/>
      <c r="Z639" s="909"/>
      <c r="AA639" s="909"/>
      <c r="AB639" s="909"/>
      <c r="AC639" s="909"/>
      <c r="AD639" s="909"/>
    </row>
    <row r="640" s="141" customFormat="1" customHeight="1" spans="1:30">
      <c r="A640" s="900"/>
      <c r="B640" s="900"/>
      <c r="C640" s="900"/>
      <c r="D640" s="901"/>
      <c r="E640" s="901"/>
      <c r="F640" s="902"/>
      <c r="G640" s="902"/>
      <c r="H640" s="903"/>
      <c r="I640" s="900"/>
      <c r="J640" s="900"/>
      <c r="K640" s="902"/>
      <c r="L640" s="904"/>
      <c r="M640" s="904"/>
      <c r="N640" s="905"/>
      <c r="O640" s="905"/>
      <c r="P640" s="906"/>
      <c r="Q640" s="906"/>
      <c r="R640" s="907"/>
      <c r="S640" s="908"/>
      <c r="T640" s="901"/>
      <c r="U640" s="902"/>
      <c r="V640" s="909"/>
      <c r="W640" s="909"/>
      <c r="X640" s="909"/>
      <c r="Y640" s="909"/>
      <c r="Z640" s="909"/>
      <c r="AA640" s="909"/>
      <c r="AB640" s="909"/>
      <c r="AC640" s="909"/>
      <c r="AD640" s="909"/>
    </row>
    <row r="641" s="141" customFormat="1" customHeight="1" spans="1:30">
      <c r="A641" s="900"/>
      <c r="B641" s="900"/>
      <c r="C641" s="900"/>
      <c r="D641" s="901"/>
      <c r="E641" s="901"/>
      <c r="F641" s="902"/>
      <c r="G641" s="902"/>
      <c r="H641" s="903"/>
      <c r="I641" s="900"/>
      <c r="J641" s="900"/>
      <c r="K641" s="902"/>
      <c r="L641" s="904"/>
      <c r="M641" s="904"/>
      <c r="N641" s="905"/>
      <c r="O641" s="905"/>
      <c r="P641" s="906"/>
      <c r="Q641" s="906"/>
      <c r="R641" s="907"/>
      <c r="S641" s="908"/>
      <c r="T641" s="901"/>
      <c r="U641" s="902"/>
      <c r="V641" s="909"/>
      <c r="W641" s="909"/>
      <c r="X641" s="909"/>
      <c r="Y641" s="909"/>
      <c r="Z641" s="909"/>
      <c r="AA641" s="909"/>
      <c r="AB641" s="909"/>
      <c r="AC641" s="909"/>
      <c r="AD641" s="909"/>
    </row>
    <row r="642" s="141" customFormat="1" customHeight="1" spans="1:30">
      <c r="A642" s="900"/>
      <c r="B642" s="900"/>
      <c r="C642" s="900"/>
      <c r="D642" s="901"/>
      <c r="E642" s="901"/>
      <c r="F642" s="902"/>
      <c r="G642" s="902"/>
      <c r="H642" s="903"/>
      <c r="I642" s="900"/>
      <c r="J642" s="900"/>
      <c r="K642" s="902"/>
      <c r="L642" s="904"/>
      <c r="M642" s="904"/>
      <c r="N642" s="905"/>
      <c r="O642" s="905"/>
      <c r="P642" s="906"/>
      <c r="Q642" s="906"/>
      <c r="R642" s="907"/>
      <c r="S642" s="908"/>
      <c r="T642" s="901"/>
      <c r="U642" s="902"/>
      <c r="V642" s="909"/>
      <c r="W642" s="909"/>
      <c r="X642" s="909"/>
      <c r="Y642" s="909"/>
      <c r="Z642" s="909"/>
      <c r="AA642" s="909"/>
      <c r="AB642" s="909"/>
      <c r="AC642" s="909"/>
      <c r="AD642" s="909"/>
    </row>
    <row r="643" s="141" customFormat="1" customHeight="1" spans="1:30">
      <c r="A643" s="900"/>
      <c r="B643" s="900"/>
      <c r="C643" s="900"/>
      <c r="D643" s="901"/>
      <c r="E643" s="901"/>
      <c r="F643" s="902"/>
      <c r="G643" s="902"/>
      <c r="H643" s="903"/>
      <c r="I643" s="900"/>
      <c r="J643" s="900"/>
      <c r="K643" s="902"/>
      <c r="L643" s="904"/>
      <c r="M643" s="904"/>
      <c r="N643" s="905"/>
      <c r="O643" s="905"/>
      <c r="P643" s="906"/>
      <c r="Q643" s="906"/>
      <c r="R643" s="907"/>
      <c r="S643" s="908"/>
      <c r="T643" s="901"/>
      <c r="U643" s="902"/>
      <c r="V643" s="909"/>
      <c r="W643" s="909"/>
      <c r="X643" s="909"/>
      <c r="Y643" s="909"/>
      <c r="Z643" s="909"/>
      <c r="AA643" s="909"/>
      <c r="AB643" s="909"/>
      <c r="AC643" s="909"/>
      <c r="AD643" s="909"/>
    </row>
    <row r="644" s="141" customFormat="1" customHeight="1" spans="1:30">
      <c r="A644" s="900"/>
      <c r="B644" s="900"/>
      <c r="C644" s="900"/>
      <c r="D644" s="901"/>
      <c r="E644" s="901"/>
      <c r="F644" s="902"/>
      <c r="G644" s="902"/>
      <c r="H644" s="903"/>
      <c r="I644" s="900"/>
      <c r="J644" s="900"/>
      <c r="K644" s="902"/>
      <c r="L644" s="904"/>
      <c r="M644" s="904"/>
      <c r="N644" s="905"/>
      <c r="O644" s="905"/>
      <c r="P644" s="906"/>
      <c r="Q644" s="906"/>
      <c r="R644" s="907"/>
      <c r="S644" s="908"/>
      <c r="T644" s="901"/>
      <c r="U644" s="902"/>
      <c r="V644" s="909"/>
      <c r="W644" s="909"/>
      <c r="X644" s="909"/>
      <c r="Y644" s="909"/>
      <c r="Z644" s="909"/>
      <c r="AA644" s="909"/>
      <c r="AB644" s="909"/>
      <c r="AC644" s="909"/>
      <c r="AD644" s="909"/>
    </row>
    <row r="645" s="141" customFormat="1" customHeight="1" spans="1:30">
      <c r="A645" s="900"/>
      <c r="B645" s="900"/>
      <c r="C645" s="900"/>
      <c r="D645" s="901"/>
      <c r="E645" s="901"/>
      <c r="F645" s="902"/>
      <c r="G645" s="902"/>
      <c r="H645" s="903"/>
      <c r="I645" s="900"/>
      <c r="J645" s="900"/>
      <c r="K645" s="902"/>
      <c r="L645" s="904"/>
      <c r="M645" s="904"/>
      <c r="N645" s="905"/>
      <c r="O645" s="905"/>
      <c r="P645" s="906"/>
      <c r="Q645" s="906"/>
      <c r="R645" s="907"/>
      <c r="S645" s="908"/>
      <c r="T645" s="901"/>
      <c r="U645" s="902"/>
      <c r="V645" s="909"/>
      <c r="W645" s="909"/>
      <c r="X645" s="909"/>
      <c r="Y645" s="909"/>
      <c r="Z645" s="909"/>
      <c r="AA645" s="909"/>
      <c r="AB645" s="909"/>
      <c r="AC645" s="909"/>
      <c r="AD645" s="909"/>
    </row>
    <row r="646" s="141" customFormat="1" customHeight="1" spans="1:30">
      <c r="A646" s="900"/>
      <c r="B646" s="900"/>
      <c r="C646" s="900"/>
      <c r="D646" s="901"/>
      <c r="E646" s="901"/>
      <c r="F646" s="902"/>
      <c r="G646" s="902"/>
      <c r="H646" s="903"/>
      <c r="I646" s="900"/>
      <c r="J646" s="900"/>
      <c r="K646" s="902"/>
      <c r="L646" s="904"/>
      <c r="M646" s="904"/>
      <c r="N646" s="905"/>
      <c r="O646" s="905"/>
      <c r="P646" s="906"/>
      <c r="Q646" s="906"/>
      <c r="R646" s="907"/>
      <c r="S646" s="908"/>
      <c r="T646" s="901"/>
      <c r="U646" s="902"/>
      <c r="V646" s="909"/>
      <c r="W646" s="909"/>
      <c r="X646" s="909"/>
      <c r="Y646" s="909"/>
      <c r="Z646" s="909"/>
      <c r="AA646" s="909"/>
      <c r="AB646" s="909"/>
      <c r="AC646" s="909"/>
      <c r="AD646" s="909"/>
    </row>
    <row r="647" s="141" customFormat="1" customHeight="1" spans="1:30">
      <c r="A647" s="900"/>
      <c r="B647" s="900"/>
      <c r="C647" s="900"/>
      <c r="D647" s="901"/>
      <c r="E647" s="901"/>
      <c r="F647" s="902"/>
      <c r="G647" s="902"/>
      <c r="H647" s="903"/>
      <c r="I647" s="900"/>
      <c r="J647" s="900"/>
      <c r="K647" s="902"/>
      <c r="L647" s="904"/>
      <c r="M647" s="904"/>
      <c r="N647" s="905"/>
      <c r="O647" s="905"/>
      <c r="P647" s="906"/>
      <c r="Q647" s="906"/>
      <c r="R647" s="907"/>
      <c r="S647" s="908"/>
      <c r="T647" s="901"/>
      <c r="U647" s="902"/>
      <c r="V647" s="909"/>
      <c r="W647" s="909"/>
      <c r="X647" s="909"/>
      <c r="Y647" s="909"/>
      <c r="Z647" s="909"/>
      <c r="AA647" s="909"/>
      <c r="AB647" s="909"/>
      <c r="AC647" s="909"/>
      <c r="AD647" s="909"/>
    </row>
    <row r="648" s="141" customFormat="1" customHeight="1" spans="1:30">
      <c r="A648" s="900"/>
      <c r="B648" s="900"/>
      <c r="C648" s="900"/>
      <c r="D648" s="901"/>
      <c r="E648" s="901"/>
      <c r="F648" s="902"/>
      <c r="G648" s="902"/>
      <c r="H648" s="903"/>
      <c r="I648" s="900"/>
      <c r="J648" s="900"/>
      <c r="K648" s="902"/>
      <c r="L648" s="904"/>
      <c r="M648" s="904"/>
      <c r="N648" s="905"/>
      <c r="O648" s="905"/>
      <c r="P648" s="906"/>
      <c r="Q648" s="906"/>
      <c r="R648" s="907"/>
      <c r="S648" s="908"/>
      <c r="T648" s="901"/>
      <c r="U648" s="902"/>
      <c r="V648" s="909"/>
      <c r="W648" s="909"/>
      <c r="X648" s="909"/>
      <c r="Y648" s="909"/>
      <c r="Z648" s="909"/>
      <c r="AA648" s="909"/>
      <c r="AB648" s="909"/>
      <c r="AC648" s="909"/>
      <c r="AD648" s="909"/>
    </row>
    <row r="649" s="141" customFormat="1" customHeight="1" spans="1:30">
      <c r="A649" s="900"/>
      <c r="B649" s="900"/>
      <c r="C649" s="900"/>
      <c r="D649" s="901"/>
      <c r="E649" s="901"/>
      <c r="F649" s="902"/>
      <c r="G649" s="902"/>
      <c r="H649" s="903"/>
      <c r="I649" s="900"/>
      <c r="J649" s="900"/>
      <c r="K649" s="902"/>
      <c r="L649" s="904"/>
      <c r="M649" s="904"/>
      <c r="N649" s="905"/>
      <c r="O649" s="905"/>
      <c r="P649" s="906"/>
      <c r="Q649" s="906"/>
      <c r="R649" s="907"/>
      <c r="S649" s="908"/>
      <c r="T649" s="901"/>
      <c r="U649" s="902"/>
      <c r="V649" s="909"/>
      <c r="W649" s="909"/>
      <c r="X649" s="909"/>
      <c r="Y649" s="909"/>
      <c r="Z649" s="909"/>
      <c r="AA649" s="909"/>
      <c r="AB649" s="909"/>
      <c r="AC649" s="909"/>
      <c r="AD649" s="909"/>
    </row>
    <row r="650" s="141" customFormat="1" customHeight="1" spans="1:30">
      <c r="A650" s="900"/>
      <c r="B650" s="900"/>
      <c r="C650" s="900"/>
      <c r="D650" s="901"/>
      <c r="E650" s="901"/>
      <c r="F650" s="902"/>
      <c r="G650" s="902"/>
      <c r="H650" s="903"/>
      <c r="I650" s="900"/>
      <c r="J650" s="900"/>
      <c r="K650" s="902"/>
      <c r="L650" s="904"/>
      <c r="M650" s="904"/>
      <c r="N650" s="905"/>
      <c r="O650" s="905"/>
      <c r="P650" s="906"/>
      <c r="Q650" s="906"/>
      <c r="R650" s="907"/>
      <c r="S650" s="908"/>
      <c r="T650" s="901"/>
      <c r="U650" s="902"/>
      <c r="V650" s="909"/>
      <c r="W650" s="909"/>
      <c r="X650" s="909"/>
      <c r="Y650" s="909"/>
      <c r="Z650" s="909"/>
      <c r="AA650" s="909"/>
      <c r="AB650" s="909"/>
      <c r="AC650" s="909"/>
      <c r="AD650" s="909"/>
    </row>
    <row r="651" s="141" customFormat="1" customHeight="1" spans="1:30">
      <c r="A651" s="900"/>
      <c r="B651" s="900"/>
      <c r="C651" s="900"/>
      <c r="D651" s="901"/>
      <c r="E651" s="901"/>
      <c r="F651" s="902"/>
      <c r="G651" s="902"/>
      <c r="H651" s="903"/>
      <c r="I651" s="900"/>
      <c r="J651" s="900"/>
      <c r="K651" s="902"/>
      <c r="L651" s="904"/>
      <c r="M651" s="904"/>
      <c r="N651" s="905"/>
      <c r="O651" s="905"/>
      <c r="P651" s="906"/>
      <c r="Q651" s="906"/>
      <c r="R651" s="907"/>
      <c r="S651" s="908"/>
      <c r="T651" s="901"/>
      <c r="U651" s="902"/>
      <c r="V651" s="909"/>
      <c r="W651" s="909"/>
      <c r="X651" s="909"/>
      <c r="Y651" s="909"/>
      <c r="Z651" s="909"/>
      <c r="AA651" s="909"/>
      <c r="AB651" s="909"/>
      <c r="AC651" s="909"/>
      <c r="AD651" s="909"/>
    </row>
    <row r="652" s="141" customFormat="1" customHeight="1" spans="1:30">
      <c r="A652" s="900"/>
      <c r="B652" s="900"/>
      <c r="C652" s="900"/>
      <c r="D652" s="901"/>
      <c r="E652" s="901"/>
      <c r="F652" s="902"/>
      <c r="G652" s="902"/>
      <c r="H652" s="903"/>
      <c r="I652" s="900"/>
      <c r="J652" s="900"/>
      <c r="K652" s="902"/>
      <c r="L652" s="904"/>
      <c r="M652" s="904"/>
      <c r="N652" s="905"/>
      <c r="O652" s="905"/>
      <c r="P652" s="906"/>
      <c r="Q652" s="906"/>
      <c r="R652" s="907"/>
      <c r="S652" s="908"/>
      <c r="T652" s="901"/>
      <c r="U652" s="902"/>
      <c r="V652" s="909"/>
      <c r="W652" s="909"/>
      <c r="X652" s="909"/>
      <c r="Y652" s="909"/>
      <c r="Z652" s="909"/>
      <c r="AA652" s="909"/>
      <c r="AB652" s="909"/>
      <c r="AC652" s="909"/>
      <c r="AD652" s="909"/>
    </row>
    <row r="653" s="141" customFormat="1" customHeight="1" spans="1:30">
      <c r="A653" s="900"/>
      <c r="B653" s="900"/>
      <c r="C653" s="900"/>
      <c r="D653" s="901"/>
      <c r="E653" s="901"/>
      <c r="F653" s="902"/>
      <c r="G653" s="902"/>
      <c r="H653" s="903"/>
      <c r="I653" s="900"/>
      <c r="J653" s="900"/>
      <c r="K653" s="902"/>
      <c r="L653" s="904"/>
      <c r="M653" s="904"/>
      <c r="N653" s="905"/>
      <c r="O653" s="905"/>
      <c r="P653" s="906"/>
      <c r="Q653" s="906"/>
      <c r="R653" s="907"/>
      <c r="S653" s="908"/>
      <c r="T653" s="901"/>
      <c r="U653" s="902"/>
      <c r="V653" s="909"/>
      <c r="W653" s="909"/>
      <c r="X653" s="909"/>
      <c r="Y653" s="909"/>
      <c r="Z653" s="909"/>
      <c r="AA653" s="909"/>
      <c r="AB653" s="909"/>
      <c r="AC653" s="909"/>
      <c r="AD653" s="909"/>
    </row>
    <row r="654" s="141" customFormat="1" customHeight="1" spans="1:30">
      <c r="A654" s="900"/>
      <c r="B654" s="900"/>
      <c r="C654" s="900"/>
      <c r="D654" s="901"/>
      <c r="E654" s="901"/>
      <c r="F654" s="902"/>
      <c r="G654" s="902"/>
      <c r="H654" s="903"/>
      <c r="I654" s="900"/>
      <c r="J654" s="900"/>
      <c r="K654" s="902"/>
      <c r="L654" s="904"/>
      <c r="M654" s="904"/>
      <c r="N654" s="905"/>
      <c r="O654" s="905"/>
      <c r="P654" s="906"/>
      <c r="Q654" s="906"/>
      <c r="R654" s="907"/>
      <c r="S654" s="908"/>
      <c r="T654" s="901"/>
      <c r="U654" s="902"/>
      <c r="V654" s="909"/>
      <c r="W654" s="909"/>
      <c r="X654" s="909"/>
      <c r="Y654" s="909"/>
      <c r="Z654" s="909"/>
      <c r="AA654" s="909"/>
      <c r="AB654" s="909"/>
      <c r="AC654" s="909"/>
      <c r="AD654" s="909"/>
    </row>
    <row r="655" s="141" customFormat="1" customHeight="1" spans="1:30">
      <c r="A655" s="900"/>
      <c r="B655" s="900"/>
      <c r="C655" s="900"/>
      <c r="D655" s="901"/>
      <c r="E655" s="901"/>
      <c r="F655" s="902"/>
      <c r="G655" s="902"/>
      <c r="H655" s="903"/>
      <c r="I655" s="900"/>
      <c r="J655" s="900"/>
      <c r="K655" s="902"/>
      <c r="L655" s="904"/>
      <c r="M655" s="904"/>
      <c r="N655" s="905"/>
      <c r="O655" s="905"/>
      <c r="P655" s="906"/>
      <c r="Q655" s="906"/>
      <c r="R655" s="907"/>
      <c r="S655" s="908"/>
      <c r="T655" s="901"/>
      <c r="U655" s="902"/>
      <c r="V655" s="909"/>
      <c r="W655" s="909"/>
      <c r="X655" s="909"/>
      <c r="Y655" s="909"/>
      <c r="Z655" s="909"/>
      <c r="AA655" s="909"/>
      <c r="AB655" s="909"/>
      <c r="AC655" s="909"/>
      <c r="AD655" s="909"/>
    </row>
    <row r="656" s="141" customFormat="1" customHeight="1" spans="1:30">
      <c r="A656" s="900"/>
      <c r="B656" s="900"/>
      <c r="C656" s="900"/>
      <c r="D656" s="901"/>
      <c r="E656" s="901"/>
      <c r="F656" s="902"/>
      <c r="G656" s="902"/>
      <c r="H656" s="903"/>
      <c r="I656" s="900"/>
      <c r="J656" s="900"/>
      <c r="K656" s="902"/>
      <c r="L656" s="904"/>
      <c r="M656" s="904"/>
      <c r="N656" s="905"/>
      <c r="O656" s="905"/>
      <c r="P656" s="906"/>
      <c r="Q656" s="906"/>
      <c r="R656" s="907"/>
      <c r="S656" s="908"/>
      <c r="T656" s="901"/>
      <c r="U656" s="902"/>
      <c r="V656" s="909"/>
      <c r="W656" s="909"/>
      <c r="X656" s="909"/>
      <c r="Y656" s="909"/>
      <c r="Z656" s="909"/>
      <c r="AA656" s="909"/>
      <c r="AB656" s="909"/>
      <c r="AC656" s="909"/>
      <c r="AD656" s="909"/>
    </row>
    <row r="657" s="141" customFormat="1" customHeight="1" spans="1:30">
      <c r="A657" s="900"/>
      <c r="B657" s="900"/>
      <c r="C657" s="900"/>
      <c r="D657" s="901"/>
      <c r="E657" s="901"/>
      <c r="F657" s="902"/>
      <c r="G657" s="902"/>
      <c r="H657" s="903"/>
      <c r="I657" s="900"/>
      <c r="J657" s="900"/>
      <c r="K657" s="902"/>
      <c r="L657" s="904"/>
      <c r="M657" s="904"/>
      <c r="N657" s="905"/>
      <c r="O657" s="905"/>
      <c r="P657" s="906"/>
      <c r="Q657" s="906"/>
      <c r="R657" s="907"/>
      <c r="S657" s="908"/>
      <c r="T657" s="901"/>
      <c r="U657" s="902"/>
      <c r="V657" s="909"/>
      <c r="W657" s="909"/>
      <c r="X657" s="909"/>
      <c r="Y657" s="909"/>
      <c r="Z657" s="909"/>
      <c r="AA657" s="909"/>
      <c r="AB657" s="909"/>
      <c r="AC657" s="909"/>
      <c r="AD657" s="909"/>
    </row>
    <row r="658" s="141" customFormat="1" customHeight="1" spans="1:30">
      <c r="A658" s="900"/>
      <c r="B658" s="900"/>
      <c r="C658" s="900"/>
      <c r="D658" s="901"/>
      <c r="E658" s="901"/>
      <c r="F658" s="902"/>
      <c r="G658" s="902"/>
      <c r="H658" s="903"/>
      <c r="I658" s="900"/>
      <c r="J658" s="900"/>
      <c r="K658" s="902"/>
      <c r="L658" s="904"/>
      <c r="M658" s="904"/>
      <c r="N658" s="905"/>
      <c r="O658" s="905"/>
      <c r="P658" s="906"/>
      <c r="Q658" s="906"/>
      <c r="R658" s="907"/>
      <c r="S658" s="908"/>
      <c r="T658" s="901"/>
      <c r="U658" s="902"/>
      <c r="V658" s="909"/>
      <c r="W658" s="909"/>
      <c r="X658" s="909"/>
      <c r="Y658" s="909"/>
      <c r="Z658" s="909"/>
      <c r="AA658" s="909"/>
      <c r="AB658" s="909"/>
      <c r="AC658" s="909"/>
      <c r="AD658" s="909"/>
    </row>
    <row r="659" s="141" customFormat="1" customHeight="1" spans="1:30">
      <c r="A659" s="900"/>
      <c r="B659" s="900"/>
      <c r="C659" s="900"/>
      <c r="D659" s="901"/>
      <c r="E659" s="901"/>
      <c r="F659" s="902"/>
      <c r="G659" s="902"/>
      <c r="H659" s="903"/>
      <c r="I659" s="900"/>
      <c r="J659" s="900"/>
      <c r="K659" s="902"/>
      <c r="L659" s="904"/>
      <c r="M659" s="904"/>
      <c r="N659" s="905"/>
      <c r="O659" s="905"/>
      <c r="P659" s="906"/>
      <c r="Q659" s="906"/>
      <c r="R659" s="907"/>
      <c r="S659" s="908"/>
      <c r="T659" s="901"/>
      <c r="U659" s="902"/>
      <c r="V659" s="909"/>
      <c r="W659" s="909"/>
      <c r="X659" s="909"/>
      <c r="Y659" s="909"/>
      <c r="Z659" s="909"/>
      <c r="AA659" s="909"/>
      <c r="AB659" s="909"/>
      <c r="AC659" s="909"/>
      <c r="AD659" s="909"/>
    </row>
    <row r="660" s="141" customFormat="1" customHeight="1" spans="1:30">
      <c r="A660" s="900"/>
      <c r="B660" s="900"/>
      <c r="C660" s="900"/>
      <c r="D660" s="901"/>
      <c r="E660" s="901"/>
      <c r="F660" s="902"/>
      <c r="G660" s="902"/>
      <c r="H660" s="903"/>
      <c r="I660" s="900"/>
      <c r="J660" s="900"/>
      <c r="K660" s="902"/>
      <c r="L660" s="904"/>
      <c r="M660" s="904"/>
      <c r="N660" s="905"/>
      <c r="O660" s="905"/>
      <c r="P660" s="906"/>
      <c r="Q660" s="906"/>
      <c r="R660" s="907"/>
      <c r="S660" s="908"/>
      <c r="T660" s="901"/>
      <c r="U660" s="902"/>
      <c r="V660" s="909"/>
      <c r="W660" s="909"/>
      <c r="X660" s="909"/>
      <c r="Y660" s="909"/>
      <c r="Z660" s="909"/>
      <c r="AA660" s="909"/>
      <c r="AB660" s="909"/>
      <c r="AC660" s="909"/>
      <c r="AD660" s="909"/>
    </row>
    <row r="661" s="141" customFormat="1" customHeight="1" spans="1:30">
      <c r="A661" s="900"/>
      <c r="B661" s="900"/>
      <c r="C661" s="900"/>
      <c r="D661" s="901"/>
      <c r="E661" s="901"/>
      <c r="F661" s="902"/>
      <c r="G661" s="902"/>
      <c r="H661" s="903"/>
      <c r="I661" s="900"/>
      <c r="J661" s="900"/>
      <c r="K661" s="902"/>
      <c r="L661" s="904"/>
      <c r="M661" s="904"/>
      <c r="N661" s="905"/>
      <c r="O661" s="905"/>
      <c r="P661" s="906"/>
      <c r="Q661" s="906"/>
      <c r="R661" s="907"/>
      <c r="S661" s="908"/>
      <c r="T661" s="901"/>
      <c r="U661" s="902"/>
      <c r="V661" s="909"/>
      <c r="W661" s="909"/>
      <c r="X661" s="909"/>
      <c r="Y661" s="909"/>
      <c r="Z661" s="909"/>
      <c r="AA661" s="909"/>
      <c r="AB661" s="909"/>
      <c r="AC661" s="909"/>
      <c r="AD661" s="909"/>
    </row>
    <row r="662" s="141" customFormat="1" customHeight="1" spans="1:30">
      <c r="A662" s="900"/>
      <c r="B662" s="900"/>
      <c r="C662" s="900"/>
      <c r="D662" s="901"/>
      <c r="E662" s="901"/>
      <c r="F662" s="902"/>
      <c r="G662" s="902"/>
      <c r="H662" s="903"/>
      <c r="I662" s="900"/>
      <c r="J662" s="900"/>
      <c r="K662" s="902"/>
      <c r="L662" s="904"/>
      <c r="M662" s="904"/>
      <c r="N662" s="905"/>
      <c r="O662" s="905"/>
      <c r="P662" s="906"/>
      <c r="Q662" s="906"/>
      <c r="R662" s="907"/>
      <c r="S662" s="908"/>
      <c r="T662" s="901"/>
      <c r="U662" s="902"/>
      <c r="V662" s="909"/>
      <c r="W662" s="909"/>
      <c r="X662" s="909"/>
      <c r="Y662" s="909"/>
      <c r="Z662" s="909"/>
      <c r="AA662" s="909"/>
      <c r="AB662" s="909"/>
      <c r="AC662" s="909"/>
      <c r="AD662" s="909"/>
    </row>
    <row r="663" s="141" customFormat="1" customHeight="1" spans="1:30">
      <c r="A663" s="900"/>
      <c r="B663" s="900"/>
      <c r="C663" s="900"/>
      <c r="D663" s="901"/>
      <c r="E663" s="901"/>
      <c r="F663" s="902"/>
      <c r="G663" s="902"/>
      <c r="H663" s="903"/>
      <c r="I663" s="900"/>
      <c r="J663" s="900"/>
      <c r="K663" s="902"/>
      <c r="L663" s="904"/>
      <c r="M663" s="904"/>
      <c r="N663" s="905"/>
      <c r="O663" s="905"/>
      <c r="P663" s="906"/>
      <c r="Q663" s="906"/>
      <c r="R663" s="907"/>
      <c r="S663" s="908"/>
      <c r="T663" s="901"/>
      <c r="U663" s="902"/>
      <c r="V663" s="909"/>
      <c r="W663" s="909"/>
      <c r="X663" s="909"/>
      <c r="Y663" s="909"/>
      <c r="Z663" s="909"/>
      <c r="AA663" s="909"/>
      <c r="AB663" s="909"/>
      <c r="AC663" s="909"/>
      <c r="AD663" s="909"/>
    </row>
    <row r="664" s="141" customFormat="1" customHeight="1" spans="1:30">
      <c r="A664" s="900"/>
      <c r="B664" s="900"/>
      <c r="C664" s="900"/>
      <c r="D664" s="901"/>
      <c r="E664" s="901"/>
      <c r="F664" s="902"/>
      <c r="G664" s="902"/>
      <c r="H664" s="903"/>
      <c r="I664" s="900"/>
      <c r="J664" s="900"/>
      <c r="K664" s="902"/>
      <c r="L664" s="904"/>
      <c r="M664" s="904"/>
      <c r="N664" s="905"/>
      <c r="O664" s="905"/>
      <c r="P664" s="906"/>
      <c r="Q664" s="906"/>
      <c r="R664" s="907"/>
      <c r="S664" s="908"/>
      <c r="T664" s="901"/>
      <c r="U664" s="902"/>
      <c r="V664" s="909"/>
      <c r="W664" s="909"/>
      <c r="X664" s="909"/>
      <c r="Y664" s="909"/>
      <c r="Z664" s="909"/>
      <c r="AA664" s="909"/>
      <c r="AB664" s="909"/>
      <c r="AC664" s="909"/>
      <c r="AD664" s="909"/>
    </row>
    <row r="665" s="141" customFormat="1" customHeight="1" spans="1:30">
      <c r="A665" s="900"/>
      <c r="B665" s="900"/>
      <c r="C665" s="900"/>
      <c r="D665" s="901"/>
      <c r="E665" s="901"/>
      <c r="F665" s="902"/>
      <c r="G665" s="902"/>
      <c r="H665" s="903"/>
      <c r="I665" s="900"/>
      <c r="J665" s="900"/>
      <c r="K665" s="902"/>
      <c r="L665" s="904"/>
      <c r="M665" s="904"/>
      <c r="N665" s="905"/>
      <c r="O665" s="905"/>
      <c r="P665" s="906"/>
      <c r="Q665" s="906"/>
      <c r="R665" s="907"/>
      <c r="S665" s="908"/>
      <c r="T665" s="901"/>
      <c r="U665" s="902"/>
      <c r="V665" s="909"/>
      <c r="W665" s="909"/>
      <c r="X665" s="909"/>
      <c r="Y665" s="909"/>
      <c r="Z665" s="909"/>
      <c r="AA665" s="909"/>
      <c r="AB665" s="909"/>
      <c r="AC665" s="909"/>
      <c r="AD665" s="909"/>
    </row>
    <row r="666" s="141" customFormat="1" customHeight="1" spans="1:30">
      <c r="A666" s="900"/>
      <c r="B666" s="900"/>
      <c r="C666" s="900"/>
      <c r="D666" s="901"/>
      <c r="E666" s="901"/>
      <c r="F666" s="902"/>
      <c r="G666" s="902"/>
      <c r="H666" s="903"/>
      <c r="I666" s="900"/>
      <c r="J666" s="900"/>
      <c r="K666" s="902"/>
      <c r="L666" s="904"/>
      <c r="M666" s="904"/>
      <c r="N666" s="905"/>
      <c r="O666" s="905"/>
      <c r="P666" s="906"/>
      <c r="Q666" s="906"/>
      <c r="R666" s="907"/>
      <c r="S666" s="908"/>
      <c r="T666" s="901"/>
      <c r="U666" s="902"/>
      <c r="V666" s="909"/>
      <c r="W666" s="909"/>
      <c r="X666" s="909"/>
      <c r="Y666" s="909"/>
      <c r="Z666" s="909"/>
      <c r="AA666" s="909"/>
      <c r="AB666" s="909"/>
      <c r="AC666" s="909"/>
      <c r="AD666" s="909"/>
    </row>
    <row r="667" s="141" customFormat="1" customHeight="1" spans="1:30">
      <c r="A667" s="900"/>
      <c r="B667" s="900"/>
      <c r="C667" s="900"/>
      <c r="D667" s="901"/>
      <c r="E667" s="901"/>
      <c r="F667" s="902"/>
      <c r="G667" s="902"/>
      <c r="H667" s="903"/>
      <c r="I667" s="900"/>
      <c r="J667" s="900"/>
      <c r="K667" s="902"/>
      <c r="L667" s="904"/>
      <c r="M667" s="904"/>
      <c r="N667" s="905"/>
      <c r="O667" s="905"/>
      <c r="P667" s="906"/>
      <c r="Q667" s="906"/>
      <c r="R667" s="907"/>
      <c r="S667" s="908"/>
      <c r="T667" s="901"/>
      <c r="U667" s="902"/>
      <c r="V667" s="909"/>
      <c r="W667" s="909"/>
      <c r="X667" s="909"/>
      <c r="Y667" s="909"/>
      <c r="Z667" s="909"/>
      <c r="AA667" s="909"/>
      <c r="AB667" s="909"/>
      <c r="AC667" s="909"/>
      <c r="AD667" s="909"/>
    </row>
    <row r="668" s="141" customFormat="1" customHeight="1" spans="1:30">
      <c r="A668" s="900"/>
      <c r="B668" s="900"/>
      <c r="C668" s="900"/>
      <c r="D668" s="901"/>
      <c r="E668" s="901"/>
      <c r="F668" s="902"/>
      <c r="G668" s="902"/>
      <c r="H668" s="903"/>
      <c r="I668" s="900"/>
      <c r="J668" s="900"/>
      <c r="K668" s="902"/>
      <c r="L668" s="904"/>
      <c r="M668" s="904"/>
      <c r="N668" s="905"/>
      <c r="O668" s="905"/>
      <c r="P668" s="906"/>
      <c r="Q668" s="906"/>
      <c r="R668" s="907"/>
      <c r="S668" s="908"/>
      <c r="T668" s="901"/>
      <c r="U668" s="902"/>
      <c r="V668" s="909"/>
      <c r="W668" s="909"/>
      <c r="X668" s="909"/>
      <c r="Y668" s="909"/>
      <c r="Z668" s="909"/>
      <c r="AA668" s="909"/>
      <c r="AB668" s="909"/>
      <c r="AC668" s="909"/>
      <c r="AD668" s="909"/>
    </row>
    <row r="669" s="141" customFormat="1" customHeight="1" spans="1:30">
      <c r="A669" s="900"/>
      <c r="B669" s="900"/>
      <c r="C669" s="900"/>
      <c r="D669" s="901"/>
      <c r="E669" s="901"/>
      <c r="F669" s="902"/>
      <c r="G669" s="902"/>
      <c r="H669" s="903"/>
      <c r="I669" s="900"/>
      <c r="J669" s="900"/>
      <c r="K669" s="902"/>
      <c r="L669" s="904"/>
      <c r="M669" s="904"/>
      <c r="N669" s="905"/>
      <c r="O669" s="905"/>
      <c r="P669" s="906"/>
      <c r="Q669" s="906"/>
      <c r="R669" s="907"/>
      <c r="S669" s="908"/>
      <c r="T669" s="901"/>
      <c r="U669" s="902"/>
      <c r="V669" s="909"/>
      <c r="W669" s="909"/>
      <c r="X669" s="909"/>
      <c r="Y669" s="909"/>
      <c r="Z669" s="909"/>
      <c r="AA669" s="909"/>
      <c r="AB669" s="909"/>
      <c r="AC669" s="909"/>
      <c r="AD669" s="909"/>
    </row>
    <row r="670" s="141" customFormat="1" customHeight="1" spans="1:30">
      <c r="A670" s="900"/>
      <c r="B670" s="900"/>
      <c r="C670" s="900"/>
      <c r="D670" s="901"/>
      <c r="E670" s="901"/>
      <c r="F670" s="902"/>
      <c r="G670" s="902"/>
      <c r="H670" s="903"/>
      <c r="I670" s="900"/>
      <c r="J670" s="900"/>
      <c r="K670" s="902"/>
      <c r="L670" s="904"/>
      <c r="M670" s="904"/>
      <c r="N670" s="905"/>
      <c r="O670" s="905"/>
      <c r="P670" s="906"/>
      <c r="Q670" s="906"/>
      <c r="R670" s="907"/>
      <c r="S670" s="908"/>
      <c r="T670" s="901"/>
      <c r="U670" s="902"/>
      <c r="V670" s="909"/>
      <c r="W670" s="909"/>
      <c r="X670" s="909"/>
      <c r="Y670" s="909"/>
      <c r="Z670" s="909"/>
      <c r="AA670" s="909"/>
      <c r="AB670" s="909"/>
      <c r="AC670" s="909"/>
      <c r="AD670" s="909"/>
    </row>
    <row r="671" s="141" customFormat="1" customHeight="1" spans="1:30">
      <c r="A671" s="900"/>
      <c r="B671" s="900"/>
      <c r="C671" s="900"/>
      <c r="D671" s="901"/>
      <c r="E671" s="901"/>
      <c r="F671" s="902"/>
      <c r="G671" s="902"/>
      <c r="H671" s="903"/>
      <c r="I671" s="900"/>
      <c r="J671" s="900"/>
      <c r="K671" s="902"/>
      <c r="L671" s="904"/>
      <c r="M671" s="904"/>
      <c r="N671" s="905"/>
      <c r="O671" s="905"/>
      <c r="P671" s="906"/>
      <c r="Q671" s="906"/>
      <c r="R671" s="907"/>
      <c r="S671" s="908"/>
      <c r="T671" s="901"/>
      <c r="U671" s="902"/>
      <c r="V671" s="909"/>
      <c r="W671" s="909"/>
      <c r="X671" s="909"/>
      <c r="Y671" s="909"/>
      <c r="Z671" s="909"/>
      <c r="AA671" s="909"/>
      <c r="AB671" s="909"/>
      <c r="AC671" s="909"/>
      <c r="AD671" s="909"/>
    </row>
    <row r="672" s="141" customFormat="1" customHeight="1" spans="1:30">
      <c r="A672" s="900"/>
      <c r="B672" s="900"/>
      <c r="C672" s="900"/>
      <c r="D672" s="901"/>
      <c r="E672" s="901"/>
      <c r="F672" s="902"/>
      <c r="G672" s="902"/>
      <c r="H672" s="903"/>
      <c r="I672" s="900"/>
      <c r="J672" s="900"/>
      <c r="K672" s="902"/>
      <c r="L672" s="904"/>
      <c r="M672" s="904"/>
      <c r="N672" s="905"/>
      <c r="O672" s="905"/>
      <c r="P672" s="906"/>
      <c r="Q672" s="906"/>
      <c r="R672" s="907"/>
      <c r="S672" s="908"/>
      <c r="T672" s="901"/>
      <c r="U672" s="902"/>
      <c r="V672" s="909"/>
      <c r="W672" s="909"/>
      <c r="X672" s="909"/>
      <c r="Y672" s="909"/>
      <c r="Z672" s="909"/>
      <c r="AA672" s="909"/>
      <c r="AB672" s="909"/>
      <c r="AC672" s="909"/>
      <c r="AD672" s="909"/>
    </row>
    <row r="673" s="141" customFormat="1" customHeight="1" spans="1:30">
      <c r="A673" s="900"/>
      <c r="B673" s="900"/>
      <c r="C673" s="900"/>
      <c r="D673" s="901"/>
      <c r="E673" s="901"/>
      <c r="F673" s="902"/>
      <c r="G673" s="902"/>
      <c r="H673" s="903"/>
      <c r="I673" s="900"/>
      <c r="J673" s="900"/>
      <c r="K673" s="902"/>
      <c r="L673" s="904"/>
      <c r="M673" s="904"/>
      <c r="N673" s="905"/>
      <c r="O673" s="905"/>
      <c r="P673" s="906"/>
      <c r="Q673" s="906"/>
      <c r="R673" s="907"/>
      <c r="S673" s="908"/>
      <c r="T673" s="901"/>
      <c r="U673" s="902"/>
      <c r="V673" s="909"/>
      <c r="W673" s="909"/>
      <c r="X673" s="909"/>
      <c r="Y673" s="909"/>
      <c r="Z673" s="909"/>
      <c r="AA673" s="909"/>
      <c r="AB673" s="909"/>
      <c r="AC673" s="909"/>
      <c r="AD673" s="909"/>
    </row>
    <row r="674" s="141" customFormat="1" customHeight="1" spans="1:30">
      <c r="A674" s="900"/>
      <c r="B674" s="900"/>
      <c r="C674" s="900"/>
      <c r="D674" s="901"/>
      <c r="E674" s="901"/>
      <c r="F674" s="902"/>
      <c r="G674" s="902"/>
      <c r="H674" s="903"/>
      <c r="I674" s="900"/>
      <c r="J674" s="900"/>
      <c r="K674" s="902"/>
      <c r="L674" s="904"/>
      <c r="M674" s="904"/>
      <c r="N674" s="905"/>
      <c r="O674" s="905"/>
      <c r="P674" s="906"/>
      <c r="Q674" s="906"/>
      <c r="R674" s="907"/>
      <c r="S674" s="908"/>
      <c r="T674" s="901"/>
      <c r="U674" s="902"/>
      <c r="V674" s="909"/>
      <c r="W674" s="909"/>
      <c r="X674" s="909"/>
      <c r="Y674" s="909"/>
      <c r="Z674" s="909"/>
      <c r="AA674" s="909"/>
      <c r="AB674" s="909"/>
      <c r="AC674" s="909"/>
      <c r="AD674" s="909"/>
    </row>
    <row r="675" s="141" customFormat="1" customHeight="1" spans="1:30">
      <c r="A675" s="900"/>
      <c r="B675" s="900"/>
      <c r="C675" s="900"/>
      <c r="D675" s="901"/>
      <c r="E675" s="901"/>
      <c r="F675" s="902"/>
      <c r="G675" s="902"/>
      <c r="H675" s="903"/>
      <c r="I675" s="900"/>
      <c r="J675" s="900"/>
      <c r="K675" s="902"/>
      <c r="L675" s="904"/>
      <c r="M675" s="904"/>
      <c r="N675" s="905"/>
      <c r="O675" s="905"/>
      <c r="P675" s="906"/>
      <c r="Q675" s="906"/>
      <c r="R675" s="907"/>
      <c r="S675" s="908"/>
      <c r="T675" s="901"/>
      <c r="U675" s="902"/>
      <c r="V675" s="909"/>
      <c r="W675" s="909"/>
      <c r="X675" s="909"/>
      <c r="Y675" s="909"/>
      <c r="Z675" s="909"/>
      <c r="AA675" s="909"/>
      <c r="AB675" s="909"/>
      <c r="AC675" s="909"/>
      <c r="AD675" s="909"/>
    </row>
    <row r="676" s="141" customFormat="1" customHeight="1" spans="1:30">
      <c r="A676" s="900"/>
      <c r="B676" s="900"/>
      <c r="C676" s="900"/>
      <c r="D676" s="901"/>
      <c r="E676" s="901"/>
      <c r="F676" s="902"/>
      <c r="G676" s="902"/>
      <c r="H676" s="903"/>
      <c r="I676" s="900"/>
      <c r="J676" s="900"/>
      <c r="K676" s="902"/>
      <c r="L676" s="904"/>
      <c r="M676" s="904"/>
      <c r="N676" s="905"/>
      <c r="O676" s="905"/>
      <c r="P676" s="906"/>
      <c r="Q676" s="906"/>
      <c r="R676" s="907"/>
      <c r="S676" s="908"/>
      <c r="T676" s="901"/>
      <c r="U676" s="902"/>
      <c r="V676" s="909"/>
      <c r="W676" s="909"/>
      <c r="X676" s="909"/>
      <c r="Y676" s="909"/>
      <c r="Z676" s="909"/>
      <c r="AA676" s="909"/>
      <c r="AB676" s="909"/>
      <c r="AC676" s="909"/>
      <c r="AD676" s="909"/>
    </row>
    <row r="677" s="141" customFormat="1" customHeight="1" spans="1:30">
      <c r="A677" s="900"/>
      <c r="B677" s="900"/>
      <c r="C677" s="900"/>
      <c r="D677" s="901"/>
      <c r="E677" s="901"/>
      <c r="F677" s="902"/>
      <c r="G677" s="902"/>
      <c r="H677" s="903"/>
      <c r="I677" s="900"/>
      <c r="J677" s="900"/>
      <c r="K677" s="902"/>
      <c r="L677" s="904"/>
      <c r="M677" s="904"/>
      <c r="N677" s="905"/>
      <c r="O677" s="905"/>
      <c r="P677" s="906"/>
      <c r="Q677" s="906"/>
      <c r="R677" s="907"/>
      <c r="S677" s="908"/>
      <c r="T677" s="901"/>
      <c r="U677" s="902"/>
      <c r="V677" s="909"/>
      <c r="W677" s="909"/>
      <c r="X677" s="909"/>
      <c r="Y677" s="909"/>
      <c r="Z677" s="909"/>
      <c r="AA677" s="909"/>
      <c r="AB677" s="909"/>
      <c r="AC677" s="909"/>
      <c r="AD677" s="909"/>
    </row>
    <row r="678" s="141" customFormat="1" customHeight="1" spans="1:30">
      <c r="A678" s="900"/>
      <c r="B678" s="900"/>
      <c r="C678" s="900"/>
      <c r="D678" s="901"/>
      <c r="E678" s="901"/>
      <c r="F678" s="902"/>
      <c r="G678" s="902"/>
      <c r="H678" s="903"/>
      <c r="I678" s="900"/>
      <c r="J678" s="900"/>
      <c r="K678" s="902"/>
      <c r="L678" s="904"/>
      <c r="M678" s="904"/>
      <c r="N678" s="905"/>
      <c r="O678" s="905"/>
      <c r="P678" s="906"/>
      <c r="Q678" s="906"/>
      <c r="R678" s="907"/>
      <c r="S678" s="908"/>
      <c r="T678" s="901"/>
      <c r="U678" s="902"/>
      <c r="V678" s="909"/>
      <c r="W678" s="909"/>
      <c r="X678" s="909"/>
      <c r="Y678" s="909"/>
      <c r="Z678" s="909"/>
      <c r="AA678" s="909"/>
      <c r="AB678" s="909"/>
      <c r="AC678" s="909"/>
      <c r="AD678" s="909"/>
    </row>
    <row r="679" s="141" customFormat="1" customHeight="1" spans="1:30">
      <c r="A679" s="900"/>
      <c r="B679" s="900"/>
      <c r="C679" s="900"/>
      <c r="D679" s="901"/>
      <c r="E679" s="901"/>
      <c r="F679" s="902"/>
      <c r="G679" s="902"/>
      <c r="H679" s="903"/>
      <c r="I679" s="900"/>
      <c r="J679" s="900"/>
      <c r="K679" s="902"/>
      <c r="L679" s="904"/>
      <c r="M679" s="904"/>
      <c r="N679" s="905"/>
      <c r="O679" s="905"/>
      <c r="P679" s="906"/>
      <c r="Q679" s="906"/>
      <c r="R679" s="907"/>
      <c r="S679" s="908"/>
      <c r="T679" s="901"/>
      <c r="U679" s="902"/>
      <c r="V679" s="909"/>
      <c r="W679" s="909"/>
      <c r="X679" s="909"/>
      <c r="Y679" s="909"/>
      <c r="Z679" s="909"/>
      <c r="AA679" s="909"/>
      <c r="AB679" s="909"/>
      <c r="AC679" s="909"/>
      <c r="AD679" s="909"/>
    </row>
    <row r="680" s="141" customFormat="1" customHeight="1" spans="1:30">
      <c r="A680" s="900"/>
      <c r="B680" s="900"/>
      <c r="C680" s="900"/>
      <c r="D680" s="901"/>
      <c r="E680" s="901"/>
      <c r="F680" s="902"/>
      <c r="G680" s="902"/>
      <c r="H680" s="903"/>
      <c r="I680" s="900"/>
      <c r="J680" s="900"/>
      <c r="K680" s="902"/>
      <c r="L680" s="904"/>
      <c r="M680" s="904"/>
      <c r="N680" s="905"/>
      <c r="O680" s="905"/>
      <c r="P680" s="906"/>
      <c r="Q680" s="906"/>
      <c r="R680" s="907"/>
      <c r="S680" s="908"/>
      <c r="T680" s="901"/>
      <c r="U680" s="902"/>
      <c r="V680" s="909"/>
      <c r="W680" s="909"/>
      <c r="X680" s="909"/>
      <c r="Y680" s="909"/>
      <c r="Z680" s="909"/>
      <c r="AA680" s="909"/>
      <c r="AB680" s="909"/>
      <c r="AC680" s="909"/>
      <c r="AD680" s="909"/>
    </row>
    <row r="681" s="141" customFormat="1" customHeight="1" spans="1:30">
      <c r="A681" s="900"/>
      <c r="B681" s="900"/>
      <c r="C681" s="900"/>
      <c r="D681" s="901"/>
      <c r="E681" s="901"/>
      <c r="F681" s="902"/>
      <c r="G681" s="902"/>
      <c r="H681" s="903"/>
      <c r="I681" s="900"/>
      <c r="J681" s="900"/>
      <c r="K681" s="902"/>
      <c r="L681" s="904"/>
      <c r="M681" s="904"/>
      <c r="N681" s="905"/>
      <c r="O681" s="905"/>
      <c r="P681" s="906"/>
      <c r="Q681" s="906"/>
      <c r="R681" s="907"/>
      <c r="S681" s="908"/>
      <c r="T681" s="901"/>
      <c r="U681" s="902"/>
      <c r="V681" s="909"/>
      <c r="W681" s="909"/>
      <c r="X681" s="909"/>
      <c r="Y681" s="909"/>
      <c r="Z681" s="909"/>
      <c r="AA681" s="909"/>
      <c r="AB681" s="909"/>
      <c r="AC681" s="909"/>
      <c r="AD681" s="909"/>
    </row>
    <row r="682" s="141" customFormat="1" customHeight="1" spans="1:30">
      <c r="A682" s="900"/>
      <c r="B682" s="900"/>
      <c r="C682" s="900"/>
      <c r="D682" s="901"/>
      <c r="E682" s="901"/>
      <c r="F682" s="902"/>
      <c r="G682" s="902"/>
      <c r="H682" s="903"/>
      <c r="I682" s="900"/>
      <c r="J682" s="900"/>
      <c r="K682" s="902"/>
      <c r="L682" s="904"/>
      <c r="M682" s="904"/>
      <c r="N682" s="905"/>
      <c r="O682" s="905"/>
      <c r="P682" s="906"/>
      <c r="Q682" s="906"/>
      <c r="R682" s="907"/>
      <c r="S682" s="908"/>
      <c r="T682" s="901"/>
      <c r="U682" s="902"/>
      <c r="V682" s="909"/>
      <c r="W682" s="909"/>
      <c r="X682" s="909"/>
      <c r="Y682" s="909"/>
      <c r="Z682" s="909"/>
      <c r="AA682" s="909"/>
      <c r="AB682" s="909"/>
      <c r="AC682" s="909"/>
      <c r="AD682" s="909"/>
    </row>
    <row r="683" s="141" customFormat="1" customHeight="1" spans="1:30">
      <c r="A683" s="900"/>
      <c r="B683" s="900"/>
      <c r="C683" s="900"/>
      <c r="D683" s="901"/>
      <c r="E683" s="901"/>
      <c r="F683" s="902"/>
      <c r="G683" s="902"/>
      <c r="H683" s="903"/>
      <c r="I683" s="900"/>
      <c r="J683" s="900"/>
      <c r="K683" s="902"/>
      <c r="L683" s="904"/>
      <c r="M683" s="904"/>
      <c r="N683" s="905"/>
      <c r="O683" s="905"/>
      <c r="P683" s="906"/>
      <c r="Q683" s="906"/>
      <c r="R683" s="907"/>
      <c r="S683" s="908"/>
      <c r="T683" s="901"/>
      <c r="U683" s="902"/>
      <c r="V683" s="909"/>
      <c r="W683" s="909"/>
      <c r="X683" s="909"/>
      <c r="Y683" s="909"/>
      <c r="Z683" s="909"/>
      <c r="AA683" s="909"/>
      <c r="AB683" s="909"/>
      <c r="AC683" s="909"/>
      <c r="AD683" s="909"/>
    </row>
    <row r="684" s="141" customFormat="1" customHeight="1" spans="1:30">
      <c r="A684" s="900"/>
      <c r="B684" s="900"/>
      <c r="C684" s="900"/>
      <c r="D684" s="901"/>
      <c r="E684" s="901"/>
      <c r="F684" s="902"/>
      <c r="G684" s="902"/>
      <c r="H684" s="903"/>
      <c r="I684" s="900"/>
      <c r="J684" s="900"/>
      <c r="K684" s="902"/>
      <c r="L684" s="904"/>
      <c r="M684" s="904"/>
      <c r="N684" s="905"/>
      <c r="O684" s="905"/>
      <c r="P684" s="906"/>
      <c r="Q684" s="906"/>
      <c r="R684" s="907"/>
      <c r="S684" s="908"/>
      <c r="T684" s="901"/>
      <c r="U684" s="902"/>
      <c r="V684" s="909"/>
      <c r="W684" s="909"/>
      <c r="X684" s="909"/>
      <c r="Y684" s="909"/>
      <c r="Z684" s="909"/>
      <c r="AA684" s="909"/>
      <c r="AB684" s="909"/>
      <c r="AC684" s="909"/>
      <c r="AD684" s="909"/>
    </row>
    <row r="685" s="141" customFormat="1" customHeight="1" spans="1:30">
      <c r="A685" s="900"/>
      <c r="B685" s="900"/>
      <c r="C685" s="900"/>
      <c r="D685" s="901"/>
      <c r="E685" s="901"/>
      <c r="F685" s="902"/>
      <c r="G685" s="902"/>
      <c r="H685" s="903"/>
      <c r="I685" s="900"/>
      <c r="J685" s="900"/>
      <c r="K685" s="902"/>
      <c r="L685" s="904"/>
      <c r="M685" s="904"/>
      <c r="N685" s="905"/>
      <c r="O685" s="905"/>
      <c r="P685" s="906"/>
      <c r="Q685" s="906"/>
      <c r="R685" s="907"/>
      <c r="S685" s="908"/>
      <c r="T685" s="901"/>
      <c r="U685" s="902"/>
      <c r="V685" s="909"/>
      <c r="W685" s="909"/>
      <c r="X685" s="909"/>
      <c r="Y685" s="909"/>
      <c r="Z685" s="909"/>
      <c r="AA685" s="909"/>
      <c r="AB685" s="909"/>
      <c r="AC685" s="909"/>
      <c r="AD685" s="909"/>
    </row>
    <row r="686" s="141" customFormat="1" customHeight="1" spans="1:30">
      <c r="A686" s="900"/>
      <c r="B686" s="900"/>
      <c r="C686" s="900"/>
      <c r="D686" s="901"/>
      <c r="E686" s="901"/>
      <c r="F686" s="902"/>
      <c r="G686" s="902"/>
      <c r="H686" s="903"/>
      <c r="I686" s="900"/>
      <c r="J686" s="900"/>
      <c r="K686" s="902"/>
      <c r="L686" s="904"/>
      <c r="M686" s="904"/>
      <c r="N686" s="905"/>
      <c r="O686" s="905"/>
      <c r="P686" s="906"/>
      <c r="Q686" s="906"/>
      <c r="R686" s="907"/>
      <c r="S686" s="908"/>
      <c r="T686" s="901"/>
      <c r="U686" s="902"/>
      <c r="V686" s="909"/>
      <c r="W686" s="909"/>
      <c r="X686" s="909"/>
      <c r="Y686" s="909"/>
      <c r="Z686" s="909"/>
      <c r="AA686" s="909"/>
      <c r="AB686" s="909"/>
      <c r="AC686" s="909"/>
      <c r="AD686" s="909"/>
    </row>
    <row r="687" s="141" customFormat="1" customHeight="1" spans="1:30">
      <c r="A687" s="900"/>
      <c r="B687" s="900"/>
      <c r="C687" s="900"/>
      <c r="D687" s="901"/>
      <c r="E687" s="901"/>
      <c r="F687" s="902"/>
      <c r="G687" s="902"/>
      <c r="H687" s="903"/>
      <c r="I687" s="900"/>
      <c r="J687" s="900"/>
      <c r="K687" s="902"/>
      <c r="L687" s="904"/>
      <c r="M687" s="904"/>
      <c r="N687" s="905"/>
      <c r="O687" s="905"/>
      <c r="P687" s="906"/>
      <c r="Q687" s="906"/>
      <c r="R687" s="907"/>
      <c r="S687" s="908"/>
      <c r="T687" s="901"/>
      <c r="U687" s="902"/>
      <c r="V687" s="909"/>
      <c r="W687" s="909"/>
      <c r="X687" s="909"/>
      <c r="Y687" s="909"/>
      <c r="Z687" s="909"/>
      <c r="AA687" s="909"/>
      <c r="AB687" s="909"/>
      <c r="AC687" s="909"/>
      <c r="AD687" s="909"/>
    </row>
    <row r="688" s="141" customFormat="1" customHeight="1" spans="1:30">
      <c r="A688" s="900"/>
      <c r="B688" s="900"/>
      <c r="C688" s="900"/>
      <c r="D688" s="901"/>
      <c r="E688" s="901"/>
      <c r="F688" s="902"/>
      <c r="G688" s="902"/>
      <c r="H688" s="903"/>
      <c r="I688" s="900"/>
      <c r="J688" s="900"/>
      <c r="K688" s="902"/>
      <c r="L688" s="904"/>
      <c r="M688" s="904"/>
      <c r="N688" s="905"/>
      <c r="O688" s="905"/>
      <c r="P688" s="906"/>
      <c r="Q688" s="906"/>
      <c r="R688" s="907"/>
      <c r="S688" s="908"/>
      <c r="T688" s="901"/>
      <c r="U688" s="902"/>
      <c r="V688" s="909"/>
      <c r="W688" s="909"/>
      <c r="X688" s="909"/>
      <c r="Y688" s="909"/>
      <c r="Z688" s="909"/>
      <c r="AA688" s="909"/>
      <c r="AB688" s="909"/>
      <c r="AC688" s="909"/>
      <c r="AD688" s="909"/>
    </row>
    <row r="689" s="141" customFormat="1" customHeight="1" spans="1:30">
      <c r="A689" s="900"/>
      <c r="B689" s="900"/>
      <c r="C689" s="900"/>
      <c r="D689" s="901"/>
      <c r="E689" s="901"/>
      <c r="F689" s="902"/>
      <c r="G689" s="902"/>
      <c r="H689" s="903"/>
      <c r="I689" s="900"/>
      <c r="J689" s="900"/>
      <c r="K689" s="902"/>
      <c r="L689" s="904"/>
      <c r="M689" s="904"/>
      <c r="N689" s="905"/>
      <c r="O689" s="905"/>
      <c r="P689" s="906"/>
      <c r="Q689" s="906"/>
      <c r="R689" s="907"/>
      <c r="S689" s="908"/>
      <c r="T689" s="901"/>
      <c r="U689" s="902"/>
      <c r="V689" s="909"/>
      <c r="W689" s="909"/>
      <c r="X689" s="909"/>
      <c r="Y689" s="909"/>
      <c r="Z689" s="909"/>
      <c r="AA689" s="909"/>
      <c r="AB689" s="909"/>
      <c r="AC689" s="909"/>
      <c r="AD689" s="909"/>
    </row>
    <row r="690" s="141" customFormat="1" customHeight="1" spans="1:30">
      <c r="A690" s="900"/>
      <c r="B690" s="900"/>
      <c r="C690" s="900"/>
      <c r="D690" s="901"/>
      <c r="E690" s="901"/>
      <c r="F690" s="902"/>
      <c r="G690" s="902"/>
      <c r="H690" s="903"/>
      <c r="I690" s="900"/>
      <c r="J690" s="900"/>
      <c r="K690" s="902"/>
      <c r="L690" s="904"/>
      <c r="M690" s="904"/>
      <c r="N690" s="905"/>
      <c r="O690" s="905"/>
      <c r="P690" s="906"/>
      <c r="Q690" s="906"/>
      <c r="R690" s="907"/>
      <c r="S690" s="908"/>
      <c r="T690" s="901"/>
      <c r="U690" s="902"/>
      <c r="V690" s="909"/>
      <c r="W690" s="909"/>
      <c r="X690" s="909"/>
      <c r="Y690" s="909"/>
      <c r="Z690" s="909"/>
      <c r="AA690" s="909"/>
      <c r="AB690" s="909"/>
      <c r="AC690" s="909"/>
      <c r="AD690" s="909"/>
    </row>
    <row r="691" s="141" customFormat="1" customHeight="1" spans="1:30">
      <c r="A691" s="900"/>
      <c r="B691" s="900"/>
      <c r="C691" s="900"/>
      <c r="D691" s="901"/>
      <c r="E691" s="901"/>
      <c r="F691" s="902"/>
      <c r="G691" s="902"/>
      <c r="H691" s="903"/>
      <c r="I691" s="900"/>
      <c r="J691" s="900"/>
      <c r="K691" s="902"/>
      <c r="L691" s="904"/>
      <c r="M691" s="904"/>
      <c r="N691" s="905"/>
      <c r="O691" s="905"/>
      <c r="P691" s="906"/>
      <c r="Q691" s="906"/>
      <c r="R691" s="907"/>
      <c r="S691" s="908"/>
      <c r="T691" s="901"/>
      <c r="U691" s="902"/>
      <c r="V691" s="909"/>
      <c r="W691" s="909"/>
      <c r="X691" s="909"/>
      <c r="Y691" s="909"/>
      <c r="Z691" s="909"/>
      <c r="AA691" s="909"/>
      <c r="AB691" s="909"/>
      <c r="AC691" s="909"/>
      <c r="AD691" s="909"/>
    </row>
    <row r="692" s="141" customFormat="1" customHeight="1" spans="1:30">
      <c r="A692" s="900"/>
      <c r="B692" s="900"/>
      <c r="C692" s="900"/>
      <c r="D692" s="901"/>
      <c r="E692" s="901"/>
      <c r="F692" s="902"/>
      <c r="G692" s="902"/>
      <c r="H692" s="903"/>
      <c r="I692" s="900"/>
      <c r="J692" s="900"/>
      <c r="K692" s="902"/>
      <c r="L692" s="904"/>
      <c r="M692" s="904"/>
      <c r="N692" s="905"/>
      <c r="O692" s="905"/>
      <c r="P692" s="906"/>
      <c r="Q692" s="906"/>
      <c r="R692" s="907"/>
      <c r="S692" s="908"/>
      <c r="T692" s="901"/>
      <c r="U692" s="902"/>
      <c r="V692" s="909"/>
      <c r="W692" s="909"/>
      <c r="X692" s="909"/>
      <c r="Y692" s="909"/>
      <c r="Z692" s="909"/>
      <c r="AA692" s="909"/>
      <c r="AB692" s="909"/>
      <c r="AC692" s="909"/>
      <c r="AD692" s="909"/>
    </row>
    <row r="693" s="141" customFormat="1" customHeight="1" spans="1:30">
      <c r="A693" s="900"/>
      <c r="B693" s="900"/>
      <c r="C693" s="900"/>
      <c r="D693" s="901"/>
      <c r="E693" s="901"/>
      <c r="F693" s="902"/>
      <c r="G693" s="902"/>
      <c r="H693" s="903"/>
      <c r="I693" s="900"/>
      <c r="J693" s="900"/>
      <c r="K693" s="902"/>
      <c r="L693" s="904"/>
      <c r="M693" s="904"/>
      <c r="N693" s="905"/>
      <c r="O693" s="905"/>
      <c r="P693" s="906"/>
      <c r="Q693" s="906"/>
      <c r="R693" s="907"/>
      <c r="S693" s="908"/>
      <c r="T693" s="901"/>
      <c r="U693" s="902"/>
      <c r="V693" s="909"/>
      <c r="W693" s="909"/>
      <c r="X693" s="909"/>
      <c r="Y693" s="909"/>
      <c r="Z693" s="909"/>
      <c r="AA693" s="909"/>
      <c r="AB693" s="909"/>
      <c r="AC693" s="909"/>
      <c r="AD693" s="909"/>
    </row>
    <row r="694" s="141" customFormat="1" customHeight="1" spans="1:30">
      <c r="A694" s="900"/>
      <c r="B694" s="900"/>
      <c r="C694" s="900"/>
      <c r="D694" s="901"/>
      <c r="E694" s="901"/>
      <c r="F694" s="902"/>
      <c r="G694" s="902"/>
      <c r="H694" s="903"/>
      <c r="I694" s="900"/>
      <c r="J694" s="900"/>
      <c r="K694" s="902"/>
      <c r="L694" s="904"/>
      <c r="M694" s="904"/>
      <c r="N694" s="905"/>
      <c r="O694" s="905"/>
      <c r="P694" s="906"/>
      <c r="Q694" s="906"/>
      <c r="R694" s="907"/>
      <c r="S694" s="908"/>
      <c r="T694" s="901"/>
      <c r="U694" s="902"/>
      <c r="V694" s="909"/>
      <c r="W694" s="909"/>
      <c r="X694" s="909"/>
      <c r="Y694" s="909"/>
      <c r="Z694" s="909"/>
      <c r="AA694" s="909"/>
      <c r="AB694" s="909"/>
      <c r="AC694" s="909"/>
      <c r="AD694" s="909"/>
    </row>
    <row r="695" s="141" customFormat="1" customHeight="1" spans="1:30">
      <c r="A695" s="900"/>
      <c r="B695" s="900"/>
      <c r="C695" s="900"/>
      <c r="D695" s="901"/>
      <c r="E695" s="901"/>
      <c r="F695" s="902"/>
      <c r="G695" s="902"/>
      <c r="H695" s="903"/>
      <c r="I695" s="900"/>
      <c r="J695" s="900"/>
      <c r="K695" s="902"/>
      <c r="L695" s="904"/>
      <c r="M695" s="904"/>
      <c r="N695" s="905"/>
      <c r="O695" s="905"/>
      <c r="P695" s="906"/>
      <c r="Q695" s="906"/>
      <c r="R695" s="907"/>
      <c r="S695" s="908"/>
      <c r="T695" s="901"/>
      <c r="U695" s="902"/>
      <c r="V695" s="909"/>
      <c r="W695" s="909"/>
      <c r="X695" s="909"/>
      <c r="Y695" s="909"/>
      <c r="Z695" s="909"/>
      <c r="AA695" s="909"/>
      <c r="AB695" s="909"/>
      <c r="AC695" s="909"/>
      <c r="AD695" s="909"/>
    </row>
    <row r="696" s="141" customFormat="1" customHeight="1" spans="1:30">
      <c r="A696" s="900"/>
      <c r="B696" s="900"/>
      <c r="C696" s="900"/>
      <c r="D696" s="901"/>
      <c r="E696" s="901"/>
      <c r="F696" s="902"/>
      <c r="G696" s="902"/>
      <c r="H696" s="903"/>
      <c r="I696" s="900"/>
      <c r="J696" s="900"/>
      <c r="K696" s="902"/>
      <c r="L696" s="904"/>
      <c r="M696" s="904"/>
      <c r="N696" s="905"/>
      <c r="O696" s="905"/>
      <c r="P696" s="906"/>
      <c r="Q696" s="906"/>
      <c r="R696" s="907"/>
      <c r="S696" s="908"/>
      <c r="T696" s="901"/>
      <c r="U696" s="902"/>
      <c r="V696" s="909"/>
      <c r="W696" s="909"/>
      <c r="X696" s="909"/>
      <c r="Y696" s="909"/>
      <c r="Z696" s="909"/>
      <c r="AA696" s="909"/>
      <c r="AB696" s="909"/>
      <c r="AC696" s="909"/>
      <c r="AD696" s="909"/>
    </row>
    <row r="697" s="141" customFormat="1" customHeight="1" spans="1:30">
      <c r="A697" s="900"/>
      <c r="B697" s="900"/>
      <c r="C697" s="900"/>
      <c r="D697" s="901"/>
      <c r="E697" s="901"/>
      <c r="F697" s="902"/>
      <c r="G697" s="902"/>
      <c r="H697" s="903"/>
      <c r="I697" s="900"/>
      <c r="J697" s="900"/>
      <c r="K697" s="902"/>
      <c r="L697" s="904"/>
      <c r="M697" s="904"/>
      <c r="N697" s="905"/>
      <c r="O697" s="905"/>
      <c r="P697" s="906"/>
      <c r="Q697" s="906"/>
      <c r="R697" s="907"/>
      <c r="S697" s="908"/>
      <c r="T697" s="901"/>
      <c r="U697" s="902"/>
      <c r="V697" s="909"/>
      <c r="W697" s="909"/>
      <c r="X697" s="909"/>
      <c r="Y697" s="909"/>
      <c r="Z697" s="909"/>
      <c r="AA697" s="909"/>
      <c r="AB697" s="909"/>
      <c r="AC697" s="909"/>
      <c r="AD697" s="909"/>
    </row>
    <row r="698" s="141" customFormat="1" customHeight="1" spans="1:30">
      <c r="A698" s="900"/>
      <c r="B698" s="900"/>
      <c r="C698" s="900"/>
      <c r="D698" s="901"/>
      <c r="E698" s="901"/>
      <c r="F698" s="902"/>
      <c r="G698" s="902"/>
      <c r="H698" s="903"/>
      <c r="I698" s="900"/>
      <c r="J698" s="900"/>
      <c r="K698" s="902"/>
      <c r="L698" s="904"/>
      <c r="M698" s="904"/>
      <c r="N698" s="905"/>
      <c r="O698" s="905"/>
      <c r="P698" s="906"/>
      <c r="Q698" s="906"/>
      <c r="R698" s="907"/>
      <c r="S698" s="908"/>
      <c r="T698" s="901"/>
      <c r="U698" s="902"/>
      <c r="V698" s="909"/>
      <c r="W698" s="909"/>
      <c r="X698" s="909"/>
      <c r="Y698" s="909"/>
      <c r="Z698" s="909"/>
      <c r="AA698" s="909"/>
      <c r="AB698" s="909"/>
      <c r="AC698" s="909"/>
      <c r="AD698" s="909"/>
    </row>
    <row r="699" s="141" customFormat="1" customHeight="1" spans="1:30">
      <c r="A699" s="900"/>
      <c r="B699" s="900"/>
      <c r="C699" s="900"/>
      <c r="D699" s="901"/>
      <c r="E699" s="901"/>
      <c r="F699" s="902"/>
      <c r="G699" s="902"/>
      <c r="H699" s="903"/>
      <c r="I699" s="900"/>
      <c r="J699" s="900"/>
      <c r="K699" s="902"/>
      <c r="L699" s="904"/>
      <c r="M699" s="904"/>
      <c r="N699" s="905"/>
      <c r="O699" s="905"/>
      <c r="P699" s="906"/>
      <c r="Q699" s="906"/>
      <c r="R699" s="907"/>
      <c r="S699" s="908"/>
      <c r="T699" s="901"/>
      <c r="U699" s="902"/>
      <c r="V699" s="909"/>
      <c r="W699" s="909"/>
      <c r="X699" s="909"/>
      <c r="Y699" s="909"/>
      <c r="Z699" s="909"/>
      <c r="AA699" s="909"/>
      <c r="AB699" s="909"/>
      <c r="AC699" s="909"/>
      <c r="AD699" s="909"/>
    </row>
    <row r="700" s="141" customFormat="1" customHeight="1" spans="1:30">
      <c r="A700" s="900"/>
      <c r="B700" s="900"/>
      <c r="C700" s="900"/>
      <c r="D700" s="901"/>
      <c r="E700" s="901"/>
      <c r="F700" s="902"/>
      <c r="G700" s="902"/>
      <c r="H700" s="903"/>
      <c r="I700" s="900"/>
      <c r="J700" s="900"/>
      <c r="K700" s="902"/>
      <c r="L700" s="904"/>
      <c r="M700" s="904"/>
      <c r="N700" s="905"/>
      <c r="O700" s="905"/>
      <c r="P700" s="906"/>
      <c r="Q700" s="906"/>
      <c r="R700" s="907"/>
      <c r="S700" s="908"/>
      <c r="T700" s="901"/>
      <c r="U700" s="902"/>
      <c r="V700" s="909"/>
      <c r="W700" s="909"/>
      <c r="X700" s="909"/>
      <c r="Y700" s="909"/>
      <c r="Z700" s="909"/>
      <c r="AA700" s="909"/>
      <c r="AB700" s="909"/>
      <c r="AC700" s="909"/>
      <c r="AD700" s="909"/>
    </row>
    <row r="701" s="141" customFormat="1" customHeight="1" spans="1:30">
      <c r="A701" s="900"/>
      <c r="B701" s="900"/>
      <c r="C701" s="900"/>
      <c r="D701" s="901"/>
      <c r="E701" s="901"/>
      <c r="F701" s="902"/>
      <c r="G701" s="902"/>
      <c r="H701" s="903"/>
      <c r="I701" s="900"/>
      <c r="J701" s="900"/>
      <c r="K701" s="902"/>
      <c r="L701" s="904"/>
      <c r="M701" s="904"/>
      <c r="N701" s="905"/>
      <c r="O701" s="905"/>
      <c r="P701" s="906"/>
      <c r="Q701" s="906"/>
      <c r="R701" s="907"/>
      <c r="S701" s="908"/>
      <c r="T701" s="901"/>
      <c r="U701" s="902"/>
      <c r="V701" s="909"/>
      <c r="W701" s="909"/>
      <c r="X701" s="909"/>
      <c r="Y701" s="909"/>
      <c r="Z701" s="909"/>
      <c r="AA701" s="909"/>
      <c r="AB701" s="909"/>
      <c r="AC701" s="909"/>
      <c r="AD701" s="909"/>
    </row>
    <row r="702" s="141" customFormat="1" customHeight="1" spans="1:30">
      <c r="A702" s="900"/>
      <c r="B702" s="900"/>
      <c r="C702" s="900"/>
      <c r="D702" s="901"/>
      <c r="E702" s="901"/>
      <c r="F702" s="902"/>
      <c r="G702" s="902"/>
      <c r="H702" s="903"/>
      <c r="I702" s="900"/>
      <c r="J702" s="900"/>
      <c r="K702" s="902"/>
      <c r="L702" s="904"/>
      <c r="M702" s="904"/>
      <c r="N702" s="905"/>
      <c r="O702" s="905"/>
      <c r="P702" s="906"/>
      <c r="Q702" s="906"/>
      <c r="R702" s="907"/>
      <c r="S702" s="908"/>
      <c r="T702" s="901"/>
      <c r="U702" s="902"/>
      <c r="V702" s="909"/>
      <c r="W702" s="909"/>
      <c r="X702" s="909"/>
      <c r="Y702" s="909"/>
      <c r="Z702" s="909"/>
      <c r="AA702" s="909"/>
      <c r="AB702" s="909"/>
      <c r="AC702" s="909"/>
      <c r="AD702" s="909"/>
    </row>
    <row r="703" s="141" customFormat="1" customHeight="1" spans="1:30">
      <c r="A703" s="900"/>
      <c r="B703" s="900"/>
      <c r="C703" s="900"/>
      <c r="D703" s="901"/>
      <c r="E703" s="901"/>
      <c r="F703" s="902"/>
      <c r="G703" s="902"/>
      <c r="H703" s="903"/>
      <c r="I703" s="900"/>
      <c r="J703" s="900"/>
      <c r="K703" s="902"/>
      <c r="L703" s="904"/>
      <c r="M703" s="904"/>
      <c r="N703" s="905"/>
      <c r="O703" s="905"/>
      <c r="P703" s="906"/>
      <c r="Q703" s="906"/>
      <c r="R703" s="907"/>
      <c r="S703" s="908"/>
      <c r="T703" s="901"/>
      <c r="U703" s="902"/>
      <c r="V703" s="909"/>
      <c r="W703" s="909"/>
      <c r="X703" s="909"/>
      <c r="Y703" s="909"/>
      <c r="Z703" s="909"/>
      <c r="AA703" s="909"/>
      <c r="AB703" s="909"/>
      <c r="AC703" s="909"/>
      <c r="AD703" s="909"/>
    </row>
    <row r="704" s="141" customFormat="1" customHeight="1" spans="1:30">
      <c r="A704" s="900"/>
      <c r="B704" s="900"/>
      <c r="C704" s="900"/>
      <c r="D704" s="901"/>
      <c r="E704" s="901"/>
      <c r="F704" s="902"/>
      <c r="G704" s="902"/>
      <c r="H704" s="903"/>
      <c r="I704" s="900"/>
      <c r="J704" s="900"/>
      <c r="K704" s="902"/>
      <c r="L704" s="904"/>
      <c r="M704" s="904"/>
      <c r="N704" s="905"/>
      <c r="O704" s="905"/>
      <c r="P704" s="906"/>
      <c r="Q704" s="906"/>
      <c r="R704" s="907"/>
      <c r="S704" s="908"/>
      <c r="T704" s="901"/>
      <c r="U704" s="902"/>
      <c r="V704" s="909"/>
      <c r="W704" s="909"/>
      <c r="X704" s="909"/>
      <c r="Y704" s="909"/>
      <c r="Z704" s="909"/>
      <c r="AA704" s="909"/>
      <c r="AB704" s="909"/>
      <c r="AC704" s="909"/>
      <c r="AD704" s="909"/>
    </row>
    <row r="705" s="141" customFormat="1" customHeight="1" spans="1:30">
      <c r="A705" s="900"/>
      <c r="B705" s="900"/>
      <c r="C705" s="900"/>
      <c r="D705" s="901"/>
      <c r="E705" s="901"/>
      <c r="F705" s="902"/>
      <c r="G705" s="902"/>
      <c r="H705" s="903"/>
      <c r="I705" s="900"/>
      <c r="J705" s="900"/>
      <c r="K705" s="902"/>
      <c r="L705" s="904"/>
      <c r="M705" s="904"/>
      <c r="N705" s="905"/>
      <c r="O705" s="905"/>
      <c r="P705" s="906"/>
      <c r="Q705" s="906"/>
      <c r="R705" s="907"/>
      <c r="S705" s="908"/>
      <c r="T705" s="901"/>
      <c r="U705" s="902"/>
      <c r="V705" s="909"/>
      <c r="W705" s="909"/>
      <c r="X705" s="909"/>
      <c r="Y705" s="909"/>
      <c r="Z705" s="909"/>
      <c r="AA705" s="909"/>
      <c r="AB705" s="909"/>
      <c r="AC705" s="909"/>
      <c r="AD705" s="909"/>
    </row>
    <row r="706" s="141" customFormat="1" customHeight="1" spans="1:30">
      <c r="A706" s="900"/>
      <c r="B706" s="900"/>
      <c r="C706" s="900"/>
      <c r="D706" s="901"/>
      <c r="E706" s="901"/>
      <c r="F706" s="902"/>
      <c r="G706" s="902"/>
      <c r="H706" s="903"/>
      <c r="I706" s="900"/>
      <c r="J706" s="900"/>
      <c r="K706" s="902"/>
      <c r="L706" s="904"/>
      <c r="M706" s="904"/>
      <c r="N706" s="905"/>
      <c r="O706" s="905"/>
      <c r="P706" s="906"/>
      <c r="Q706" s="906"/>
      <c r="R706" s="907"/>
      <c r="S706" s="908"/>
      <c r="T706" s="901"/>
      <c r="U706" s="902"/>
      <c r="V706" s="909"/>
      <c r="W706" s="909"/>
      <c r="X706" s="909"/>
      <c r="Y706" s="909"/>
      <c r="Z706" s="909"/>
      <c r="AA706" s="909"/>
      <c r="AB706" s="909"/>
      <c r="AC706" s="909"/>
      <c r="AD706" s="909"/>
    </row>
    <row r="707" s="141" customFormat="1" customHeight="1" spans="1:30">
      <c r="A707" s="900"/>
      <c r="B707" s="900"/>
      <c r="C707" s="900"/>
      <c r="D707" s="901"/>
      <c r="E707" s="901"/>
      <c r="F707" s="902"/>
      <c r="G707" s="902"/>
      <c r="H707" s="903"/>
      <c r="I707" s="900"/>
      <c r="J707" s="900"/>
      <c r="K707" s="902"/>
      <c r="L707" s="904"/>
      <c r="M707" s="904"/>
      <c r="N707" s="905"/>
      <c r="O707" s="905"/>
      <c r="P707" s="906"/>
      <c r="Q707" s="906"/>
      <c r="R707" s="907"/>
      <c r="S707" s="908"/>
      <c r="T707" s="901"/>
      <c r="U707" s="902"/>
      <c r="V707" s="909"/>
      <c r="W707" s="909"/>
      <c r="X707" s="909"/>
      <c r="Y707" s="909"/>
      <c r="Z707" s="909"/>
      <c r="AA707" s="909"/>
      <c r="AB707" s="909"/>
      <c r="AC707" s="909"/>
      <c r="AD707" s="909"/>
    </row>
    <row r="708" s="141" customFormat="1" customHeight="1" spans="1:30">
      <c r="A708" s="900"/>
      <c r="B708" s="900"/>
      <c r="C708" s="900"/>
      <c r="D708" s="901"/>
      <c r="E708" s="901"/>
      <c r="F708" s="902"/>
      <c r="G708" s="902"/>
      <c r="H708" s="903"/>
      <c r="I708" s="900"/>
      <c r="J708" s="900"/>
      <c r="K708" s="902"/>
      <c r="L708" s="904"/>
      <c r="M708" s="904"/>
      <c r="N708" s="905"/>
      <c r="O708" s="905"/>
      <c r="P708" s="906"/>
      <c r="Q708" s="906"/>
      <c r="R708" s="907"/>
      <c r="S708" s="908"/>
      <c r="T708" s="901"/>
      <c r="U708" s="902"/>
      <c r="V708" s="909"/>
      <c r="W708" s="909"/>
      <c r="X708" s="909"/>
      <c r="Y708" s="909"/>
      <c r="Z708" s="909"/>
      <c r="AA708" s="909"/>
      <c r="AB708" s="909"/>
      <c r="AC708" s="909"/>
      <c r="AD708" s="909"/>
    </row>
    <row r="709" s="141" customFormat="1" customHeight="1" spans="1:30">
      <c r="A709" s="900"/>
      <c r="B709" s="900"/>
      <c r="C709" s="900"/>
      <c r="D709" s="901"/>
      <c r="E709" s="901"/>
      <c r="F709" s="902"/>
      <c r="G709" s="902"/>
      <c r="H709" s="903"/>
      <c r="I709" s="900"/>
      <c r="J709" s="900"/>
      <c r="K709" s="902"/>
      <c r="L709" s="904"/>
      <c r="M709" s="904"/>
      <c r="N709" s="905"/>
      <c r="O709" s="905"/>
      <c r="P709" s="906"/>
      <c r="Q709" s="906"/>
      <c r="R709" s="907"/>
      <c r="S709" s="908"/>
      <c r="T709" s="901"/>
      <c r="U709" s="902"/>
      <c r="V709" s="909"/>
      <c r="W709" s="909"/>
      <c r="X709" s="909"/>
      <c r="Y709" s="909"/>
      <c r="Z709" s="909"/>
      <c r="AA709" s="909"/>
      <c r="AB709" s="909"/>
      <c r="AC709" s="909"/>
      <c r="AD709" s="909"/>
    </row>
    <row r="710" s="141" customFormat="1" customHeight="1" spans="1:30">
      <c r="A710" s="900"/>
      <c r="B710" s="900"/>
      <c r="C710" s="900"/>
      <c r="D710" s="901"/>
      <c r="E710" s="901"/>
      <c r="F710" s="902"/>
      <c r="G710" s="902"/>
      <c r="H710" s="903"/>
      <c r="I710" s="900"/>
      <c r="J710" s="900"/>
      <c r="K710" s="902"/>
      <c r="L710" s="904"/>
      <c r="M710" s="904"/>
      <c r="N710" s="905"/>
      <c r="O710" s="905"/>
      <c r="P710" s="906"/>
      <c r="Q710" s="906"/>
      <c r="R710" s="907"/>
      <c r="S710" s="908"/>
      <c r="T710" s="901"/>
      <c r="U710" s="902"/>
      <c r="V710" s="909"/>
      <c r="W710" s="909"/>
      <c r="X710" s="909"/>
      <c r="Y710" s="909"/>
      <c r="Z710" s="909"/>
      <c r="AA710" s="909"/>
      <c r="AB710" s="909"/>
      <c r="AC710" s="909"/>
      <c r="AD710" s="909"/>
    </row>
    <row r="711" s="141" customFormat="1" customHeight="1" spans="1:30">
      <c r="A711" s="900"/>
      <c r="B711" s="900"/>
      <c r="C711" s="900"/>
      <c r="D711" s="901"/>
      <c r="E711" s="901"/>
      <c r="F711" s="902"/>
      <c r="G711" s="902"/>
      <c r="H711" s="903"/>
      <c r="I711" s="900"/>
      <c r="J711" s="900"/>
      <c r="K711" s="902"/>
      <c r="L711" s="904"/>
      <c r="M711" s="904"/>
      <c r="N711" s="905"/>
      <c r="O711" s="905"/>
      <c r="P711" s="906"/>
      <c r="Q711" s="906"/>
      <c r="R711" s="907"/>
      <c r="S711" s="908"/>
      <c r="T711" s="901"/>
      <c r="U711" s="902"/>
      <c r="V711" s="909"/>
      <c r="W711" s="909"/>
      <c r="X711" s="909"/>
      <c r="Y711" s="909"/>
      <c r="Z711" s="909"/>
      <c r="AA711" s="909"/>
      <c r="AB711" s="909"/>
      <c r="AC711" s="909"/>
      <c r="AD711" s="909"/>
    </row>
    <row r="712" s="141" customFormat="1" customHeight="1" spans="1:30">
      <c r="A712" s="900"/>
      <c r="B712" s="900"/>
      <c r="C712" s="900"/>
      <c r="D712" s="901"/>
      <c r="E712" s="901"/>
      <c r="F712" s="902"/>
      <c r="G712" s="902"/>
      <c r="H712" s="903"/>
      <c r="I712" s="900"/>
      <c r="J712" s="900"/>
      <c r="K712" s="902"/>
      <c r="L712" s="904"/>
      <c r="M712" s="904"/>
      <c r="N712" s="905"/>
      <c r="O712" s="905"/>
      <c r="P712" s="906"/>
      <c r="Q712" s="906"/>
      <c r="R712" s="907"/>
      <c r="S712" s="908"/>
      <c r="T712" s="901"/>
      <c r="U712" s="902"/>
      <c r="V712" s="909"/>
      <c r="W712" s="909"/>
      <c r="X712" s="909"/>
      <c r="Y712" s="909"/>
      <c r="Z712" s="909"/>
      <c r="AA712" s="909"/>
      <c r="AB712" s="909"/>
      <c r="AC712" s="909"/>
      <c r="AD712" s="909"/>
    </row>
    <row r="713" s="141" customFormat="1" customHeight="1" spans="1:30">
      <c r="A713" s="900"/>
      <c r="B713" s="900"/>
      <c r="C713" s="900"/>
      <c r="D713" s="901"/>
      <c r="E713" s="901"/>
      <c r="F713" s="902"/>
      <c r="G713" s="902"/>
      <c r="H713" s="903"/>
      <c r="I713" s="900"/>
      <c r="J713" s="900"/>
      <c r="K713" s="902"/>
      <c r="L713" s="904"/>
      <c r="M713" s="904"/>
      <c r="N713" s="905"/>
      <c r="O713" s="905"/>
      <c r="P713" s="906"/>
      <c r="Q713" s="906"/>
      <c r="R713" s="907"/>
      <c r="S713" s="908"/>
      <c r="T713" s="901"/>
      <c r="U713" s="902"/>
      <c r="V713" s="909"/>
      <c r="W713" s="909"/>
      <c r="X713" s="909"/>
      <c r="Y713" s="909"/>
      <c r="Z713" s="909"/>
      <c r="AA713" s="909"/>
      <c r="AB713" s="909"/>
      <c r="AC713" s="909"/>
      <c r="AD713" s="909"/>
    </row>
    <row r="714" s="141" customFormat="1" customHeight="1" spans="1:30">
      <c r="A714" s="900"/>
      <c r="B714" s="900"/>
      <c r="C714" s="900"/>
      <c r="D714" s="901"/>
      <c r="E714" s="901"/>
      <c r="F714" s="902"/>
      <c r="G714" s="902"/>
      <c r="H714" s="903"/>
      <c r="I714" s="900"/>
      <c r="J714" s="900"/>
      <c r="K714" s="902"/>
      <c r="L714" s="904"/>
      <c r="M714" s="904"/>
      <c r="N714" s="905"/>
      <c r="O714" s="905"/>
      <c r="P714" s="906"/>
      <c r="Q714" s="906"/>
      <c r="R714" s="907"/>
      <c r="S714" s="908"/>
      <c r="T714" s="901"/>
      <c r="U714" s="902"/>
      <c r="V714" s="909"/>
      <c r="W714" s="909"/>
      <c r="X714" s="909"/>
      <c r="Y714" s="909"/>
      <c r="Z714" s="909"/>
      <c r="AA714" s="909"/>
      <c r="AB714" s="909"/>
      <c r="AC714" s="909"/>
      <c r="AD714" s="909"/>
    </row>
    <row r="715" s="141" customFormat="1" customHeight="1" spans="1:30">
      <c r="A715" s="900"/>
      <c r="B715" s="900"/>
      <c r="C715" s="900"/>
      <c r="D715" s="901"/>
      <c r="E715" s="901"/>
      <c r="F715" s="902"/>
      <c r="G715" s="902"/>
      <c r="H715" s="903"/>
      <c r="I715" s="900"/>
      <c r="J715" s="900"/>
      <c r="K715" s="902"/>
      <c r="L715" s="904"/>
      <c r="M715" s="904"/>
      <c r="N715" s="905"/>
      <c r="O715" s="905"/>
      <c r="P715" s="906"/>
      <c r="Q715" s="906"/>
      <c r="R715" s="907"/>
      <c r="S715" s="908"/>
      <c r="T715" s="901"/>
      <c r="U715" s="902"/>
      <c r="V715" s="909"/>
      <c r="W715" s="909"/>
      <c r="X715" s="909"/>
      <c r="Y715" s="909"/>
      <c r="Z715" s="909"/>
      <c r="AA715" s="909"/>
      <c r="AB715" s="909"/>
      <c r="AC715" s="909"/>
      <c r="AD715" s="909"/>
    </row>
    <row r="716" s="141" customFormat="1" customHeight="1" spans="1:30">
      <c r="A716" s="900"/>
      <c r="B716" s="900"/>
      <c r="C716" s="900"/>
      <c r="D716" s="901"/>
      <c r="E716" s="901"/>
      <c r="F716" s="902"/>
      <c r="G716" s="902"/>
      <c r="H716" s="903"/>
      <c r="I716" s="900"/>
      <c r="J716" s="900"/>
      <c r="K716" s="902"/>
      <c r="L716" s="904"/>
      <c r="M716" s="904"/>
      <c r="N716" s="905"/>
      <c r="O716" s="905"/>
      <c r="P716" s="906"/>
      <c r="Q716" s="906"/>
      <c r="R716" s="907"/>
      <c r="S716" s="908"/>
      <c r="T716" s="901"/>
      <c r="U716" s="902"/>
      <c r="V716" s="909"/>
      <c r="W716" s="909"/>
      <c r="X716" s="909"/>
      <c r="Y716" s="909"/>
      <c r="Z716" s="909"/>
      <c r="AA716" s="909"/>
      <c r="AB716" s="909"/>
      <c r="AC716" s="909"/>
      <c r="AD716" s="909"/>
    </row>
    <row r="717" s="141" customFormat="1" customHeight="1" spans="1:30">
      <c r="A717" s="900"/>
      <c r="B717" s="900"/>
      <c r="C717" s="900"/>
      <c r="D717" s="901"/>
      <c r="E717" s="901"/>
      <c r="F717" s="902"/>
      <c r="G717" s="902"/>
      <c r="H717" s="903"/>
      <c r="I717" s="900"/>
      <c r="J717" s="900"/>
      <c r="K717" s="902"/>
      <c r="L717" s="904"/>
      <c r="M717" s="904"/>
      <c r="N717" s="905"/>
      <c r="O717" s="905"/>
      <c r="P717" s="906"/>
      <c r="Q717" s="906"/>
      <c r="R717" s="907"/>
      <c r="S717" s="908"/>
      <c r="T717" s="901"/>
      <c r="U717" s="902"/>
      <c r="V717" s="909"/>
      <c r="W717" s="909"/>
      <c r="X717" s="909"/>
      <c r="Y717" s="909"/>
      <c r="Z717" s="909"/>
      <c r="AA717" s="909"/>
      <c r="AB717" s="909"/>
      <c r="AC717" s="909"/>
      <c r="AD717" s="909"/>
    </row>
    <row r="718" s="141" customFormat="1" customHeight="1" spans="1:30">
      <c r="A718" s="900"/>
      <c r="B718" s="900"/>
      <c r="C718" s="900"/>
      <c r="D718" s="901"/>
      <c r="E718" s="901"/>
      <c r="F718" s="902"/>
      <c r="G718" s="902"/>
      <c r="H718" s="903"/>
      <c r="I718" s="900"/>
      <c r="J718" s="900"/>
      <c r="K718" s="902"/>
      <c r="L718" s="904"/>
      <c r="M718" s="904"/>
      <c r="N718" s="905"/>
      <c r="O718" s="905"/>
      <c r="P718" s="906"/>
      <c r="Q718" s="906"/>
      <c r="R718" s="907"/>
      <c r="S718" s="908"/>
      <c r="T718" s="901"/>
      <c r="U718" s="902"/>
      <c r="V718" s="909"/>
      <c r="W718" s="909"/>
      <c r="X718" s="909"/>
      <c r="Y718" s="909"/>
      <c r="Z718" s="909"/>
      <c r="AA718" s="909"/>
      <c r="AB718" s="909"/>
      <c r="AC718" s="909"/>
      <c r="AD718" s="909"/>
    </row>
    <row r="719" s="141" customFormat="1" customHeight="1" spans="1:30">
      <c r="A719" s="900"/>
      <c r="B719" s="900"/>
      <c r="C719" s="900"/>
      <c r="D719" s="901"/>
      <c r="E719" s="901"/>
      <c r="F719" s="902"/>
      <c r="G719" s="902"/>
      <c r="H719" s="903"/>
      <c r="I719" s="900"/>
      <c r="J719" s="900"/>
      <c r="K719" s="902"/>
      <c r="L719" s="904"/>
      <c r="M719" s="904"/>
      <c r="N719" s="905"/>
      <c r="O719" s="905"/>
      <c r="P719" s="906"/>
      <c r="Q719" s="906"/>
      <c r="R719" s="907"/>
      <c r="S719" s="908"/>
      <c r="T719" s="901"/>
      <c r="U719" s="902"/>
      <c r="V719" s="909"/>
      <c r="W719" s="909"/>
      <c r="X719" s="909"/>
      <c r="Y719" s="909"/>
      <c r="Z719" s="909"/>
      <c r="AA719" s="909"/>
      <c r="AB719" s="909"/>
      <c r="AC719" s="909"/>
      <c r="AD719" s="909"/>
    </row>
    <row r="720" s="141" customFormat="1" customHeight="1" spans="1:30">
      <c r="A720" s="900"/>
      <c r="B720" s="900"/>
      <c r="C720" s="900"/>
      <c r="D720" s="901"/>
      <c r="E720" s="901"/>
      <c r="F720" s="902"/>
      <c r="G720" s="902"/>
      <c r="H720" s="903"/>
      <c r="I720" s="900"/>
      <c r="J720" s="900"/>
      <c r="K720" s="902"/>
      <c r="L720" s="904"/>
      <c r="M720" s="904"/>
      <c r="N720" s="905"/>
      <c r="O720" s="905"/>
      <c r="P720" s="906"/>
      <c r="Q720" s="906"/>
      <c r="R720" s="907"/>
      <c r="S720" s="908"/>
      <c r="T720" s="901"/>
      <c r="U720" s="902"/>
      <c r="V720" s="909"/>
      <c r="W720" s="909"/>
      <c r="X720" s="909"/>
      <c r="Y720" s="909"/>
      <c r="Z720" s="909"/>
      <c r="AA720" s="909"/>
      <c r="AB720" s="909"/>
      <c r="AC720" s="909"/>
      <c r="AD720" s="909"/>
    </row>
    <row r="721" s="141" customFormat="1" customHeight="1" spans="1:30">
      <c r="A721" s="900"/>
      <c r="B721" s="900"/>
      <c r="C721" s="900"/>
      <c r="D721" s="901"/>
      <c r="E721" s="901"/>
      <c r="F721" s="902"/>
      <c r="G721" s="902"/>
      <c r="H721" s="903"/>
      <c r="I721" s="900"/>
      <c r="J721" s="900"/>
      <c r="K721" s="902"/>
      <c r="L721" s="904"/>
      <c r="M721" s="904"/>
      <c r="N721" s="905"/>
      <c r="O721" s="905"/>
      <c r="P721" s="906"/>
      <c r="Q721" s="906"/>
      <c r="R721" s="907"/>
      <c r="S721" s="908"/>
      <c r="T721" s="901"/>
      <c r="U721" s="902"/>
      <c r="V721" s="909"/>
      <c r="W721" s="909"/>
      <c r="X721" s="909"/>
      <c r="Y721" s="909"/>
      <c r="Z721" s="909"/>
      <c r="AA721" s="909"/>
      <c r="AB721" s="909"/>
      <c r="AC721" s="909"/>
      <c r="AD721" s="909"/>
    </row>
    <row r="722" s="141" customFormat="1" customHeight="1" spans="1:30">
      <c r="A722" s="900"/>
      <c r="B722" s="900"/>
      <c r="C722" s="900"/>
      <c r="D722" s="901"/>
      <c r="E722" s="901"/>
      <c r="F722" s="902"/>
      <c r="G722" s="902"/>
      <c r="H722" s="903"/>
      <c r="I722" s="900"/>
      <c r="J722" s="900"/>
      <c r="K722" s="902"/>
      <c r="L722" s="904"/>
      <c r="M722" s="904"/>
      <c r="N722" s="905"/>
      <c r="O722" s="905"/>
      <c r="P722" s="906"/>
      <c r="Q722" s="906"/>
      <c r="R722" s="907"/>
      <c r="S722" s="908"/>
      <c r="T722" s="901"/>
      <c r="U722" s="902"/>
      <c r="V722" s="909"/>
      <c r="W722" s="909"/>
      <c r="X722" s="909"/>
      <c r="Y722" s="909"/>
      <c r="Z722" s="909"/>
      <c r="AA722" s="909"/>
      <c r="AB722" s="909"/>
      <c r="AC722" s="909"/>
      <c r="AD722" s="909"/>
    </row>
    <row r="723" s="141" customFormat="1" customHeight="1" spans="1:30">
      <c r="A723" s="900"/>
      <c r="B723" s="900"/>
      <c r="C723" s="900"/>
      <c r="D723" s="901"/>
      <c r="E723" s="901"/>
      <c r="F723" s="902"/>
      <c r="G723" s="902"/>
      <c r="H723" s="903"/>
      <c r="I723" s="900"/>
      <c r="J723" s="900"/>
      <c r="K723" s="902"/>
      <c r="L723" s="904"/>
      <c r="M723" s="904"/>
      <c r="N723" s="905"/>
      <c r="O723" s="905"/>
      <c r="P723" s="906"/>
      <c r="Q723" s="906"/>
      <c r="R723" s="907"/>
      <c r="S723" s="908"/>
      <c r="T723" s="901"/>
      <c r="U723" s="902"/>
      <c r="V723" s="909"/>
      <c r="W723" s="909"/>
      <c r="X723" s="909"/>
      <c r="Y723" s="909"/>
      <c r="Z723" s="909"/>
      <c r="AA723" s="909"/>
      <c r="AB723" s="909"/>
      <c r="AC723" s="909"/>
      <c r="AD723" s="909"/>
    </row>
    <row r="724" s="141" customFormat="1" customHeight="1" spans="1:30">
      <c r="A724" s="900"/>
      <c r="B724" s="900"/>
      <c r="C724" s="900"/>
      <c r="D724" s="901"/>
      <c r="E724" s="901"/>
      <c r="F724" s="902"/>
      <c r="G724" s="902"/>
      <c r="H724" s="903"/>
      <c r="I724" s="900"/>
      <c r="J724" s="900"/>
      <c r="K724" s="902"/>
      <c r="L724" s="904"/>
      <c r="M724" s="904"/>
      <c r="N724" s="905"/>
      <c r="O724" s="905"/>
      <c r="P724" s="906"/>
      <c r="Q724" s="906"/>
      <c r="R724" s="907"/>
      <c r="S724" s="908"/>
      <c r="T724" s="901"/>
      <c r="U724" s="902"/>
      <c r="V724" s="909"/>
      <c r="W724" s="909"/>
      <c r="X724" s="909"/>
      <c r="Y724" s="909"/>
      <c r="Z724" s="909"/>
      <c r="AA724" s="909"/>
      <c r="AB724" s="909"/>
      <c r="AC724" s="909"/>
      <c r="AD724" s="909"/>
    </row>
    <row r="725" s="141" customFormat="1" customHeight="1" spans="1:30">
      <c r="A725" s="900"/>
      <c r="B725" s="900"/>
      <c r="C725" s="900"/>
      <c r="D725" s="901"/>
      <c r="E725" s="901"/>
      <c r="F725" s="902"/>
      <c r="G725" s="902"/>
      <c r="H725" s="903"/>
      <c r="I725" s="900"/>
      <c r="J725" s="900"/>
      <c r="K725" s="902"/>
      <c r="L725" s="904"/>
      <c r="M725" s="904"/>
      <c r="N725" s="905"/>
      <c r="O725" s="905"/>
      <c r="P725" s="906"/>
      <c r="Q725" s="906"/>
      <c r="R725" s="907"/>
      <c r="S725" s="908"/>
      <c r="T725" s="901"/>
      <c r="U725" s="902"/>
      <c r="V725" s="909"/>
      <c r="W725" s="909"/>
      <c r="X725" s="909"/>
      <c r="Y725" s="909"/>
      <c r="Z725" s="909"/>
      <c r="AA725" s="909"/>
      <c r="AB725" s="909"/>
      <c r="AC725" s="909"/>
      <c r="AD725" s="909"/>
    </row>
    <row r="726" s="141" customFormat="1" customHeight="1" spans="1:30">
      <c r="A726" s="900"/>
      <c r="B726" s="900"/>
      <c r="C726" s="900"/>
      <c r="D726" s="901"/>
      <c r="E726" s="901"/>
      <c r="F726" s="902"/>
      <c r="G726" s="902"/>
      <c r="H726" s="903"/>
      <c r="I726" s="900"/>
      <c r="J726" s="900"/>
      <c r="K726" s="902"/>
      <c r="L726" s="904"/>
      <c r="M726" s="904"/>
      <c r="N726" s="905"/>
      <c r="O726" s="905"/>
      <c r="P726" s="906"/>
      <c r="Q726" s="906"/>
      <c r="R726" s="907"/>
      <c r="S726" s="908"/>
      <c r="T726" s="901"/>
      <c r="U726" s="902"/>
      <c r="V726" s="909"/>
      <c r="W726" s="909"/>
      <c r="X726" s="909"/>
      <c r="Y726" s="909"/>
      <c r="Z726" s="909"/>
      <c r="AA726" s="909"/>
      <c r="AB726" s="909"/>
      <c r="AC726" s="909"/>
      <c r="AD726" s="909"/>
    </row>
    <row r="727" s="141" customFormat="1" customHeight="1" spans="1:30">
      <c r="A727" s="900"/>
      <c r="B727" s="900"/>
      <c r="C727" s="900"/>
      <c r="D727" s="901"/>
      <c r="E727" s="901"/>
      <c r="F727" s="902"/>
      <c r="G727" s="902"/>
      <c r="H727" s="903"/>
      <c r="I727" s="900"/>
      <c r="J727" s="900"/>
      <c r="K727" s="902"/>
      <c r="L727" s="904"/>
      <c r="M727" s="904"/>
      <c r="N727" s="905"/>
      <c r="O727" s="905"/>
      <c r="P727" s="906"/>
      <c r="Q727" s="906"/>
      <c r="R727" s="907"/>
      <c r="S727" s="908"/>
      <c r="T727" s="901"/>
      <c r="U727" s="902"/>
      <c r="V727" s="909"/>
      <c r="W727" s="909"/>
      <c r="X727" s="909"/>
      <c r="Y727" s="909"/>
      <c r="Z727" s="909"/>
      <c r="AA727" s="909"/>
      <c r="AB727" s="909"/>
      <c r="AC727" s="909"/>
      <c r="AD727" s="909"/>
    </row>
    <row r="728" s="141" customFormat="1" customHeight="1" spans="1:30">
      <c r="A728" s="900"/>
      <c r="B728" s="900"/>
      <c r="C728" s="900"/>
      <c r="D728" s="901"/>
      <c r="E728" s="901"/>
      <c r="F728" s="902"/>
      <c r="G728" s="902"/>
      <c r="H728" s="903"/>
      <c r="I728" s="900"/>
      <c r="J728" s="900"/>
      <c r="K728" s="902"/>
      <c r="L728" s="904"/>
      <c r="M728" s="904"/>
      <c r="N728" s="905"/>
      <c r="O728" s="905"/>
      <c r="P728" s="906"/>
      <c r="Q728" s="906"/>
      <c r="R728" s="907"/>
      <c r="S728" s="908"/>
      <c r="T728" s="901"/>
      <c r="U728" s="902"/>
      <c r="V728" s="909"/>
      <c r="W728" s="909"/>
      <c r="X728" s="909"/>
      <c r="Y728" s="909"/>
      <c r="Z728" s="909"/>
      <c r="AA728" s="909"/>
      <c r="AB728" s="909"/>
      <c r="AC728" s="909"/>
      <c r="AD728" s="909"/>
    </row>
    <row r="729" s="141" customFormat="1" customHeight="1" spans="1:30">
      <c r="A729" s="900"/>
      <c r="B729" s="900"/>
      <c r="C729" s="900"/>
      <c r="D729" s="901"/>
      <c r="E729" s="901"/>
      <c r="F729" s="902"/>
      <c r="G729" s="902"/>
      <c r="H729" s="903"/>
      <c r="I729" s="900"/>
      <c r="J729" s="900"/>
      <c r="K729" s="902"/>
      <c r="L729" s="904"/>
      <c r="M729" s="904"/>
      <c r="N729" s="905"/>
      <c r="O729" s="905"/>
      <c r="P729" s="906"/>
      <c r="Q729" s="906"/>
      <c r="R729" s="907"/>
      <c r="S729" s="908"/>
      <c r="T729" s="901"/>
      <c r="U729" s="902"/>
      <c r="V729" s="909"/>
      <c r="W729" s="909"/>
      <c r="X729" s="909"/>
      <c r="Y729" s="909"/>
      <c r="Z729" s="909"/>
      <c r="AA729" s="909"/>
      <c r="AB729" s="909"/>
      <c r="AC729" s="909"/>
      <c r="AD729" s="909"/>
    </row>
    <row r="730" s="141" customFormat="1" customHeight="1" spans="1:30">
      <c r="A730" s="900"/>
      <c r="B730" s="900"/>
      <c r="C730" s="900"/>
      <c r="D730" s="901"/>
      <c r="E730" s="901"/>
      <c r="F730" s="902"/>
      <c r="G730" s="902"/>
      <c r="H730" s="903"/>
      <c r="I730" s="900"/>
      <c r="J730" s="900"/>
      <c r="K730" s="902"/>
      <c r="L730" s="904"/>
      <c r="M730" s="904"/>
      <c r="N730" s="905"/>
      <c r="O730" s="905"/>
      <c r="P730" s="906"/>
      <c r="Q730" s="906"/>
      <c r="R730" s="907"/>
      <c r="S730" s="908"/>
      <c r="T730" s="901"/>
      <c r="U730" s="902"/>
      <c r="V730" s="909"/>
      <c r="W730" s="909"/>
      <c r="X730" s="909"/>
      <c r="Y730" s="909"/>
      <c r="Z730" s="909"/>
      <c r="AA730" s="909"/>
      <c r="AB730" s="909"/>
      <c r="AC730" s="909"/>
      <c r="AD730" s="909"/>
    </row>
    <row r="731" s="141" customFormat="1" customHeight="1" spans="1:30">
      <c r="A731" s="900"/>
      <c r="B731" s="900"/>
      <c r="C731" s="900"/>
      <c r="D731" s="901"/>
      <c r="E731" s="901"/>
      <c r="F731" s="902"/>
      <c r="G731" s="902"/>
      <c r="H731" s="903"/>
      <c r="I731" s="900"/>
      <c r="J731" s="900"/>
      <c r="K731" s="902"/>
      <c r="L731" s="904"/>
      <c r="M731" s="904"/>
      <c r="N731" s="905"/>
      <c r="O731" s="905"/>
      <c r="P731" s="906"/>
      <c r="Q731" s="906"/>
      <c r="R731" s="907"/>
      <c r="S731" s="908"/>
      <c r="T731" s="901"/>
      <c r="U731" s="902"/>
      <c r="V731" s="909"/>
      <c r="W731" s="909"/>
      <c r="X731" s="909"/>
      <c r="Y731" s="909"/>
      <c r="Z731" s="909"/>
      <c r="AA731" s="909"/>
      <c r="AB731" s="909"/>
      <c r="AC731" s="909"/>
      <c r="AD731" s="909"/>
    </row>
    <row r="732" s="141" customFormat="1" customHeight="1" spans="1:30">
      <c r="A732" s="900"/>
      <c r="B732" s="900"/>
      <c r="C732" s="900"/>
      <c r="D732" s="901"/>
      <c r="E732" s="901"/>
      <c r="F732" s="902"/>
      <c r="G732" s="902"/>
      <c r="H732" s="903"/>
      <c r="I732" s="900"/>
      <c r="J732" s="900"/>
      <c r="K732" s="902"/>
      <c r="L732" s="904"/>
      <c r="M732" s="904"/>
      <c r="N732" s="905"/>
      <c r="O732" s="905"/>
      <c r="P732" s="906"/>
      <c r="Q732" s="906"/>
      <c r="R732" s="907"/>
      <c r="S732" s="908"/>
      <c r="T732" s="901"/>
      <c r="U732" s="902"/>
      <c r="V732" s="909"/>
      <c r="W732" s="909"/>
      <c r="X732" s="909"/>
      <c r="Y732" s="909"/>
      <c r="Z732" s="909"/>
      <c r="AA732" s="909"/>
      <c r="AB732" s="909"/>
      <c r="AC732" s="909"/>
      <c r="AD732" s="909"/>
    </row>
    <row r="733" s="141" customFormat="1" customHeight="1" spans="1:30">
      <c r="A733" s="900"/>
      <c r="B733" s="900"/>
      <c r="C733" s="900"/>
      <c r="D733" s="901"/>
      <c r="E733" s="901"/>
      <c r="F733" s="902"/>
      <c r="G733" s="902"/>
      <c r="H733" s="903"/>
      <c r="I733" s="900"/>
      <c r="J733" s="900"/>
      <c r="K733" s="902"/>
      <c r="L733" s="904"/>
      <c r="M733" s="904"/>
      <c r="N733" s="905"/>
      <c r="O733" s="905"/>
      <c r="P733" s="906"/>
      <c r="Q733" s="906"/>
      <c r="R733" s="907"/>
      <c r="S733" s="908"/>
      <c r="T733" s="901"/>
      <c r="U733" s="902"/>
      <c r="V733" s="909"/>
      <c r="W733" s="909"/>
      <c r="X733" s="909"/>
      <c r="Y733" s="909"/>
      <c r="Z733" s="909"/>
      <c r="AA733" s="909"/>
      <c r="AB733" s="909"/>
      <c r="AC733" s="909"/>
      <c r="AD733" s="909"/>
    </row>
    <row r="734" s="141" customFormat="1" customHeight="1" spans="1:30">
      <c r="A734" s="900"/>
      <c r="B734" s="900"/>
      <c r="C734" s="900"/>
      <c r="D734" s="901"/>
      <c r="E734" s="901"/>
      <c r="F734" s="902"/>
      <c r="G734" s="902"/>
      <c r="H734" s="903"/>
      <c r="I734" s="900"/>
      <c r="J734" s="900"/>
      <c r="K734" s="902"/>
      <c r="L734" s="904"/>
      <c r="M734" s="904"/>
      <c r="N734" s="905"/>
      <c r="O734" s="905"/>
      <c r="P734" s="906"/>
      <c r="Q734" s="906"/>
      <c r="R734" s="907"/>
      <c r="S734" s="908"/>
      <c r="T734" s="901"/>
      <c r="U734" s="902"/>
      <c r="V734" s="909"/>
      <c r="W734" s="909"/>
      <c r="X734" s="909"/>
      <c r="Y734" s="909"/>
      <c r="Z734" s="909"/>
      <c r="AA734" s="909"/>
      <c r="AB734" s="909"/>
      <c r="AC734" s="909"/>
      <c r="AD734" s="909"/>
    </row>
    <row r="735" s="141" customFormat="1" customHeight="1" spans="1:30">
      <c r="A735" s="900"/>
      <c r="B735" s="900"/>
      <c r="C735" s="900"/>
      <c r="D735" s="901"/>
      <c r="E735" s="901"/>
      <c r="F735" s="902"/>
      <c r="G735" s="902"/>
      <c r="H735" s="903"/>
      <c r="I735" s="900"/>
      <c r="J735" s="900"/>
      <c r="K735" s="902"/>
      <c r="L735" s="904"/>
      <c r="M735" s="904"/>
      <c r="N735" s="905"/>
      <c r="O735" s="905"/>
      <c r="P735" s="906"/>
      <c r="Q735" s="906"/>
      <c r="R735" s="907"/>
      <c r="S735" s="908"/>
      <c r="T735" s="901"/>
      <c r="U735" s="902"/>
      <c r="V735" s="909"/>
      <c r="W735" s="909"/>
      <c r="X735" s="909"/>
      <c r="Y735" s="909"/>
      <c r="Z735" s="909"/>
      <c r="AA735" s="909"/>
      <c r="AB735" s="909"/>
      <c r="AC735" s="909"/>
      <c r="AD735" s="909"/>
    </row>
    <row r="736" s="141" customFormat="1" customHeight="1" spans="1:30">
      <c r="A736" s="900"/>
      <c r="B736" s="900"/>
      <c r="C736" s="900"/>
      <c r="D736" s="901"/>
      <c r="E736" s="901"/>
      <c r="F736" s="902"/>
      <c r="G736" s="902"/>
      <c r="H736" s="903"/>
      <c r="I736" s="900"/>
      <c r="J736" s="900"/>
      <c r="K736" s="902"/>
      <c r="L736" s="904"/>
      <c r="M736" s="904"/>
      <c r="N736" s="905"/>
      <c r="O736" s="905"/>
      <c r="P736" s="906"/>
      <c r="Q736" s="906"/>
      <c r="R736" s="907"/>
      <c r="S736" s="908"/>
      <c r="T736" s="901"/>
      <c r="U736" s="902"/>
      <c r="V736" s="909"/>
      <c r="W736" s="909"/>
      <c r="X736" s="909"/>
      <c r="Y736" s="909"/>
      <c r="Z736" s="909"/>
      <c r="AA736" s="909"/>
      <c r="AB736" s="909"/>
      <c r="AC736" s="909"/>
      <c r="AD736" s="909"/>
    </row>
    <row r="737" s="141" customFormat="1" customHeight="1" spans="1:30">
      <c r="A737" s="900"/>
      <c r="B737" s="900"/>
      <c r="C737" s="900"/>
      <c r="D737" s="901"/>
      <c r="E737" s="901"/>
      <c r="F737" s="902"/>
      <c r="G737" s="902"/>
      <c r="H737" s="903"/>
      <c r="I737" s="900"/>
      <c r="J737" s="900"/>
      <c r="K737" s="902"/>
      <c r="L737" s="904"/>
      <c r="M737" s="904"/>
      <c r="N737" s="905"/>
      <c r="O737" s="905"/>
      <c r="P737" s="906"/>
      <c r="Q737" s="906"/>
      <c r="R737" s="907"/>
      <c r="S737" s="908"/>
      <c r="T737" s="901"/>
      <c r="U737" s="902"/>
      <c r="V737" s="909"/>
      <c r="W737" s="909"/>
      <c r="X737" s="909"/>
      <c r="Y737" s="909"/>
      <c r="Z737" s="909"/>
      <c r="AA737" s="909"/>
      <c r="AB737" s="909"/>
      <c r="AC737" s="909"/>
      <c r="AD737" s="909"/>
    </row>
    <row r="738" s="141" customFormat="1" customHeight="1" spans="1:30">
      <c r="A738" s="900"/>
      <c r="B738" s="900"/>
      <c r="C738" s="900"/>
      <c r="D738" s="901"/>
      <c r="E738" s="901"/>
      <c r="F738" s="902"/>
      <c r="G738" s="902"/>
      <c r="H738" s="903"/>
      <c r="I738" s="900"/>
      <c r="J738" s="900"/>
      <c r="K738" s="902"/>
      <c r="L738" s="904"/>
      <c r="M738" s="904"/>
      <c r="N738" s="905"/>
      <c r="O738" s="905"/>
      <c r="P738" s="906"/>
      <c r="Q738" s="906"/>
      <c r="R738" s="907"/>
      <c r="S738" s="908"/>
      <c r="T738" s="901"/>
      <c r="U738" s="902"/>
      <c r="V738" s="909"/>
      <c r="W738" s="909"/>
      <c r="X738" s="909"/>
      <c r="Y738" s="909"/>
      <c r="Z738" s="909"/>
      <c r="AA738" s="909"/>
      <c r="AB738" s="909"/>
      <c r="AC738" s="909"/>
      <c r="AD738" s="909"/>
    </row>
    <row r="739" s="141" customFormat="1" customHeight="1" spans="1:30">
      <c r="A739" s="900"/>
      <c r="B739" s="900"/>
      <c r="C739" s="900"/>
      <c r="D739" s="901"/>
      <c r="E739" s="901"/>
      <c r="F739" s="902"/>
      <c r="G739" s="902"/>
      <c r="H739" s="903"/>
      <c r="I739" s="900"/>
      <c r="J739" s="900"/>
      <c r="K739" s="902"/>
      <c r="L739" s="904"/>
      <c r="M739" s="904"/>
      <c r="N739" s="905"/>
      <c r="O739" s="905"/>
      <c r="P739" s="906"/>
      <c r="Q739" s="906"/>
      <c r="R739" s="907"/>
      <c r="S739" s="908"/>
      <c r="T739" s="901"/>
      <c r="U739" s="902"/>
      <c r="V739" s="909"/>
      <c r="W739" s="909"/>
      <c r="X739" s="909"/>
      <c r="Y739" s="909"/>
      <c r="Z739" s="909"/>
      <c r="AA739" s="909"/>
      <c r="AB739" s="909"/>
      <c r="AC739" s="909"/>
      <c r="AD739" s="909"/>
    </row>
    <row r="740" s="141" customFormat="1" customHeight="1" spans="1:30">
      <c r="A740" s="900"/>
      <c r="B740" s="900"/>
      <c r="C740" s="900"/>
      <c r="D740" s="901"/>
      <c r="E740" s="901"/>
      <c r="F740" s="902"/>
      <c r="G740" s="902"/>
      <c r="H740" s="903"/>
      <c r="I740" s="900"/>
      <c r="J740" s="900"/>
      <c r="K740" s="902"/>
      <c r="L740" s="904"/>
      <c r="M740" s="904"/>
      <c r="N740" s="905"/>
      <c r="O740" s="905"/>
      <c r="P740" s="906"/>
      <c r="Q740" s="906"/>
      <c r="R740" s="907"/>
      <c r="S740" s="908"/>
      <c r="T740" s="901"/>
      <c r="U740" s="902"/>
      <c r="V740" s="909"/>
      <c r="W740" s="909"/>
      <c r="X740" s="909"/>
      <c r="Y740" s="909"/>
      <c r="Z740" s="909"/>
      <c r="AA740" s="909"/>
      <c r="AB740" s="909"/>
      <c r="AC740" s="909"/>
      <c r="AD740" s="909"/>
    </row>
    <row r="741" s="141" customFormat="1" customHeight="1" spans="1:30">
      <c r="A741" s="900"/>
      <c r="B741" s="900"/>
      <c r="C741" s="900"/>
      <c r="D741" s="901"/>
      <c r="E741" s="901"/>
      <c r="F741" s="902"/>
      <c r="G741" s="902"/>
      <c r="H741" s="903"/>
      <c r="I741" s="900"/>
      <c r="J741" s="900"/>
      <c r="K741" s="902"/>
      <c r="L741" s="904"/>
      <c r="M741" s="904"/>
      <c r="N741" s="905"/>
      <c r="O741" s="905"/>
      <c r="P741" s="906"/>
      <c r="Q741" s="906"/>
      <c r="R741" s="907"/>
      <c r="S741" s="908"/>
      <c r="T741" s="901"/>
      <c r="U741" s="902"/>
      <c r="V741" s="909"/>
      <c r="W741" s="909"/>
      <c r="X741" s="909"/>
      <c r="Y741" s="909"/>
      <c r="Z741" s="909"/>
      <c r="AA741" s="909"/>
      <c r="AB741" s="909"/>
      <c r="AC741" s="909"/>
      <c r="AD741" s="909"/>
    </row>
    <row r="742" s="141" customFormat="1" customHeight="1" spans="1:30">
      <c r="A742" s="900"/>
      <c r="B742" s="900"/>
      <c r="C742" s="900"/>
      <c r="D742" s="901"/>
      <c r="E742" s="901"/>
      <c r="F742" s="902"/>
      <c r="G742" s="902"/>
      <c r="H742" s="903"/>
      <c r="I742" s="900"/>
      <c r="J742" s="900"/>
      <c r="K742" s="902"/>
      <c r="L742" s="904"/>
      <c r="M742" s="904"/>
      <c r="N742" s="905"/>
      <c r="O742" s="905"/>
      <c r="P742" s="906"/>
      <c r="Q742" s="906"/>
      <c r="R742" s="907"/>
      <c r="S742" s="908"/>
      <c r="T742" s="901"/>
      <c r="U742" s="902"/>
      <c r="V742" s="909"/>
      <c r="W742" s="909"/>
      <c r="X742" s="909"/>
      <c r="Y742" s="909"/>
      <c r="Z742" s="909"/>
      <c r="AA742" s="909"/>
      <c r="AB742" s="909"/>
      <c r="AC742" s="909"/>
      <c r="AD742" s="909"/>
    </row>
    <row r="743" s="141" customFormat="1" customHeight="1" spans="1:30">
      <c r="A743" s="900"/>
      <c r="B743" s="900"/>
      <c r="C743" s="900"/>
      <c r="D743" s="901"/>
      <c r="E743" s="901"/>
      <c r="F743" s="902"/>
      <c r="G743" s="902"/>
      <c r="H743" s="903"/>
      <c r="I743" s="900"/>
      <c r="J743" s="900"/>
      <c r="K743" s="902"/>
      <c r="L743" s="904"/>
      <c r="M743" s="904"/>
      <c r="N743" s="905"/>
      <c r="O743" s="905"/>
      <c r="P743" s="906"/>
      <c r="Q743" s="906"/>
      <c r="R743" s="907"/>
      <c r="S743" s="908"/>
      <c r="T743" s="901"/>
      <c r="U743" s="902"/>
      <c r="V743" s="909"/>
      <c r="W743" s="909"/>
      <c r="X743" s="909"/>
      <c r="Y743" s="909"/>
      <c r="Z743" s="909"/>
      <c r="AA743" s="909"/>
      <c r="AB743" s="909"/>
      <c r="AC743" s="909"/>
      <c r="AD743" s="909"/>
    </row>
    <row r="744" s="141" customFormat="1" customHeight="1" spans="1:30">
      <c r="A744" s="900"/>
      <c r="B744" s="900"/>
      <c r="C744" s="900"/>
      <c r="D744" s="901"/>
      <c r="E744" s="901"/>
      <c r="F744" s="902"/>
      <c r="G744" s="902"/>
      <c r="H744" s="903"/>
      <c r="I744" s="900"/>
      <c r="J744" s="900"/>
      <c r="K744" s="902"/>
      <c r="L744" s="904"/>
      <c r="M744" s="904"/>
      <c r="N744" s="905"/>
      <c r="O744" s="905"/>
      <c r="P744" s="906"/>
      <c r="Q744" s="906"/>
      <c r="R744" s="907"/>
      <c r="S744" s="908"/>
      <c r="T744" s="901"/>
      <c r="U744" s="902"/>
      <c r="V744" s="909"/>
      <c r="W744" s="909"/>
      <c r="X744" s="909"/>
      <c r="Y744" s="909"/>
      <c r="Z744" s="909"/>
      <c r="AA744" s="909"/>
      <c r="AB744" s="909"/>
      <c r="AC744" s="909"/>
      <c r="AD744" s="909"/>
    </row>
    <row r="745" s="141" customFormat="1" customHeight="1" spans="1:30">
      <c r="A745" s="900"/>
      <c r="B745" s="900"/>
      <c r="C745" s="900"/>
      <c r="D745" s="901"/>
      <c r="E745" s="901"/>
      <c r="F745" s="902"/>
      <c r="G745" s="902"/>
      <c r="H745" s="903"/>
      <c r="I745" s="900"/>
      <c r="J745" s="900"/>
      <c r="K745" s="902"/>
      <c r="L745" s="904"/>
      <c r="M745" s="904"/>
      <c r="N745" s="905"/>
      <c r="O745" s="905"/>
      <c r="P745" s="906"/>
      <c r="Q745" s="906"/>
      <c r="R745" s="907"/>
      <c r="S745" s="908"/>
      <c r="T745" s="901"/>
      <c r="U745" s="902"/>
      <c r="V745" s="909"/>
      <c r="W745" s="909"/>
      <c r="X745" s="909"/>
      <c r="Y745" s="909"/>
      <c r="Z745" s="909"/>
      <c r="AA745" s="909"/>
      <c r="AB745" s="909"/>
      <c r="AC745" s="909"/>
      <c r="AD745" s="909"/>
    </row>
    <row r="746" s="141" customFormat="1" customHeight="1" spans="1:30">
      <c r="A746" s="900"/>
      <c r="B746" s="900"/>
      <c r="C746" s="900"/>
      <c r="D746" s="901"/>
      <c r="E746" s="901"/>
      <c r="F746" s="902"/>
      <c r="G746" s="902"/>
      <c r="H746" s="903"/>
      <c r="I746" s="900"/>
      <c r="J746" s="900"/>
      <c r="K746" s="902"/>
      <c r="L746" s="904"/>
      <c r="M746" s="904"/>
      <c r="N746" s="905"/>
      <c r="O746" s="905"/>
      <c r="P746" s="906"/>
      <c r="Q746" s="906"/>
      <c r="R746" s="907"/>
      <c r="S746" s="908"/>
      <c r="T746" s="901"/>
      <c r="U746" s="902"/>
      <c r="V746" s="909"/>
      <c r="W746" s="909"/>
      <c r="X746" s="909"/>
      <c r="Y746" s="909"/>
      <c r="Z746" s="909"/>
      <c r="AA746" s="909"/>
      <c r="AB746" s="909"/>
      <c r="AC746" s="909"/>
      <c r="AD746" s="909"/>
    </row>
    <row r="747" s="141" customFormat="1" customHeight="1" spans="1:30">
      <c r="A747" s="900"/>
      <c r="B747" s="900"/>
      <c r="C747" s="900"/>
      <c r="D747" s="901"/>
      <c r="E747" s="901"/>
      <c r="F747" s="902"/>
      <c r="G747" s="902"/>
      <c r="H747" s="903"/>
      <c r="I747" s="900"/>
      <c r="J747" s="900"/>
      <c r="K747" s="902"/>
      <c r="L747" s="904"/>
      <c r="M747" s="904"/>
      <c r="N747" s="905"/>
      <c r="O747" s="905"/>
      <c r="P747" s="906"/>
      <c r="Q747" s="906"/>
      <c r="R747" s="907"/>
      <c r="S747" s="908"/>
      <c r="T747" s="901"/>
      <c r="U747" s="902"/>
      <c r="V747" s="909"/>
      <c r="W747" s="909"/>
      <c r="X747" s="909"/>
      <c r="Y747" s="909"/>
      <c r="Z747" s="909"/>
      <c r="AA747" s="909"/>
      <c r="AB747" s="909"/>
      <c r="AC747" s="909"/>
      <c r="AD747" s="909"/>
    </row>
    <row r="748" s="141" customFormat="1" customHeight="1" spans="1:30">
      <c r="A748" s="900"/>
      <c r="B748" s="900"/>
      <c r="C748" s="900"/>
      <c r="D748" s="901"/>
      <c r="E748" s="901"/>
      <c r="F748" s="902"/>
      <c r="G748" s="902"/>
      <c r="H748" s="903"/>
      <c r="I748" s="900"/>
      <c r="J748" s="900"/>
      <c r="K748" s="902"/>
      <c r="L748" s="904"/>
      <c r="M748" s="904"/>
      <c r="N748" s="905"/>
      <c r="O748" s="905"/>
      <c r="P748" s="906"/>
      <c r="Q748" s="906"/>
      <c r="R748" s="907"/>
      <c r="S748" s="908"/>
      <c r="T748" s="901"/>
      <c r="U748" s="902"/>
      <c r="V748" s="909"/>
      <c r="W748" s="909"/>
      <c r="X748" s="909"/>
      <c r="Y748" s="909"/>
      <c r="Z748" s="909"/>
      <c r="AA748" s="909"/>
      <c r="AB748" s="909"/>
      <c r="AC748" s="909"/>
      <c r="AD748" s="909"/>
    </row>
    <row r="749" s="141" customFormat="1" customHeight="1" spans="1:30">
      <c r="A749" s="900"/>
      <c r="B749" s="900"/>
      <c r="C749" s="900"/>
      <c r="D749" s="901"/>
      <c r="E749" s="901"/>
      <c r="F749" s="902"/>
      <c r="G749" s="902"/>
      <c r="H749" s="903"/>
      <c r="I749" s="900"/>
      <c r="J749" s="900"/>
      <c r="K749" s="902"/>
      <c r="L749" s="904"/>
      <c r="M749" s="904"/>
      <c r="N749" s="905"/>
      <c r="O749" s="905"/>
      <c r="P749" s="906"/>
      <c r="Q749" s="906"/>
      <c r="R749" s="907"/>
      <c r="S749" s="908"/>
      <c r="T749" s="901"/>
      <c r="U749" s="902"/>
      <c r="V749" s="909"/>
      <c r="W749" s="909"/>
      <c r="X749" s="909"/>
      <c r="Y749" s="909"/>
      <c r="Z749" s="909"/>
      <c r="AA749" s="909"/>
      <c r="AB749" s="909"/>
      <c r="AC749" s="909"/>
      <c r="AD749" s="909"/>
    </row>
    <row r="750" s="141" customFormat="1" customHeight="1" spans="1:30">
      <c r="A750" s="900"/>
      <c r="B750" s="900"/>
      <c r="C750" s="900"/>
      <c r="D750" s="901"/>
      <c r="E750" s="901"/>
      <c r="F750" s="902"/>
      <c r="G750" s="902"/>
      <c r="H750" s="903"/>
      <c r="I750" s="900"/>
      <c r="J750" s="900"/>
      <c r="K750" s="902"/>
      <c r="L750" s="904"/>
      <c r="M750" s="904"/>
      <c r="N750" s="905"/>
      <c r="O750" s="905"/>
      <c r="P750" s="906"/>
      <c r="Q750" s="906"/>
      <c r="R750" s="907"/>
      <c r="S750" s="908"/>
      <c r="T750" s="901"/>
      <c r="U750" s="902"/>
      <c r="V750" s="909"/>
      <c r="W750" s="909"/>
      <c r="X750" s="909"/>
      <c r="Y750" s="909"/>
      <c r="Z750" s="909"/>
      <c r="AA750" s="909"/>
      <c r="AB750" s="909"/>
      <c r="AC750" s="909"/>
      <c r="AD750" s="909"/>
    </row>
    <row r="751" s="141" customFormat="1" customHeight="1" spans="1:30">
      <c r="A751" s="900"/>
      <c r="B751" s="900"/>
      <c r="C751" s="900"/>
      <c r="D751" s="901"/>
      <c r="E751" s="901"/>
      <c r="F751" s="902"/>
      <c r="G751" s="902"/>
      <c r="H751" s="903"/>
      <c r="I751" s="900"/>
      <c r="J751" s="900"/>
      <c r="K751" s="902"/>
      <c r="L751" s="904"/>
      <c r="M751" s="904"/>
      <c r="N751" s="905"/>
      <c r="O751" s="905"/>
      <c r="P751" s="906"/>
      <c r="Q751" s="906"/>
      <c r="R751" s="907"/>
      <c r="S751" s="908"/>
      <c r="T751" s="901"/>
      <c r="U751" s="902"/>
      <c r="V751" s="909"/>
      <c r="W751" s="909"/>
      <c r="X751" s="909"/>
      <c r="Y751" s="909"/>
      <c r="Z751" s="909"/>
      <c r="AA751" s="909"/>
      <c r="AB751" s="909"/>
      <c r="AC751" s="909"/>
      <c r="AD751" s="909"/>
    </row>
    <row r="752" s="141" customFormat="1" customHeight="1" spans="1:30">
      <c r="A752" s="900"/>
      <c r="B752" s="900"/>
      <c r="C752" s="900"/>
      <c r="D752" s="901"/>
      <c r="E752" s="901"/>
      <c r="F752" s="902"/>
      <c r="G752" s="902"/>
      <c r="H752" s="903"/>
      <c r="I752" s="900"/>
      <c r="J752" s="900"/>
      <c r="K752" s="902"/>
      <c r="L752" s="904"/>
      <c r="M752" s="904"/>
      <c r="N752" s="905"/>
      <c r="O752" s="905"/>
      <c r="P752" s="906"/>
      <c r="Q752" s="906"/>
      <c r="R752" s="907"/>
      <c r="S752" s="908"/>
      <c r="T752" s="901"/>
      <c r="U752" s="902"/>
      <c r="V752" s="909"/>
      <c r="W752" s="909"/>
      <c r="X752" s="909"/>
      <c r="Y752" s="909"/>
      <c r="Z752" s="909"/>
      <c r="AA752" s="909"/>
      <c r="AB752" s="909"/>
      <c r="AC752" s="909"/>
      <c r="AD752" s="909"/>
    </row>
    <row r="753" s="141" customFormat="1" customHeight="1" spans="1:30">
      <c r="A753" s="900"/>
      <c r="B753" s="900"/>
      <c r="C753" s="900"/>
      <c r="D753" s="901"/>
      <c r="E753" s="901"/>
      <c r="F753" s="902"/>
      <c r="G753" s="902"/>
      <c r="H753" s="903"/>
      <c r="I753" s="900"/>
      <c r="J753" s="900"/>
      <c r="K753" s="902"/>
      <c r="L753" s="904"/>
      <c r="M753" s="904"/>
      <c r="N753" s="905"/>
      <c r="O753" s="905"/>
      <c r="P753" s="906"/>
      <c r="Q753" s="906"/>
      <c r="R753" s="907"/>
      <c r="S753" s="908"/>
      <c r="T753" s="901"/>
      <c r="U753" s="902"/>
      <c r="V753" s="909"/>
      <c r="W753" s="909"/>
      <c r="X753" s="909"/>
      <c r="Y753" s="909"/>
      <c r="Z753" s="909"/>
      <c r="AA753" s="909"/>
      <c r="AB753" s="909"/>
      <c r="AC753" s="909"/>
      <c r="AD753" s="909"/>
    </row>
    <row r="754" s="141" customFormat="1" customHeight="1" spans="1:30">
      <c r="A754" s="900"/>
      <c r="B754" s="900"/>
      <c r="C754" s="900"/>
      <c r="D754" s="901"/>
      <c r="E754" s="901"/>
      <c r="F754" s="902"/>
      <c r="G754" s="902"/>
      <c r="H754" s="903"/>
      <c r="I754" s="900"/>
      <c r="J754" s="900"/>
      <c r="K754" s="902"/>
      <c r="L754" s="904"/>
      <c r="M754" s="904"/>
      <c r="N754" s="905"/>
      <c r="O754" s="905"/>
      <c r="P754" s="906"/>
      <c r="Q754" s="906"/>
      <c r="R754" s="907"/>
      <c r="S754" s="908"/>
      <c r="T754" s="901"/>
      <c r="U754" s="902"/>
      <c r="V754" s="909"/>
      <c r="W754" s="909"/>
      <c r="X754" s="909"/>
      <c r="Y754" s="909"/>
      <c r="Z754" s="909"/>
      <c r="AA754" s="909"/>
      <c r="AB754" s="909"/>
      <c r="AC754" s="909"/>
      <c r="AD754" s="909"/>
    </row>
    <row r="755" s="141" customFormat="1" customHeight="1" spans="1:30">
      <c r="A755" s="900"/>
      <c r="B755" s="900"/>
      <c r="C755" s="900"/>
      <c r="D755" s="901"/>
      <c r="E755" s="901"/>
      <c r="F755" s="902"/>
      <c r="G755" s="902"/>
      <c r="H755" s="903"/>
      <c r="I755" s="900"/>
      <c r="J755" s="900"/>
      <c r="K755" s="902"/>
      <c r="L755" s="904"/>
      <c r="M755" s="904"/>
      <c r="N755" s="905"/>
      <c r="O755" s="905"/>
      <c r="P755" s="906"/>
      <c r="Q755" s="906"/>
      <c r="R755" s="907"/>
      <c r="S755" s="908"/>
      <c r="T755" s="901"/>
      <c r="U755" s="902"/>
      <c r="V755" s="909"/>
      <c r="W755" s="909"/>
      <c r="X755" s="909"/>
      <c r="Y755" s="909"/>
      <c r="Z755" s="909"/>
      <c r="AA755" s="909"/>
      <c r="AB755" s="909"/>
      <c r="AC755" s="909"/>
      <c r="AD755" s="909"/>
    </row>
    <row r="756" s="141" customFormat="1" customHeight="1" spans="1:30">
      <c r="A756" s="900"/>
      <c r="B756" s="900"/>
      <c r="C756" s="900"/>
      <c r="D756" s="901"/>
      <c r="E756" s="901"/>
      <c r="F756" s="902"/>
      <c r="G756" s="902"/>
      <c r="H756" s="903"/>
      <c r="I756" s="900"/>
      <c r="J756" s="900"/>
      <c r="K756" s="902"/>
      <c r="L756" s="904"/>
      <c r="M756" s="904"/>
      <c r="N756" s="905"/>
      <c r="O756" s="905"/>
      <c r="P756" s="906"/>
      <c r="Q756" s="906"/>
      <c r="R756" s="907"/>
      <c r="S756" s="908"/>
      <c r="T756" s="901"/>
      <c r="U756" s="902"/>
      <c r="V756" s="909"/>
      <c r="W756" s="909"/>
      <c r="X756" s="909"/>
      <c r="Y756" s="909"/>
      <c r="Z756" s="909"/>
      <c r="AA756" s="909"/>
      <c r="AB756" s="909"/>
      <c r="AC756" s="909"/>
      <c r="AD756" s="909"/>
    </row>
    <row r="757" s="141" customFormat="1" customHeight="1" spans="1:30">
      <c r="A757" s="900"/>
      <c r="B757" s="900"/>
      <c r="C757" s="900"/>
      <c r="D757" s="901"/>
      <c r="E757" s="901"/>
      <c r="F757" s="902"/>
      <c r="G757" s="902"/>
      <c r="H757" s="903"/>
      <c r="I757" s="900"/>
      <c r="J757" s="900"/>
      <c r="K757" s="902"/>
      <c r="L757" s="904"/>
      <c r="M757" s="904"/>
      <c r="N757" s="905"/>
      <c r="O757" s="905"/>
      <c r="P757" s="906"/>
      <c r="Q757" s="906"/>
      <c r="R757" s="907"/>
      <c r="S757" s="908"/>
      <c r="T757" s="901"/>
      <c r="U757" s="902"/>
      <c r="V757" s="909"/>
      <c r="W757" s="909"/>
      <c r="X757" s="909"/>
      <c r="Y757" s="909"/>
      <c r="Z757" s="909"/>
      <c r="AA757" s="909"/>
      <c r="AB757" s="909"/>
      <c r="AC757" s="909"/>
      <c r="AD757" s="909"/>
    </row>
    <row r="758" s="141" customFormat="1" customHeight="1" spans="1:30">
      <c r="A758" s="900"/>
      <c r="B758" s="900"/>
      <c r="C758" s="900"/>
      <c r="D758" s="901"/>
      <c r="E758" s="901"/>
      <c r="F758" s="902"/>
      <c r="G758" s="902"/>
      <c r="H758" s="903"/>
      <c r="I758" s="900"/>
      <c r="J758" s="900"/>
      <c r="K758" s="902"/>
      <c r="L758" s="904"/>
      <c r="M758" s="904"/>
      <c r="N758" s="905"/>
      <c r="O758" s="905"/>
      <c r="P758" s="906"/>
      <c r="Q758" s="906"/>
      <c r="R758" s="907"/>
      <c r="S758" s="908"/>
      <c r="T758" s="901"/>
      <c r="U758" s="902"/>
      <c r="V758" s="909"/>
      <c r="W758" s="909"/>
      <c r="X758" s="909"/>
      <c r="Y758" s="909"/>
      <c r="Z758" s="909"/>
      <c r="AA758" s="909"/>
      <c r="AB758" s="909"/>
      <c r="AC758" s="909"/>
      <c r="AD758" s="909"/>
    </row>
    <row r="759" s="141" customFormat="1" customHeight="1" spans="1:30">
      <c r="A759" s="900"/>
      <c r="B759" s="900"/>
      <c r="C759" s="900"/>
      <c r="D759" s="901"/>
      <c r="E759" s="901"/>
      <c r="F759" s="902"/>
      <c r="G759" s="902"/>
      <c r="H759" s="903"/>
      <c r="I759" s="900"/>
      <c r="J759" s="900"/>
      <c r="K759" s="902"/>
      <c r="L759" s="904"/>
      <c r="M759" s="904"/>
      <c r="N759" s="905"/>
      <c r="O759" s="905"/>
      <c r="P759" s="906"/>
      <c r="Q759" s="906"/>
      <c r="R759" s="907"/>
      <c r="S759" s="908"/>
      <c r="T759" s="901"/>
      <c r="U759" s="902"/>
      <c r="V759" s="909"/>
      <c r="W759" s="909"/>
      <c r="X759" s="909"/>
      <c r="Y759" s="909"/>
      <c r="Z759" s="909"/>
      <c r="AA759" s="909"/>
      <c r="AB759" s="909"/>
      <c r="AC759" s="909"/>
      <c r="AD759" s="909"/>
    </row>
    <row r="760" s="141" customFormat="1" customHeight="1" spans="1:30">
      <c r="A760" s="900"/>
      <c r="B760" s="900"/>
      <c r="C760" s="900"/>
      <c r="D760" s="901"/>
      <c r="E760" s="901"/>
      <c r="F760" s="902"/>
      <c r="G760" s="902"/>
      <c r="H760" s="903"/>
      <c r="I760" s="900"/>
      <c r="J760" s="900"/>
      <c r="K760" s="902"/>
      <c r="L760" s="904"/>
      <c r="M760" s="904"/>
      <c r="N760" s="905"/>
      <c r="O760" s="905"/>
      <c r="P760" s="906"/>
      <c r="Q760" s="906"/>
      <c r="R760" s="907"/>
      <c r="S760" s="908"/>
      <c r="T760" s="901"/>
      <c r="U760" s="902"/>
      <c r="V760" s="909"/>
      <c r="W760" s="909"/>
      <c r="X760" s="909"/>
      <c r="Y760" s="909"/>
      <c r="Z760" s="909"/>
      <c r="AA760" s="909"/>
      <c r="AB760" s="909"/>
      <c r="AC760" s="909"/>
      <c r="AD760" s="909"/>
    </row>
    <row r="761" s="141" customFormat="1" customHeight="1" spans="1:30">
      <c r="A761" s="900"/>
      <c r="B761" s="900"/>
      <c r="C761" s="900"/>
      <c r="D761" s="901"/>
      <c r="E761" s="901"/>
      <c r="F761" s="902"/>
      <c r="G761" s="902"/>
      <c r="H761" s="903"/>
      <c r="I761" s="900"/>
      <c r="J761" s="900"/>
      <c r="K761" s="902"/>
      <c r="L761" s="904"/>
      <c r="M761" s="904"/>
      <c r="N761" s="905"/>
      <c r="O761" s="905"/>
      <c r="P761" s="906"/>
      <c r="Q761" s="906"/>
      <c r="R761" s="907"/>
      <c r="S761" s="908"/>
      <c r="T761" s="901"/>
      <c r="U761" s="902"/>
      <c r="V761" s="909"/>
      <c r="W761" s="909"/>
      <c r="X761" s="909"/>
      <c r="Y761" s="909"/>
      <c r="Z761" s="909"/>
      <c r="AA761" s="909"/>
      <c r="AB761" s="909"/>
      <c r="AC761" s="909"/>
      <c r="AD761" s="909"/>
    </row>
    <row r="762" s="141" customFormat="1" customHeight="1" spans="1:30">
      <c r="A762" s="900"/>
      <c r="B762" s="900"/>
      <c r="C762" s="900"/>
      <c r="D762" s="901"/>
      <c r="E762" s="901"/>
      <c r="F762" s="902"/>
      <c r="G762" s="902"/>
      <c r="H762" s="903"/>
      <c r="I762" s="900"/>
      <c r="J762" s="900"/>
      <c r="K762" s="902"/>
      <c r="L762" s="904"/>
      <c r="M762" s="904"/>
      <c r="N762" s="905"/>
      <c r="O762" s="905"/>
      <c r="P762" s="906"/>
      <c r="Q762" s="906"/>
      <c r="R762" s="907"/>
      <c r="S762" s="908"/>
      <c r="T762" s="901"/>
      <c r="U762" s="902"/>
      <c r="V762" s="909"/>
      <c r="W762" s="909"/>
      <c r="X762" s="909"/>
      <c r="Y762" s="909"/>
      <c r="Z762" s="909"/>
      <c r="AA762" s="909"/>
      <c r="AB762" s="909"/>
      <c r="AC762" s="909"/>
      <c r="AD762" s="909"/>
    </row>
    <row r="763" s="141" customFormat="1" customHeight="1" spans="1:30">
      <c r="A763" s="900"/>
      <c r="B763" s="900"/>
      <c r="C763" s="900"/>
      <c r="D763" s="901"/>
      <c r="E763" s="901"/>
      <c r="F763" s="902"/>
      <c r="G763" s="902"/>
      <c r="H763" s="903"/>
      <c r="I763" s="900"/>
      <c r="J763" s="900"/>
      <c r="K763" s="902"/>
      <c r="L763" s="904"/>
      <c r="M763" s="904"/>
      <c r="N763" s="905"/>
      <c r="O763" s="905"/>
      <c r="P763" s="906"/>
      <c r="Q763" s="906"/>
      <c r="R763" s="907"/>
      <c r="S763" s="908"/>
      <c r="T763" s="901"/>
      <c r="U763" s="902"/>
      <c r="V763" s="909"/>
      <c r="W763" s="909"/>
      <c r="X763" s="909"/>
      <c r="Y763" s="909"/>
      <c r="Z763" s="909"/>
      <c r="AA763" s="909"/>
      <c r="AB763" s="909"/>
      <c r="AC763" s="909"/>
      <c r="AD763" s="909"/>
    </row>
    <row r="764" s="141" customFormat="1" customHeight="1" spans="1:30">
      <c r="A764" s="900"/>
      <c r="B764" s="900"/>
      <c r="C764" s="900"/>
      <c r="D764" s="901"/>
      <c r="E764" s="901"/>
      <c r="F764" s="902"/>
      <c r="G764" s="902"/>
      <c r="H764" s="903"/>
      <c r="I764" s="900"/>
      <c r="J764" s="900"/>
      <c r="K764" s="902"/>
      <c r="L764" s="904"/>
      <c r="M764" s="904"/>
      <c r="N764" s="905"/>
      <c r="O764" s="905"/>
      <c r="P764" s="906"/>
      <c r="Q764" s="906"/>
      <c r="R764" s="907"/>
      <c r="S764" s="908"/>
      <c r="T764" s="901"/>
      <c r="U764" s="902"/>
      <c r="V764" s="909"/>
      <c r="W764" s="909"/>
      <c r="X764" s="909"/>
      <c r="Y764" s="909"/>
      <c r="Z764" s="909"/>
      <c r="AA764" s="909"/>
      <c r="AB764" s="909"/>
      <c r="AC764" s="909"/>
      <c r="AD764" s="909"/>
    </row>
    <row r="765" s="141" customFormat="1" customHeight="1" spans="1:30">
      <c r="A765" s="900"/>
      <c r="B765" s="900"/>
      <c r="C765" s="900"/>
      <c r="D765" s="901"/>
      <c r="E765" s="901"/>
      <c r="F765" s="902"/>
      <c r="G765" s="902"/>
      <c r="H765" s="903"/>
      <c r="I765" s="900"/>
      <c r="J765" s="900"/>
      <c r="K765" s="902"/>
      <c r="L765" s="904"/>
      <c r="M765" s="904"/>
      <c r="N765" s="905"/>
      <c r="O765" s="905"/>
      <c r="P765" s="906"/>
      <c r="Q765" s="906"/>
      <c r="R765" s="907"/>
      <c r="S765" s="908"/>
      <c r="T765" s="901"/>
      <c r="U765" s="902"/>
      <c r="V765" s="909"/>
      <c r="W765" s="909"/>
      <c r="X765" s="909"/>
      <c r="Y765" s="909"/>
      <c r="Z765" s="909"/>
      <c r="AA765" s="909"/>
      <c r="AB765" s="909"/>
      <c r="AC765" s="909"/>
      <c r="AD765" s="909"/>
    </row>
    <row r="766" s="141" customFormat="1" customHeight="1" spans="1:30">
      <c r="A766" s="900"/>
      <c r="B766" s="900"/>
      <c r="C766" s="900"/>
      <c r="D766" s="901"/>
      <c r="E766" s="901"/>
      <c r="F766" s="902"/>
      <c r="G766" s="902"/>
      <c r="H766" s="903"/>
      <c r="I766" s="900"/>
      <c r="J766" s="900"/>
      <c r="K766" s="902"/>
      <c r="L766" s="904"/>
      <c r="M766" s="904"/>
      <c r="N766" s="905"/>
      <c r="O766" s="905"/>
      <c r="P766" s="906"/>
      <c r="Q766" s="906"/>
      <c r="R766" s="907"/>
      <c r="S766" s="908"/>
      <c r="T766" s="901"/>
      <c r="U766" s="902"/>
      <c r="V766" s="909"/>
      <c r="W766" s="909"/>
      <c r="X766" s="909"/>
      <c r="Y766" s="909"/>
      <c r="Z766" s="909"/>
      <c r="AA766" s="909"/>
      <c r="AB766" s="909"/>
      <c r="AC766" s="909"/>
      <c r="AD766" s="909"/>
    </row>
    <row r="767" s="141" customFormat="1" customHeight="1" spans="1:30">
      <c r="A767" s="900"/>
      <c r="B767" s="900"/>
      <c r="C767" s="900"/>
      <c r="D767" s="901"/>
      <c r="E767" s="901"/>
      <c r="F767" s="902"/>
      <c r="G767" s="902"/>
      <c r="H767" s="903"/>
      <c r="I767" s="900"/>
      <c r="J767" s="900"/>
      <c r="K767" s="902"/>
      <c r="L767" s="904"/>
      <c r="M767" s="904"/>
      <c r="N767" s="905"/>
      <c r="O767" s="905"/>
      <c r="P767" s="906"/>
      <c r="Q767" s="906"/>
      <c r="R767" s="907"/>
      <c r="S767" s="908"/>
      <c r="T767" s="901"/>
      <c r="U767" s="902"/>
      <c r="V767" s="909"/>
      <c r="W767" s="909"/>
      <c r="X767" s="909"/>
      <c r="Y767" s="909"/>
      <c r="Z767" s="909"/>
      <c r="AA767" s="909"/>
      <c r="AB767" s="909"/>
      <c r="AC767" s="909"/>
      <c r="AD767" s="909"/>
    </row>
    <row r="768" s="141" customFormat="1" customHeight="1" spans="1:30">
      <c r="A768" s="900"/>
      <c r="B768" s="900"/>
      <c r="C768" s="900"/>
      <c r="D768" s="901"/>
      <c r="E768" s="901"/>
      <c r="F768" s="902"/>
      <c r="G768" s="902"/>
      <c r="H768" s="903"/>
      <c r="I768" s="900"/>
      <c r="J768" s="900"/>
      <c r="K768" s="902"/>
      <c r="L768" s="904"/>
      <c r="M768" s="904"/>
      <c r="N768" s="905"/>
      <c r="O768" s="905"/>
      <c r="P768" s="906"/>
      <c r="Q768" s="906"/>
      <c r="R768" s="907"/>
      <c r="S768" s="908"/>
      <c r="T768" s="901"/>
      <c r="U768" s="902"/>
      <c r="V768" s="909"/>
      <c r="W768" s="909"/>
      <c r="X768" s="909"/>
      <c r="Y768" s="909"/>
      <c r="Z768" s="909"/>
      <c r="AA768" s="909"/>
      <c r="AB768" s="909"/>
      <c r="AC768" s="909"/>
      <c r="AD768" s="909"/>
    </row>
    <row r="769" s="141" customFormat="1" customHeight="1" spans="1:30">
      <c r="A769" s="900"/>
      <c r="B769" s="900"/>
      <c r="C769" s="900"/>
      <c r="D769" s="901"/>
      <c r="E769" s="901"/>
      <c r="F769" s="902"/>
      <c r="G769" s="902"/>
      <c r="H769" s="903"/>
      <c r="I769" s="900"/>
      <c r="J769" s="900"/>
      <c r="K769" s="902"/>
      <c r="L769" s="904"/>
      <c r="M769" s="904"/>
      <c r="N769" s="905"/>
      <c r="O769" s="905"/>
      <c r="P769" s="906"/>
      <c r="Q769" s="906"/>
      <c r="R769" s="907"/>
      <c r="S769" s="908"/>
      <c r="T769" s="901"/>
      <c r="U769" s="902"/>
      <c r="V769" s="909"/>
      <c r="W769" s="909"/>
      <c r="X769" s="909"/>
      <c r="Y769" s="909"/>
      <c r="Z769" s="909"/>
      <c r="AA769" s="909"/>
      <c r="AB769" s="909"/>
      <c r="AC769" s="909"/>
      <c r="AD769" s="909"/>
    </row>
    <row r="770" s="141" customFormat="1" customHeight="1" spans="1:30">
      <c r="A770" s="900"/>
      <c r="B770" s="900"/>
      <c r="C770" s="900"/>
      <c r="D770" s="901"/>
      <c r="E770" s="901"/>
      <c r="F770" s="902"/>
      <c r="G770" s="902"/>
      <c r="H770" s="903"/>
      <c r="I770" s="900"/>
      <c r="J770" s="900"/>
      <c r="K770" s="902"/>
      <c r="L770" s="904"/>
      <c r="M770" s="904"/>
      <c r="N770" s="905"/>
      <c r="O770" s="905"/>
      <c r="P770" s="906"/>
      <c r="Q770" s="906"/>
      <c r="R770" s="907"/>
      <c r="S770" s="908"/>
      <c r="T770" s="901"/>
      <c r="U770" s="902"/>
      <c r="V770" s="909"/>
      <c r="W770" s="909"/>
      <c r="X770" s="909"/>
      <c r="Y770" s="909"/>
      <c r="Z770" s="909"/>
      <c r="AA770" s="909"/>
      <c r="AB770" s="909"/>
      <c r="AC770" s="909"/>
      <c r="AD770" s="909"/>
    </row>
    <row r="771" s="141" customFormat="1" customHeight="1" spans="1:30">
      <c r="A771" s="900"/>
      <c r="B771" s="900"/>
      <c r="C771" s="900"/>
      <c r="D771" s="901"/>
      <c r="E771" s="901"/>
      <c r="F771" s="902"/>
      <c r="G771" s="902"/>
      <c r="H771" s="903"/>
      <c r="I771" s="900"/>
      <c r="J771" s="900"/>
      <c r="K771" s="902"/>
      <c r="L771" s="904"/>
      <c r="M771" s="904"/>
      <c r="N771" s="905"/>
      <c r="O771" s="905"/>
      <c r="P771" s="906"/>
      <c r="Q771" s="906"/>
      <c r="R771" s="907"/>
      <c r="S771" s="908"/>
      <c r="T771" s="901"/>
      <c r="U771" s="902"/>
      <c r="V771" s="909"/>
      <c r="W771" s="909"/>
      <c r="X771" s="909"/>
      <c r="Y771" s="909"/>
      <c r="Z771" s="909"/>
      <c r="AA771" s="909"/>
      <c r="AB771" s="909"/>
      <c r="AC771" s="909"/>
      <c r="AD771" s="909"/>
    </row>
    <row r="772" s="141" customFormat="1" customHeight="1" spans="1:30">
      <c r="A772" s="900"/>
      <c r="B772" s="900"/>
      <c r="C772" s="900"/>
      <c r="D772" s="901"/>
      <c r="E772" s="901"/>
      <c r="F772" s="902"/>
      <c r="G772" s="902"/>
      <c r="H772" s="903"/>
      <c r="I772" s="900"/>
      <c r="J772" s="900"/>
      <c r="K772" s="902"/>
      <c r="L772" s="904"/>
      <c r="M772" s="904"/>
      <c r="N772" s="905"/>
      <c r="O772" s="905"/>
      <c r="P772" s="906"/>
      <c r="Q772" s="906"/>
      <c r="R772" s="907"/>
      <c r="S772" s="908"/>
      <c r="T772" s="901"/>
      <c r="U772" s="902"/>
      <c r="V772" s="909"/>
      <c r="W772" s="909"/>
      <c r="X772" s="909"/>
      <c r="Y772" s="909"/>
      <c r="Z772" s="909"/>
      <c r="AA772" s="909"/>
      <c r="AB772" s="909"/>
      <c r="AC772" s="909"/>
      <c r="AD772" s="909"/>
    </row>
    <row r="773" s="141" customFormat="1" customHeight="1" spans="1:30">
      <c r="A773" s="900"/>
      <c r="B773" s="900"/>
      <c r="C773" s="900"/>
      <c r="D773" s="901"/>
      <c r="E773" s="901"/>
      <c r="F773" s="902"/>
      <c r="G773" s="902"/>
      <c r="H773" s="903"/>
      <c r="I773" s="900"/>
      <c r="J773" s="900"/>
      <c r="K773" s="902"/>
      <c r="L773" s="904"/>
      <c r="M773" s="904"/>
      <c r="N773" s="905"/>
      <c r="O773" s="905"/>
      <c r="P773" s="906"/>
      <c r="Q773" s="906"/>
      <c r="R773" s="907"/>
      <c r="S773" s="908"/>
      <c r="T773" s="901"/>
      <c r="U773" s="902"/>
      <c r="V773" s="909"/>
      <c r="W773" s="909"/>
      <c r="X773" s="909"/>
      <c r="Y773" s="909"/>
      <c r="Z773" s="909"/>
      <c r="AA773" s="909"/>
      <c r="AB773" s="909"/>
      <c r="AC773" s="909"/>
      <c r="AD773" s="909"/>
    </row>
    <row r="774" s="141" customFormat="1" customHeight="1" spans="1:30">
      <c r="A774" s="900"/>
      <c r="B774" s="900"/>
      <c r="C774" s="900"/>
      <c r="D774" s="901"/>
      <c r="E774" s="901"/>
      <c r="F774" s="902"/>
      <c r="G774" s="902"/>
      <c r="H774" s="903"/>
      <c r="I774" s="900"/>
      <c r="J774" s="900"/>
      <c r="K774" s="902"/>
      <c r="L774" s="904"/>
      <c r="M774" s="904"/>
      <c r="N774" s="905"/>
      <c r="O774" s="905"/>
      <c r="P774" s="906"/>
      <c r="Q774" s="906"/>
      <c r="R774" s="907"/>
      <c r="S774" s="908"/>
      <c r="T774" s="901"/>
      <c r="U774" s="902"/>
      <c r="V774" s="909"/>
      <c r="W774" s="909"/>
      <c r="X774" s="909"/>
      <c r="Y774" s="909"/>
      <c r="Z774" s="909"/>
      <c r="AA774" s="909"/>
      <c r="AB774" s="909"/>
      <c r="AC774" s="909"/>
      <c r="AD774" s="909"/>
    </row>
    <row r="775" s="141" customFormat="1" customHeight="1" spans="1:30">
      <c r="A775" s="900"/>
      <c r="B775" s="900"/>
      <c r="C775" s="900"/>
      <c r="D775" s="901"/>
      <c r="E775" s="901"/>
      <c r="F775" s="902"/>
      <c r="G775" s="902"/>
      <c r="H775" s="903"/>
      <c r="I775" s="900"/>
      <c r="J775" s="900"/>
      <c r="K775" s="902"/>
      <c r="L775" s="904"/>
      <c r="M775" s="904"/>
      <c r="N775" s="905"/>
      <c r="O775" s="905"/>
      <c r="P775" s="906"/>
      <c r="Q775" s="906"/>
      <c r="R775" s="907"/>
      <c r="S775" s="908"/>
      <c r="T775" s="901"/>
      <c r="U775" s="902"/>
      <c r="V775" s="909"/>
      <c r="W775" s="909"/>
      <c r="X775" s="909"/>
      <c r="Y775" s="909"/>
      <c r="Z775" s="909"/>
      <c r="AA775" s="909"/>
      <c r="AB775" s="909"/>
      <c r="AC775" s="909"/>
      <c r="AD775" s="909"/>
    </row>
    <row r="776" s="141" customFormat="1" customHeight="1" spans="1:30">
      <c r="A776" s="900"/>
      <c r="B776" s="900"/>
      <c r="C776" s="900"/>
      <c r="D776" s="901"/>
      <c r="E776" s="901"/>
      <c r="F776" s="902"/>
      <c r="G776" s="902"/>
      <c r="H776" s="903"/>
      <c r="I776" s="900"/>
      <c r="J776" s="900"/>
      <c r="K776" s="902"/>
      <c r="L776" s="904"/>
      <c r="M776" s="904"/>
      <c r="N776" s="905"/>
      <c r="O776" s="905"/>
      <c r="P776" s="906"/>
      <c r="Q776" s="906"/>
      <c r="R776" s="907"/>
      <c r="S776" s="908"/>
      <c r="T776" s="901"/>
      <c r="U776" s="902"/>
      <c r="V776" s="909"/>
      <c r="W776" s="909"/>
      <c r="X776" s="909"/>
      <c r="Y776" s="909"/>
      <c r="Z776" s="909"/>
      <c r="AA776" s="909"/>
      <c r="AB776" s="909"/>
      <c r="AC776" s="909"/>
      <c r="AD776" s="909"/>
    </row>
    <row r="777" s="141" customFormat="1" customHeight="1" spans="1:30">
      <c r="A777" s="900"/>
      <c r="B777" s="900"/>
      <c r="C777" s="900"/>
      <c r="D777" s="901"/>
      <c r="E777" s="901"/>
      <c r="F777" s="902"/>
      <c r="G777" s="902"/>
      <c r="H777" s="903"/>
      <c r="I777" s="900"/>
      <c r="J777" s="900"/>
      <c r="K777" s="902"/>
      <c r="L777" s="904"/>
      <c r="M777" s="904"/>
      <c r="N777" s="905"/>
      <c r="O777" s="905"/>
      <c r="P777" s="906"/>
      <c r="Q777" s="906"/>
      <c r="R777" s="907"/>
      <c r="S777" s="908"/>
      <c r="T777" s="901"/>
      <c r="U777" s="902"/>
      <c r="V777" s="909"/>
      <c r="W777" s="909"/>
      <c r="X777" s="909"/>
      <c r="Y777" s="909"/>
      <c r="Z777" s="909"/>
      <c r="AA777" s="909"/>
      <c r="AB777" s="909"/>
      <c r="AC777" s="909"/>
      <c r="AD777" s="909"/>
    </row>
    <row r="778" s="141" customFormat="1" customHeight="1" spans="1:30">
      <c r="A778" s="900"/>
      <c r="B778" s="900"/>
      <c r="C778" s="900"/>
      <c r="D778" s="901"/>
      <c r="E778" s="901"/>
      <c r="F778" s="902"/>
      <c r="G778" s="902"/>
      <c r="H778" s="903"/>
      <c r="I778" s="900"/>
      <c r="J778" s="900"/>
      <c r="K778" s="902"/>
      <c r="L778" s="904"/>
      <c r="M778" s="904"/>
      <c r="N778" s="905"/>
      <c r="O778" s="905"/>
      <c r="P778" s="906"/>
      <c r="Q778" s="906"/>
      <c r="R778" s="907"/>
      <c r="S778" s="908"/>
      <c r="T778" s="901"/>
      <c r="U778" s="902"/>
      <c r="V778" s="909"/>
      <c r="W778" s="909"/>
      <c r="X778" s="909"/>
      <c r="Y778" s="909"/>
      <c r="Z778" s="909"/>
      <c r="AA778" s="909"/>
      <c r="AB778" s="909"/>
      <c r="AC778" s="909"/>
      <c r="AD778" s="909"/>
    </row>
    <row r="779" s="141" customFormat="1" customHeight="1" spans="1:30">
      <c r="A779" s="900"/>
      <c r="B779" s="900"/>
      <c r="C779" s="900"/>
      <c r="D779" s="901"/>
      <c r="E779" s="901"/>
      <c r="F779" s="902"/>
      <c r="G779" s="902"/>
      <c r="H779" s="903"/>
      <c r="I779" s="900"/>
      <c r="J779" s="900"/>
      <c r="K779" s="902"/>
      <c r="L779" s="904"/>
      <c r="M779" s="904"/>
      <c r="N779" s="905"/>
      <c r="O779" s="905"/>
      <c r="P779" s="906"/>
      <c r="Q779" s="906"/>
      <c r="R779" s="907"/>
      <c r="S779" s="908"/>
      <c r="T779" s="901"/>
      <c r="U779" s="902"/>
      <c r="V779" s="909"/>
      <c r="W779" s="909"/>
      <c r="X779" s="909"/>
      <c r="Y779" s="909"/>
      <c r="Z779" s="909"/>
      <c r="AA779" s="909"/>
      <c r="AB779" s="909"/>
      <c r="AC779" s="909"/>
      <c r="AD779" s="909"/>
    </row>
    <row r="780" s="141" customFormat="1" customHeight="1" spans="1:30">
      <c r="A780" s="900"/>
      <c r="B780" s="900"/>
      <c r="C780" s="900"/>
      <c r="D780" s="901"/>
      <c r="E780" s="901"/>
      <c r="F780" s="902"/>
      <c r="G780" s="902"/>
      <c r="H780" s="903"/>
      <c r="I780" s="900"/>
      <c r="J780" s="900"/>
      <c r="K780" s="902"/>
      <c r="L780" s="904"/>
      <c r="M780" s="904"/>
      <c r="N780" s="905"/>
      <c r="O780" s="905"/>
      <c r="P780" s="906"/>
      <c r="Q780" s="906"/>
      <c r="R780" s="907"/>
      <c r="S780" s="908"/>
      <c r="T780" s="901"/>
      <c r="U780" s="902"/>
      <c r="V780" s="909"/>
      <c r="W780" s="909"/>
      <c r="X780" s="909"/>
      <c r="Y780" s="909"/>
      <c r="Z780" s="909"/>
      <c r="AA780" s="909"/>
      <c r="AB780" s="909"/>
      <c r="AC780" s="909"/>
      <c r="AD780" s="909"/>
    </row>
    <row r="781" s="141" customFormat="1" customHeight="1" spans="1:30">
      <c r="A781" s="900"/>
      <c r="B781" s="900"/>
      <c r="C781" s="900"/>
      <c r="D781" s="901"/>
      <c r="E781" s="901"/>
      <c r="F781" s="902"/>
      <c r="G781" s="902"/>
      <c r="H781" s="903"/>
      <c r="I781" s="900"/>
      <c r="J781" s="900"/>
      <c r="K781" s="902"/>
      <c r="L781" s="904"/>
      <c r="M781" s="904"/>
      <c r="N781" s="905"/>
      <c r="O781" s="905"/>
      <c r="P781" s="906"/>
      <c r="Q781" s="906"/>
      <c r="R781" s="907"/>
      <c r="S781" s="908"/>
      <c r="T781" s="901"/>
      <c r="U781" s="902"/>
      <c r="V781" s="909"/>
      <c r="W781" s="909"/>
      <c r="X781" s="909"/>
      <c r="Y781" s="909"/>
      <c r="Z781" s="909"/>
      <c r="AA781" s="909"/>
      <c r="AB781" s="909"/>
      <c r="AC781" s="909"/>
      <c r="AD781" s="909"/>
    </row>
    <row r="782" s="141" customFormat="1" customHeight="1" spans="1:30">
      <c r="A782" s="900"/>
      <c r="B782" s="900"/>
      <c r="C782" s="900"/>
      <c r="D782" s="901"/>
      <c r="E782" s="901"/>
      <c r="F782" s="902"/>
      <c r="G782" s="902"/>
      <c r="H782" s="903"/>
      <c r="I782" s="900"/>
      <c r="J782" s="900"/>
      <c r="K782" s="902"/>
      <c r="L782" s="904"/>
      <c r="M782" s="904"/>
      <c r="N782" s="905"/>
      <c r="O782" s="905"/>
      <c r="P782" s="906"/>
      <c r="Q782" s="906"/>
      <c r="R782" s="907"/>
      <c r="S782" s="908"/>
      <c r="T782" s="901"/>
      <c r="U782" s="902"/>
      <c r="V782" s="909"/>
      <c r="W782" s="909"/>
      <c r="X782" s="909"/>
      <c r="Y782" s="909"/>
      <c r="Z782" s="909"/>
      <c r="AA782" s="909"/>
      <c r="AB782" s="909"/>
      <c r="AC782" s="909"/>
      <c r="AD782" s="909"/>
    </row>
    <row r="783" s="141" customFormat="1" customHeight="1" spans="1:30">
      <c r="A783" s="900"/>
      <c r="B783" s="900"/>
      <c r="C783" s="900"/>
      <c r="D783" s="901"/>
      <c r="E783" s="901"/>
      <c r="F783" s="902"/>
      <c r="G783" s="902"/>
      <c r="H783" s="903"/>
      <c r="I783" s="900"/>
      <c r="J783" s="900"/>
      <c r="K783" s="902"/>
      <c r="L783" s="904"/>
      <c r="M783" s="904"/>
      <c r="N783" s="905"/>
      <c r="O783" s="905"/>
      <c r="P783" s="906"/>
      <c r="Q783" s="906"/>
      <c r="R783" s="907"/>
      <c r="S783" s="908"/>
      <c r="T783" s="901"/>
      <c r="U783" s="902"/>
      <c r="V783" s="909"/>
      <c r="W783" s="909"/>
      <c r="X783" s="909"/>
      <c r="Y783" s="909"/>
      <c r="Z783" s="909"/>
      <c r="AA783" s="909"/>
      <c r="AB783" s="909"/>
      <c r="AC783" s="909"/>
      <c r="AD783" s="909"/>
    </row>
    <row r="784" s="141" customFormat="1" customHeight="1" spans="1:30">
      <c r="A784" s="900"/>
      <c r="B784" s="900"/>
      <c r="C784" s="900"/>
      <c r="D784" s="901"/>
      <c r="E784" s="901"/>
      <c r="F784" s="902"/>
      <c r="G784" s="902"/>
      <c r="H784" s="903"/>
      <c r="I784" s="900"/>
      <c r="J784" s="900"/>
      <c r="K784" s="902"/>
      <c r="L784" s="904"/>
      <c r="M784" s="904"/>
      <c r="N784" s="905"/>
      <c r="O784" s="905"/>
      <c r="P784" s="906"/>
      <c r="Q784" s="906"/>
      <c r="R784" s="907"/>
      <c r="S784" s="908"/>
      <c r="T784" s="901"/>
      <c r="U784" s="902"/>
      <c r="V784" s="909"/>
      <c r="W784" s="909"/>
      <c r="X784" s="909"/>
      <c r="Y784" s="909"/>
      <c r="Z784" s="909"/>
      <c r="AA784" s="909"/>
      <c r="AB784" s="909"/>
      <c r="AC784" s="909"/>
      <c r="AD784" s="909"/>
    </row>
    <row r="785" s="141" customFormat="1" customHeight="1" spans="1:30">
      <c r="A785" s="900"/>
      <c r="B785" s="900"/>
      <c r="C785" s="900"/>
      <c r="D785" s="901"/>
      <c r="E785" s="901"/>
      <c r="F785" s="902"/>
      <c r="G785" s="902"/>
      <c r="H785" s="903"/>
      <c r="I785" s="900"/>
      <c r="J785" s="900"/>
      <c r="K785" s="902"/>
      <c r="L785" s="904"/>
      <c r="M785" s="904"/>
      <c r="N785" s="905"/>
      <c r="O785" s="905"/>
      <c r="P785" s="906"/>
      <c r="Q785" s="906"/>
      <c r="R785" s="907"/>
      <c r="S785" s="908"/>
      <c r="T785" s="901"/>
      <c r="U785" s="902"/>
      <c r="V785" s="909"/>
      <c r="W785" s="909"/>
      <c r="X785" s="909"/>
      <c r="Y785" s="909"/>
      <c r="Z785" s="909"/>
      <c r="AA785" s="909"/>
      <c r="AB785" s="909"/>
      <c r="AC785" s="909"/>
      <c r="AD785" s="909"/>
    </row>
    <row r="786" s="141" customFormat="1" customHeight="1" spans="1:30">
      <c r="A786" s="900"/>
      <c r="B786" s="900"/>
      <c r="C786" s="900"/>
      <c r="D786" s="901"/>
      <c r="E786" s="901"/>
      <c r="F786" s="902"/>
      <c r="G786" s="902"/>
      <c r="H786" s="903"/>
      <c r="I786" s="900"/>
      <c r="J786" s="900"/>
      <c r="K786" s="902"/>
      <c r="L786" s="904"/>
      <c r="M786" s="904"/>
      <c r="N786" s="905"/>
      <c r="O786" s="905"/>
      <c r="P786" s="906"/>
      <c r="Q786" s="906"/>
      <c r="R786" s="907"/>
      <c r="S786" s="908"/>
      <c r="T786" s="901"/>
      <c r="U786" s="902"/>
      <c r="V786" s="909"/>
      <c r="W786" s="909"/>
      <c r="X786" s="909"/>
      <c r="Y786" s="909"/>
      <c r="Z786" s="909"/>
      <c r="AA786" s="909"/>
      <c r="AB786" s="909"/>
      <c r="AC786" s="909"/>
      <c r="AD786" s="909"/>
    </row>
    <row r="787" s="141" customFormat="1" customHeight="1" spans="1:30">
      <c r="A787" s="900"/>
      <c r="B787" s="900"/>
      <c r="C787" s="900"/>
      <c r="D787" s="901"/>
      <c r="E787" s="901"/>
      <c r="F787" s="902"/>
      <c r="G787" s="902"/>
      <c r="H787" s="903"/>
      <c r="I787" s="900"/>
      <c r="J787" s="900"/>
      <c r="K787" s="902"/>
      <c r="L787" s="904"/>
      <c r="M787" s="904"/>
      <c r="N787" s="905"/>
      <c r="O787" s="905"/>
      <c r="P787" s="906"/>
      <c r="Q787" s="906"/>
      <c r="R787" s="907"/>
      <c r="S787" s="908"/>
      <c r="T787" s="901"/>
      <c r="U787" s="902"/>
      <c r="V787" s="909"/>
      <c r="W787" s="909"/>
      <c r="X787" s="909"/>
      <c r="Y787" s="909"/>
      <c r="Z787" s="909"/>
      <c r="AA787" s="909"/>
      <c r="AB787" s="909"/>
      <c r="AC787" s="909"/>
      <c r="AD787" s="909"/>
    </row>
    <row r="788" s="141" customFormat="1" customHeight="1" spans="1:30">
      <c r="A788" s="900"/>
      <c r="B788" s="900"/>
      <c r="C788" s="900"/>
      <c r="D788" s="901"/>
      <c r="E788" s="901"/>
      <c r="F788" s="902"/>
      <c r="G788" s="902"/>
      <c r="H788" s="903"/>
      <c r="I788" s="900"/>
      <c r="J788" s="900"/>
      <c r="K788" s="902"/>
      <c r="L788" s="904"/>
      <c r="M788" s="904"/>
      <c r="N788" s="905"/>
      <c r="O788" s="905"/>
      <c r="P788" s="906"/>
      <c r="Q788" s="906"/>
      <c r="R788" s="907"/>
      <c r="S788" s="908"/>
      <c r="T788" s="901"/>
      <c r="U788" s="902"/>
      <c r="V788" s="909"/>
      <c r="W788" s="909"/>
      <c r="X788" s="909"/>
      <c r="Y788" s="909"/>
      <c r="Z788" s="909"/>
      <c r="AA788" s="909"/>
      <c r="AB788" s="909"/>
      <c r="AC788" s="909"/>
      <c r="AD788" s="909"/>
    </row>
    <row r="789" s="141" customFormat="1" customHeight="1" spans="1:30">
      <c r="A789" s="900"/>
      <c r="B789" s="900"/>
      <c r="C789" s="900"/>
      <c r="D789" s="901"/>
      <c r="E789" s="901"/>
      <c r="F789" s="902"/>
      <c r="G789" s="902"/>
      <c r="H789" s="903"/>
      <c r="I789" s="900"/>
      <c r="J789" s="900"/>
      <c r="K789" s="902"/>
      <c r="L789" s="904"/>
      <c r="M789" s="904"/>
      <c r="N789" s="905"/>
      <c r="O789" s="905"/>
      <c r="P789" s="906"/>
      <c r="Q789" s="906"/>
      <c r="R789" s="907"/>
      <c r="S789" s="908"/>
      <c r="T789" s="901"/>
      <c r="U789" s="902"/>
      <c r="V789" s="909"/>
      <c r="W789" s="909"/>
      <c r="X789" s="909"/>
      <c r="Y789" s="909"/>
      <c r="Z789" s="909"/>
      <c r="AA789" s="909"/>
      <c r="AB789" s="909"/>
      <c r="AC789" s="909"/>
      <c r="AD789" s="909"/>
    </row>
    <row r="790" s="141" customFormat="1" customHeight="1" spans="1:30">
      <c r="A790" s="900"/>
      <c r="B790" s="900"/>
      <c r="C790" s="900"/>
      <c r="D790" s="901"/>
      <c r="E790" s="901"/>
      <c r="F790" s="902"/>
      <c r="G790" s="902"/>
      <c r="H790" s="903"/>
      <c r="I790" s="900"/>
      <c r="J790" s="900"/>
      <c r="K790" s="902"/>
      <c r="L790" s="904"/>
      <c r="M790" s="904"/>
      <c r="N790" s="905"/>
      <c r="O790" s="905"/>
      <c r="P790" s="906"/>
      <c r="Q790" s="906"/>
      <c r="R790" s="907"/>
      <c r="S790" s="908"/>
      <c r="T790" s="901"/>
      <c r="U790" s="902"/>
      <c r="V790" s="909"/>
      <c r="W790" s="909"/>
      <c r="X790" s="909"/>
      <c r="Y790" s="909"/>
      <c r="Z790" s="909"/>
      <c r="AA790" s="909"/>
      <c r="AB790" s="909"/>
      <c r="AC790" s="909"/>
      <c r="AD790" s="909"/>
    </row>
    <row r="791" s="141" customFormat="1" customHeight="1" spans="1:30">
      <c r="A791" s="900"/>
      <c r="B791" s="900"/>
      <c r="C791" s="900"/>
      <c r="D791" s="901"/>
      <c r="E791" s="901"/>
      <c r="F791" s="902"/>
      <c r="G791" s="902"/>
      <c r="H791" s="903"/>
      <c r="I791" s="900"/>
      <c r="J791" s="900"/>
      <c r="K791" s="902"/>
      <c r="L791" s="904"/>
      <c r="M791" s="904"/>
      <c r="N791" s="905"/>
      <c r="O791" s="905"/>
      <c r="P791" s="906"/>
      <c r="Q791" s="906"/>
      <c r="R791" s="907"/>
      <c r="S791" s="908"/>
      <c r="T791" s="901"/>
      <c r="U791" s="902"/>
      <c r="V791" s="909"/>
      <c r="W791" s="909"/>
      <c r="X791" s="909"/>
      <c r="Y791" s="909"/>
      <c r="Z791" s="909"/>
      <c r="AA791" s="909"/>
      <c r="AB791" s="909"/>
      <c r="AC791" s="909"/>
      <c r="AD791" s="909"/>
    </row>
    <row r="792" s="141" customFormat="1" customHeight="1" spans="1:30">
      <c r="A792" s="900"/>
      <c r="B792" s="900"/>
      <c r="C792" s="900"/>
      <c r="D792" s="901"/>
      <c r="E792" s="901"/>
      <c r="F792" s="902"/>
      <c r="G792" s="902"/>
      <c r="H792" s="903"/>
      <c r="I792" s="900"/>
      <c r="J792" s="900"/>
      <c r="K792" s="902"/>
      <c r="L792" s="904"/>
      <c r="M792" s="904"/>
      <c r="N792" s="905"/>
      <c r="O792" s="905"/>
      <c r="P792" s="906"/>
      <c r="Q792" s="906"/>
      <c r="R792" s="907"/>
      <c r="S792" s="908"/>
      <c r="T792" s="901"/>
      <c r="U792" s="902"/>
      <c r="V792" s="909"/>
      <c r="W792" s="909"/>
      <c r="X792" s="909"/>
      <c r="Y792" s="909"/>
      <c r="Z792" s="909"/>
      <c r="AA792" s="909"/>
      <c r="AB792" s="909"/>
      <c r="AC792" s="909"/>
      <c r="AD792" s="909"/>
    </row>
    <row r="793" s="141" customFormat="1" customHeight="1" spans="1:30">
      <c r="A793" s="900"/>
      <c r="B793" s="900"/>
      <c r="C793" s="900"/>
      <c r="D793" s="901"/>
      <c r="E793" s="901"/>
      <c r="F793" s="902"/>
      <c r="G793" s="902"/>
      <c r="H793" s="903"/>
      <c r="I793" s="900"/>
      <c r="J793" s="900"/>
      <c r="K793" s="902"/>
      <c r="L793" s="904"/>
      <c r="M793" s="904"/>
      <c r="N793" s="905"/>
      <c r="O793" s="905"/>
      <c r="P793" s="906"/>
      <c r="Q793" s="906"/>
      <c r="R793" s="907"/>
      <c r="S793" s="908"/>
      <c r="T793" s="901"/>
      <c r="U793" s="902"/>
      <c r="V793" s="909"/>
      <c r="W793" s="909"/>
      <c r="X793" s="909"/>
      <c r="Y793" s="909"/>
      <c r="Z793" s="909"/>
      <c r="AA793" s="909"/>
      <c r="AB793" s="909"/>
      <c r="AC793" s="909"/>
      <c r="AD793" s="909"/>
    </row>
    <row r="794" s="141" customFormat="1" customHeight="1" spans="1:30">
      <c r="A794" s="900"/>
      <c r="B794" s="900"/>
      <c r="C794" s="900"/>
      <c r="D794" s="901"/>
      <c r="E794" s="901"/>
      <c r="F794" s="902"/>
      <c r="G794" s="902"/>
      <c r="H794" s="903"/>
      <c r="I794" s="900"/>
      <c r="J794" s="900"/>
      <c r="K794" s="902"/>
      <c r="L794" s="904"/>
      <c r="M794" s="904"/>
      <c r="N794" s="905"/>
      <c r="O794" s="905"/>
      <c r="P794" s="906"/>
      <c r="Q794" s="906"/>
      <c r="R794" s="907"/>
      <c r="S794" s="908"/>
      <c r="T794" s="901"/>
      <c r="U794" s="902"/>
      <c r="V794" s="909"/>
      <c r="W794" s="909"/>
      <c r="X794" s="909"/>
      <c r="Y794" s="909"/>
      <c r="Z794" s="909"/>
      <c r="AA794" s="909"/>
      <c r="AB794" s="909"/>
      <c r="AC794" s="909"/>
      <c r="AD794" s="909"/>
    </row>
    <row r="795" s="141" customFormat="1" customHeight="1" spans="1:30">
      <c r="A795" s="900"/>
      <c r="B795" s="900"/>
      <c r="C795" s="900"/>
      <c r="D795" s="901"/>
      <c r="E795" s="901"/>
      <c r="F795" s="902"/>
      <c r="G795" s="902"/>
      <c r="H795" s="903"/>
      <c r="I795" s="900"/>
      <c r="J795" s="900"/>
      <c r="K795" s="902"/>
      <c r="L795" s="904"/>
      <c r="M795" s="904"/>
      <c r="N795" s="905"/>
      <c r="O795" s="905"/>
      <c r="P795" s="906"/>
      <c r="Q795" s="906"/>
      <c r="R795" s="907"/>
      <c r="S795" s="908"/>
      <c r="T795" s="901"/>
      <c r="U795" s="902"/>
      <c r="V795" s="909"/>
      <c r="W795" s="909"/>
      <c r="X795" s="909"/>
      <c r="Y795" s="909"/>
      <c r="Z795" s="909"/>
      <c r="AA795" s="909"/>
      <c r="AB795" s="909"/>
      <c r="AC795" s="909"/>
      <c r="AD795" s="909"/>
    </row>
    <row r="796" s="141" customFormat="1" customHeight="1" spans="1:30">
      <c r="A796" s="900"/>
      <c r="B796" s="900"/>
      <c r="C796" s="900"/>
      <c r="D796" s="901"/>
      <c r="E796" s="901"/>
      <c r="F796" s="902"/>
      <c r="G796" s="902"/>
      <c r="H796" s="903"/>
      <c r="I796" s="900"/>
      <c r="J796" s="900"/>
      <c r="K796" s="902"/>
      <c r="L796" s="904"/>
      <c r="M796" s="904"/>
      <c r="N796" s="905"/>
      <c r="O796" s="905"/>
      <c r="P796" s="906"/>
      <c r="Q796" s="906"/>
      <c r="R796" s="907"/>
      <c r="S796" s="908"/>
      <c r="T796" s="901"/>
      <c r="U796" s="902"/>
      <c r="V796" s="909"/>
      <c r="W796" s="909"/>
      <c r="X796" s="909"/>
      <c r="Y796" s="909"/>
      <c r="Z796" s="909"/>
      <c r="AA796" s="909"/>
      <c r="AB796" s="909"/>
      <c r="AC796" s="909"/>
      <c r="AD796" s="909"/>
    </row>
    <row r="797" s="141" customFormat="1" customHeight="1" spans="1:30">
      <c r="A797" s="900"/>
      <c r="B797" s="900"/>
      <c r="C797" s="900"/>
      <c r="D797" s="901"/>
      <c r="E797" s="901"/>
      <c r="F797" s="902"/>
      <c r="G797" s="902"/>
      <c r="H797" s="903"/>
      <c r="I797" s="900"/>
      <c r="J797" s="900"/>
      <c r="K797" s="902"/>
      <c r="L797" s="904"/>
      <c r="M797" s="904"/>
      <c r="N797" s="905"/>
      <c r="O797" s="905"/>
      <c r="P797" s="906"/>
      <c r="Q797" s="906"/>
      <c r="R797" s="907"/>
      <c r="S797" s="908"/>
      <c r="T797" s="901"/>
      <c r="U797" s="902"/>
      <c r="V797" s="909"/>
      <c r="W797" s="909"/>
      <c r="X797" s="909"/>
      <c r="Y797" s="909"/>
      <c r="Z797" s="909"/>
      <c r="AA797" s="909"/>
      <c r="AB797" s="909"/>
      <c r="AC797" s="909"/>
      <c r="AD797" s="909"/>
    </row>
    <row r="798" s="141" customFormat="1" customHeight="1" spans="1:30">
      <c r="A798" s="900"/>
      <c r="B798" s="900"/>
      <c r="C798" s="900"/>
      <c r="D798" s="901"/>
      <c r="E798" s="901"/>
      <c r="F798" s="902"/>
      <c r="G798" s="902"/>
      <c r="H798" s="903"/>
      <c r="I798" s="900"/>
      <c r="J798" s="900"/>
      <c r="K798" s="902"/>
      <c r="L798" s="904"/>
      <c r="M798" s="904"/>
      <c r="N798" s="905"/>
      <c r="O798" s="905"/>
      <c r="P798" s="906"/>
      <c r="Q798" s="906"/>
      <c r="R798" s="907"/>
      <c r="S798" s="908"/>
      <c r="T798" s="901"/>
      <c r="U798" s="902"/>
      <c r="V798" s="909"/>
      <c r="W798" s="909"/>
      <c r="X798" s="909"/>
      <c r="Y798" s="909"/>
      <c r="Z798" s="909"/>
      <c r="AA798" s="909"/>
      <c r="AB798" s="909"/>
      <c r="AC798" s="909"/>
      <c r="AD798" s="909"/>
    </row>
    <row r="799" s="141" customFormat="1" customHeight="1" spans="1:30">
      <c r="A799" s="900"/>
      <c r="B799" s="900"/>
      <c r="C799" s="900"/>
      <c r="D799" s="901"/>
      <c r="E799" s="901"/>
      <c r="F799" s="902"/>
      <c r="G799" s="902"/>
      <c r="H799" s="903"/>
      <c r="I799" s="900"/>
      <c r="J799" s="900"/>
      <c r="K799" s="902"/>
      <c r="L799" s="904"/>
      <c r="M799" s="904"/>
      <c r="N799" s="905"/>
      <c r="O799" s="905"/>
      <c r="P799" s="906"/>
      <c r="Q799" s="906"/>
      <c r="R799" s="907"/>
      <c r="S799" s="908"/>
      <c r="T799" s="901"/>
      <c r="U799" s="902"/>
      <c r="V799" s="909"/>
      <c r="W799" s="909"/>
      <c r="X799" s="909"/>
      <c r="Y799" s="909"/>
      <c r="Z799" s="909"/>
      <c r="AA799" s="909"/>
      <c r="AB799" s="909"/>
      <c r="AC799" s="909"/>
      <c r="AD799" s="909"/>
    </row>
    <row r="800" s="141" customFormat="1" customHeight="1" spans="1:30">
      <c r="A800" s="900"/>
      <c r="B800" s="900"/>
      <c r="C800" s="900"/>
      <c r="D800" s="901"/>
      <c r="E800" s="901"/>
      <c r="F800" s="902"/>
      <c r="G800" s="902"/>
      <c r="H800" s="903"/>
      <c r="I800" s="900"/>
      <c r="J800" s="900"/>
      <c r="K800" s="902"/>
      <c r="L800" s="904"/>
      <c r="M800" s="904"/>
      <c r="N800" s="905"/>
      <c r="O800" s="905"/>
      <c r="P800" s="906"/>
      <c r="Q800" s="906"/>
      <c r="R800" s="907"/>
      <c r="S800" s="908"/>
      <c r="T800" s="901"/>
      <c r="U800" s="902"/>
      <c r="V800" s="909"/>
      <c r="W800" s="909"/>
      <c r="X800" s="909"/>
      <c r="Y800" s="909"/>
      <c r="Z800" s="909"/>
      <c r="AA800" s="909"/>
      <c r="AB800" s="909"/>
      <c r="AC800" s="909"/>
      <c r="AD800" s="909"/>
    </row>
    <row r="801" s="141" customFormat="1" customHeight="1" spans="1:30">
      <c r="A801" s="900"/>
      <c r="B801" s="900"/>
      <c r="C801" s="900"/>
      <c r="D801" s="901"/>
      <c r="E801" s="901"/>
      <c r="F801" s="902"/>
      <c r="G801" s="902"/>
      <c r="H801" s="903"/>
      <c r="I801" s="900"/>
      <c r="J801" s="900"/>
      <c r="K801" s="902"/>
      <c r="L801" s="904"/>
      <c r="M801" s="904"/>
      <c r="N801" s="905"/>
      <c r="O801" s="905"/>
      <c r="P801" s="906"/>
      <c r="Q801" s="906"/>
      <c r="R801" s="907"/>
      <c r="S801" s="908"/>
      <c r="T801" s="901"/>
      <c r="U801" s="902"/>
      <c r="V801" s="909"/>
      <c r="W801" s="909"/>
      <c r="X801" s="909"/>
      <c r="Y801" s="909"/>
      <c r="Z801" s="909"/>
      <c r="AA801" s="909"/>
      <c r="AB801" s="909"/>
      <c r="AC801" s="909"/>
      <c r="AD801" s="909"/>
    </row>
    <row r="802" s="141" customFormat="1" customHeight="1" spans="1:30">
      <c r="A802" s="900"/>
      <c r="B802" s="900"/>
      <c r="C802" s="900"/>
      <c r="D802" s="901"/>
      <c r="E802" s="901"/>
      <c r="F802" s="902"/>
      <c r="G802" s="902"/>
      <c r="H802" s="903"/>
      <c r="I802" s="900"/>
      <c r="J802" s="900"/>
      <c r="K802" s="902"/>
      <c r="L802" s="904"/>
      <c r="M802" s="904"/>
      <c r="N802" s="905"/>
      <c r="O802" s="905"/>
      <c r="P802" s="906"/>
      <c r="Q802" s="906"/>
      <c r="R802" s="907"/>
      <c r="S802" s="908"/>
      <c r="T802" s="901"/>
      <c r="U802" s="902"/>
      <c r="V802" s="909"/>
      <c r="W802" s="909"/>
      <c r="X802" s="909"/>
      <c r="Y802" s="909"/>
      <c r="Z802" s="909"/>
      <c r="AA802" s="909"/>
      <c r="AB802" s="909"/>
      <c r="AC802" s="909"/>
      <c r="AD802" s="909"/>
    </row>
    <row r="803" s="141" customFormat="1" customHeight="1" spans="1:30">
      <c r="A803" s="900"/>
      <c r="B803" s="900"/>
      <c r="C803" s="900"/>
      <c r="D803" s="901"/>
      <c r="E803" s="901"/>
      <c r="F803" s="902"/>
      <c r="G803" s="902"/>
      <c r="H803" s="903"/>
      <c r="I803" s="900"/>
      <c r="J803" s="900"/>
      <c r="K803" s="902"/>
      <c r="L803" s="904"/>
      <c r="M803" s="904"/>
      <c r="N803" s="905"/>
      <c r="O803" s="905"/>
      <c r="P803" s="906"/>
      <c r="Q803" s="906"/>
      <c r="R803" s="907"/>
      <c r="S803" s="908"/>
      <c r="T803" s="901"/>
      <c r="U803" s="902"/>
      <c r="V803" s="909"/>
      <c r="W803" s="909"/>
      <c r="X803" s="909"/>
      <c r="Y803" s="909"/>
      <c r="Z803" s="909"/>
      <c r="AA803" s="909"/>
      <c r="AB803" s="909"/>
      <c r="AC803" s="909"/>
      <c r="AD803" s="909"/>
    </row>
    <row r="804" s="141" customFormat="1" customHeight="1" spans="1:30">
      <c r="A804" s="900"/>
      <c r="B804" s="900"/>
      <c r="C804" s="900"/>
      <c r="D804" s="901"/>
      <c r="E804" s="901"/>
      <c r="F804" s="902"/>
      <c r="G804" s="902"/>
      <c r="H804" s="903"/>
      <c r="I804" s="900"/>
      <c r="J804" s="900"/>
      <c r="K804" s="902"/>
      <c r="L804" s="904"/>
      <c r="M804" s="904"/>
      <c r="N804" s="905"/>
      <c r="O804" s="905"/>
      <c r="P804" s="906"/>
      <c r="Q804" s="906"/>
      <c r="R804" s="907"/>
      <c r="S804" s="908"/>
      <c r="T804" s="901"/>
      <c r="U804" s="902"/>
      <c r="V804" s="909"/>
      <c r="W804" s="909"/>
      <c r="X804" s="909"/>
      <c r="Y804" s="909"/>
      <c r="Z804" s="909"/>
      <c r="AA804" s="909"/>
      <c r="AB804" s="909"/>
      <c r="AC804" s="909"/>
      <c r="AD804" s="909"/>
    </row>
    <row r="805" s="141" customFormat="1" customHeight="1" spans="1:30">
      <c r="A805" s="900"/>
      <c r="B805" s="900"/>
      <c r="C805" s="900"/>
      <c r="D805" s="901"/>
      <c r="E805" s="901"/>
      <c r="F805" s="902"/>
      <c r="G805" s="902"/>
      <c r="H805" s="903"/>
      <c r="I805" s="900"/>
      <c r="J805" s="900"/>
      <c r="K805" s="902"/>
      <c r="L805" s="904"/>
      <c r="M805" s="904"/>
      <c r="N805" s="905"/>
      <c r="O805" s="905"/>
      <c r="P805" s="906"/>
      <c r="Q805" s="906"/>
      <c r="R805" s="907"/>
      <c r="S805" s="908"/>
      <c r="T805" s="901"/>
      <c r="U805" s="902"/>
      <c r="V805" s="909"/>
      <c r="W805" s="909"/>
      <c r="X805" s="909"/>
      <c r="Y805" s="909"/>
      <c r="Z805" s="909"/>
      <c r="AA805" s="909"/>
      <c r="AB805" s="909"/>
      <c r="AC805" s="909"/>
      <c r="AD805" s="909"/>
    </row>
    <row r="806" s="141" customFormat="1" customHeight="1" spans="1:30">
      <c r="A806" s="900"/>
      <c r="B806" s="900"/>
      <c r="C806" s="900"/>
      <c r="D806" s="901"/>
      <c r="E806" s="901"/>
      <c r="F806" s="902"/>
      <c r="G806" s="902"/>
      <c r="H806" s="903"/>
      <c r="I806" s="900"/>
      <c r="J806" s="900"/>
      <c r="K806" s="902"/>
      <c r="L806" s="904"/>
      <c r="M806" s="904"/>
      <c r="N806" s="905"/>
      <c r="O806" s="905"/>
      <c r="P806" s="906"/>
      <c r="Q806" s="906"/>
      <c r="R806" s="907"/>
      <c r="S806" s="908"/>
      <c r="T806" s="901"/>
      <c r="U806" s="902"/>
      <c r="V806" s="909"/>
      <c r="W806" s="909"/>
      <c r="X806" s="909"/>
      <c r="Y806" s="909"/>
      <c r="Z806" s="909"/>
      <c r="AA806" s="909"/>
      <c r="AB806" s="909"/>
      <c r="AC806" s="909"/>
      <c r="AD806" s="909"/>
    </row>
    <row r="807" s="141" customFormat="1" customHeight="1" spans="1:30">
      <c r="A807" s="900"/>
      <c r="B807" s="900"/>
      <c r="C807" s="900"/>
      <c r="D807" s="901"/>
      <c r="E807" s="901"/>
      <c r="F807" s="902"/>
      <c r="G807" s="902"/>
      <c r="H807" s="903"/>
      <c r="I807" s="900"/>
      <c r="J807" s="900"/>
      <c r="K807" s="902"/>
      <c r="L807" s="904"/>
      <c r="M807" s="904"/>
      <c r="N807" s="905"/>
      <c r="O807" s="905"/>
      <c r="P807" s="906"/>
      <c r="Q807" s="906"/>
      <c r="R807" s="907"/>
      <c r="S807" s="908"/>
      <c r="T807" s="901"/>
      <c r="U807" s="902"/>
      <c r="V807" s="909"/>
      <c r="W807" s="909"/>
      <c r="X807" s="909"/>
      <c r="Y807" s="909"/>
      <c r="Z807" s="909"/>
      <c r="AA807" s="909"/>
      <c r="AB807" s="909"/>
      <c r="AC807" s="909"/>
      <c r="AD807" s="909"/>
    </row>
    <row r="808" s="141" customFormat="1" customHeight="1" spans="1:30">
      <c r="A808" s="900"/>
      <c r="B808" s="900"/>
      <c r="C808" s="900"/>
      <c r="D808" s="901"/>
      <c r="E808" s="901"/>
      <c r="F808" s="902"/>
      <c r="G808" s="902"/>
      <c r="H808" s="903"/>
      <c r="I808" s="900"/>
      <c r="J808" s="900"/>
      <c r="K808" s="902"/>
      <c r="L808" s="904"/>
      <c r="M808" s="904"/>
      <c r="N808" s="905"/>
      <c r="O808" s="905"/>
      <c r="P808" s="906"/>
      <c r="Q808" s="906"/>
      <c r="R808" s="907"/>
      <c r="S808" s="908"/>
      <c r="T808" s="901"/>
      <c r="U808" s="902"/>
      <c r="V808" s="909"/>
      <c r="W808" s="909"/>
      <c r="X808" s="909"/>
      <c r="Y808" s="909"/>
      <c r="Z808" s="909"/>
      <c r="AA808" s="909"/>
      <c r="AB808" s="909"/>
      <c r="AC808" s="909"/>
      <c r="AD808" s="909"/>
    </row>
    <row r="809" s="141" customFormat="1" customHeight="1" spans="1:30">
      <c r="A809" s="900"/>
      <c r="B809" s="900"/>
      <c r="C809" s="900"/>
      <c r="D809" s="901"/>
      <c r="E809" s="901"/>
      <c r="F809" s="902"/>
      <c r="G809" s="902"/>
      <c r="H809" s="903"/>
      <c r="I809" s="900"/>
      <c r="J809" s="900"/>
      <c r="K809" s="902"/>
      <c r="L809" s="904"/>
      <c r="M809" s="904"/>
      <c r="N809" s="905"/>
      <c r="O809" s="905"/>
      <c r="P809" s="906"/>
      <c r="Q809" s="906"/>
      <c r="R809" s="907"/>
      <c r="S809" s="908"/>
      <c r="T809" s="901"/>
      <c r="U809" s="902"/>
      <c r="V809" s="909"/>
      <c r="W809" s="909"/>
      <c r="X809" s="909"/>
      <c r="Y809" s="909"/>
      <c r="Z809" s="909"/>
      <c r="AA809" s="909"/>
      <c r="AB809" s="909"/>
      <c r="AC809" s="909"/>
      <c r="AD809" s="909"/>
    </row>
    <row r="810" s="141" customFormat="1" customHeight="1" spans="1:30">
      <c r="A810" s="900"/>
      <c r="B810" s="900"/>
      <c r="C810" s="900"/>
      <c r="D810" s="901"/>
      <c r="E810" s="901"/>
      <c r="F810" s="902"/>
      <c r="G810" s="902"/>
      <c r="H810" s="903"/>
      <c r="I810" s="900"/>
      <c r="J810" s="900"/>
      <c r="K810" s="902"/>
      <c r="L810" s="904"/>
      <c r="M810" s="904"/>
      <c r="N810" s="905"/>
      <c r="O810" s="905"/>
      <c r="P810" s="906"/>
      <c r="Q810" s="906"/>
      <c r="R810" s="907"/>
      <c r="S810" s="908"/>
      <c r="T810" s="901"/>
      <c r="U810" s="902"/>
      <c r="V810" s="909"/>
      <c r="W810" s="909"/>
      <c r="X810" s="909"/>
      <c r="Y810" s="909"/>
      <c r="Z810" s="909"/>
      <c r="AA810" s="909"/>
      <c r="AB810" s="909"/>
      <c r="AC810" s="909"/>
      <c r="AD810" s="909"/>
    </row>
    <row r="811" s="141" customFormat="1" customHeight="1" spans="1:30">
      <c r="A811" s="900"/>
      <c r="B811" s="900"/>
      <c r="C811" s="900"/>
      <c r="D811" s="901"/>
      <c r="E811" s="901"/>
      <c r="F811" s="902"/>
      <c r="G811" s="902"/>
      <c r="H811" s="903"/>
      <c r="I811" s="900"/>
      <c r="J811" s="900"/>
      <c r="K811" s="902"/>
      <c r="L811" s="904"/>
      <c r="M811" s="904"/>
      <c r="N811" s="905"/>
      <c r="O811" s="905"/>
      <c r="P811" s="906"/>
      <c r="Q811" s="906"/>
      <c r="R811" s="907"/>
      <c r="S811" s="908"/>
      <c r="T811" s="901"/>
      <c r="U811" s="902"/>
      <c r="V811" s="909"/>
      <c r="W811" s="909"/>
      <c r="X811" s="909"/>
      <c r="Y811" s="909"/>
      <c r="Z811" s="909"/>
      <c r="AA811" s="909"/>
      <c r="AB811" s="909"/>
      <c r="AC811" s="909"/>
      <c r="AD811" s="909"/>
    </row>
    <row r="812" s="141" customFormat="1" customHeight="1" spans="1:30">
      <c r="A812" s="900"/>
      <c r="B812" s="900"/>
      <c r="C812" s="900"/>
      <c r="D812" s="901"/>
      <c r="E812" s="901"/>
      <c r="F812" s="902"/>
      <c r="G812" s="902"/>
      <c r="H812" s="903"/>
      <c r="I812" s="900"/>
      <c r="J812" s="900"/>
      <c r="K812" s="902"/>
      <c r="L812" s="904"/>
      <c r="M812" s="904"/>
      <c r="N812" s="905"/>
      <c r="O812" s="905"/>
      <c r="P812" s="906"/>
      <c r="Q812" s="906"/>
      <c r="R812" s="907"/>
      <c r="S812" s="908"/>
      <c r="T812" s="901"/>
      <c r="U812" s="902"/>
      <c r="V812" s="909"/>
      <c r="W812" s="909"/>
      <c r="X812" s="909"/>
      <c r="Y812" s="909"/>
      <c r="Z812" s="909"/>
      <c r="AA812" s="909"/>
      <c r="AB812" s="909"/>
      <c r="AC812" s="909"/>
      <c r="AD812" s="909"/>
    </row>
    <row r="813" s="141" customFormat="1" customHeight="1" spans="1:30">
      <c r="A813" s="900"/>
      <c r="B813" s="900"/>
      <c r="C813" s="900"/>
      <c r="D813" s="901"/>
      <c r="E813" s="901"/>
      <c r="F813" s="902"/>
      <c r="G813" s="902"/>
      <c r="H813" s="903"/>
      <c r="I813" s="900"/>
      <c r="J813" s="900"/>
      <c r="K813" s="902"/>
      <c r="L813" s="904"/>
      <c r="M813" s="904"/>
      <c r="N813" s="905"/>
      <c r="O813" s="905"/>
      <c r="P813" s="906"/>
      <c r="Q813" s="906"/>
      <c r="R813" s="907"/>
      <c r="S813" s="908"/>
      <c r="T813" s="901"/>
      <c r="U813" s="902"/>
      <c r="V813" s="909"/>
      <c r="W813" s="909"/>
      <c r="X813" s="909"/>
      <c r="Y813" s="909"/>
      <c r="Z813" s="909"/>
      <c r="AA813" s="909"/>
      <c r="AB813" s="909"/>
      <c r="AC813" s="909"/>
      <c r="AD813" s="909"/>
    </row>
    <row r="814" s="141" customFormat="1" customHeight="1" spans="1:30">
      <c r="A814" s="900"/>
      <c r="B814" s="900"/>
      <c r="C814" s="900"/>
      <c r="D814" s="901"/>
      <c r="E814" s="901"/>
      <c r="F814" s="902"/>
      <c r="G814" s="902"/>
      <c r="H814" s="903"/>
      <c r="I814" s="900"/>
      <c r="J814" s="900"/>
      <c r="K814" s="902"/>
      <c r="L814" s="904"/>
      <c r="M814" s="904"/>
      <c r="N814" s="905"/>
      <c r="O814" s="905"/>
      <c r="P814" s="906"/>
      <c r="Q814" s="906"/>
      <c r="R814" s="907"/>
      <c r="S814" s="908"/>
      <c r="T814" s="901"/>
      <c r="U814" s="902"/>
      <c r="V814" s="909"/>
      <c r="W814" s="909"/>
      <c r="X814" s="909"/>
      <c r="Y814" s="909"/>
      <c r="Z814" s="909"/>
      <c r="AA814" s="909"/>
      <c r="AB814" s="909"/>
      <c r="AC814" s="909"/>
      <c r="AD814" s="909"/>
    </row>
    <row r="815" s="141" customFormat="1" customHeight="1" spans="1:30">
      <c r="A815" s="900"/>
      <c r="B815" s="900"/>
      <c r="C815" s="900"/>
      <c r="D815" s="901"/>
      <c r="E815" s="901"/>
      <c r="F815" s="902"/>
      <c r="G815" s="902"/>
      <c r="H815" s="903"/>
      <c r="I815" s="900"/>
      <c r="J815" s="900"/>
      <c r="K815" s="902"/>
      <c r="L815" s="904"/>
      <c r="M815" s="904"/>
      <c r="N815" s="905"/>
      <c r="O815" s="905"/>
      <c r="P815" s="906"/>
      <c r="Q815" s="906"/>
      <c r="R815" s="907"/>
      <c r="S815" s="908"/>
      <c r="T815" s="901"/>
      <c r="U815" s="902"/>
      <c r="V815" s="909"/>
      <c r="W815" s="909"/>
      <c r="X815" s="909"/>
      <c r="Y815" s="909"/>
      <c r="Z815" s="909"/>
      <c r="AA815" s="909"/>
      <c r="AB815" s="909"/>
      <c r="AC815" s="909"/>
      <c r="AD815" s="909"/>
    </row>
    <row r="816" s="141" customFormat="1" customHeight="1" spans="1:30">
      <c r="A816" s="900"/>
      <c r="B816" s="900"/>
      <c r="C816" s="900"/>
      <c r="D816" s="901"/>
      <c r="E816" s="901"/>
      <c r="F816" s="902"/>
      <c r="G816" s="902"/>
      <c r="H816" s="903"/>
      <c r="I816" s="900"/>
      <c r="J816" s="900"/>
      <c r="K816" s="902"/>
      <c r="L816" s="904"/>
      <c r="M816" s="904"/>
      <c r="N816" s="905"/>
      <c r="O816" s="905"/>
      <c r="P816" s="906"/>
      <c r="Q816" s="906"/>
      <c r="R816" s="907"/>
      <c r="S816" s="908"/>
      <c r="T816" s="901"/>
      <c r="U816" s="902"/>
      <c r="V816" s="909"/>
      <c r="W816" s="909"/>
      <c r="X816" s="909"/>
      <c r="Y816" s="909"/>
      <c r="Z816" s="909"/>
      <c r="AA816" s="909"/>
      <c r="AB816" s="909"/>
      <c r="AC816" s="909"/>
      <c r="AD816" s="909"/>
    </row>
    <row r="817" s="141" customFormat="1" customHeight="1" spans="1:30">
      <c r="A817" s="900"/>
      <c r="B817" s="900"/>
      <c r="C817" s="900"/>
      <c r="D817" s="901"/>
      <c r="E817" s="901"/>
      <c r="F817" s="902"/>
      <c r="G817" s="902"/>
      <c r="H817" s="903"/>
      <c r="I817" s="900"/>
      <c r="J817" s="900"/>
      <c r="K817" s="902"/>
      <c r="L817" s="904"/>
      <c r="M817" s="904"/>
      <c r="N817" s="905"/>
      <c r="O817" s="905"/>
      <c r="P817" s="906"/>
      <c r="Q817" s="906"/>
      <c r="R817" s="907"/>
      <c r="S817" s="908"/>
      <c r="T817" s="901"/>
      <c r="U817" s="902"/>
      <c r="V817" s="909"/>
      <c r="W817" s="909"/>
      <c r="X817" s="909"/>
      <c r="Y817" s="909"/>
      <c r="Z817" s="909"/>
      <c r="AA817" s="909"/>
      <c r="AB817" s="909"/>
      <c r="AC817" s="909"/>
      <c r="AD817" s="909"/>
    </row>
    <row r="818" s="141" customFormat="1" customHeight="1" spans="1:30">
      <c r="A818" s="900"/>
      <c r="B818" s="900"/>
      <c r="C818" s="900"/>
      <c r="D818" s="901"/>
      <c r="E818" s="901"/>
      <c r="F818" s="902"/>
      <c r="G818" s="902"/>
      <c r="H818" s="903"/>
      <c r="I818" s="900"/>
      <c r="J818" s="900"/>
      <c r="K818" s="902"/>
      <c r="L818" s="904"/>
      <c r="M818" s="904"/>
      <c r="N818" s="905"/>
      <c r="O818" s="905"/>
      <c r="P818" s="906"/>
      <c r="Q818" s="906"/>
      <c r="R818" s="907"/>
      <c r="S818" s="908"/>
      <c r="T818" s="901"/>
      <c r="U818" s="902"/>
      <c r="V818" s="909"/>
      <c r="W818" s="909"/>
      <c r="X818" s="909"/>
      <c r="Y818" s="909"/>
      <c r="Z818" s="909"/>
      <c r="AA818" s="909"/>
      <c r="AB818" s="909"/>
      <c r="AC818" s="909"/>
      <c r="AD818" s="909"/>
    </row>
    <row r="819" s="141" customFormat="1" customHeight="1" spans="1:30">
      <c r="A819" s="900"/>
      <c r="B819" s="900"/>
      <c r="C819" s="900"/>
      <c r="D819" s="901"/>
      <c r="E819" s="901"/>
      <c r="F819" s="902"/>
      <c r="G819" s="902"/>
      <c r="H819" s="903"/>
      <c r="I819" s="900"/>
      <c r="J819" s="900"/>
      <c r="K819" s="902"/>
      <c r="L819" s="904"/>
      <c r="M819" s="904"/>
      <c r="N819" s="905"/>
      <c r="O819" s="905"/>
      <c r="P819" s="906"/>
      <c r="Q819" s="906"/>
      <c r="R819" s="907"/>
      <c r="S819" s="908"/>
      <c r="T819" s="901"/>
      <c r="U819" s="902"/>
      <c r="V819" s="909"/>
      <c r="W819" s="909"/>
      <c r="X819" s="909"/>
      <c r="Y819" s="909"/>
      <c r="Z819" s="909"/>
      <c r="AA819" s="909"/>
      <c r="AB819" s="909"/>
      <c r="AC819" s="909"/>
      <c r="AD819" s="909"/>
    </row>
    <row r="820" s="141" customFormat="1" customHeight="1" spans="1:30">
      <c r="A820" s="900"/>
      <c r="B820" s="900"/>
      <c r="C820" s="900"/>
      <c r="D820" s="901"/>
      <c r="E820" s="901"/>
      <c r="F820" s="902"/>
      <c r="G820" s="902"/>
      <c r="H820" s="903"/>
      <c r="I820" s="900"/>
      <c r="J820" s="900"/>
      <c r="K820" s="902"/>
      <c r="L820" s="904"/>
      <c r="M820" s="904"/>
      <c r="N820" s="905"/>
      <c r="O820" s="905"/>
      <c r="P820" s="906"/>
      <c r="Q820" s="906"/>
      <c r="R820" s="907"/>
      <c r="S820" s="908"/>
      <c r="T820" s="901"/>
      <c r="U820" s="902"/>
      <c r="V820" s="909"/>
      <c r="W820" s="909"/>
      <c r="X820" s="909"/>
      <c r="Y820" s="909"/>
      <c r="Z820" s="909"/>
      <c r="AA820" s="909"/>
      <c r="AB820" s="909"/>
      <c r="AC820" s="909"/>
      <c r="AD820" s="909"/>
    </row>
    <row r="821" s="141" customFormat="1" customHeight="1" spans="1:30">
      <c r="A821" s="900"/>
      <c r="B821" s="900"/>
      <c r="C821" s="900"/>
      <c r="D821" s="901"/>
      <c r="E821" s="901"/>
      <c r="F821" s="902"/>
      <c r="G821" s="902"/>
      <c r="H821" s="903"/>
      <c r="I821" s="900"/>
      <c r="J821" s="900"/>
      <c r="K821" s="902"/>
      <c r="L821" s="904"/>
      <c r="M821" s="904"/>
      <c r="N821" s="905"/>
      <c r="O821" s="905"/>
      <c r="P821" s="906"/>
      <c r="Q821" s="906"/>
      <c r="R821" s="907"/>
      <c r="S821" s="908"/>
      <c r="T821" s="901"/>
      <c r="U821" s="902"/>
      <c r="V821" s="909"/>
      <c r="W821" s="909"/>
      <c r="X821" s="909"/>
      <c r="Y821" s="909"/>
      <c r="Z821" s="909"/>
      <c r="AA821" s="909"/>
      <c r="AB821" s="909"/>
      <c r="AC821" s="909"/>
      <c r="AD821" s="909"/>
    </row>
    <row r="822" s="141" customFormat="1" customHeight="1" spans="1:30">
      <c r="A822" s="900"/>
      <c r="B822" s="900"/>
      <c r="C822" s="900"/>
      <c r="D822" s="901"/>
      <c r="E822" s="901"/>
      <c r="F822" s="902"/>
      <c r="G822" s="902"/>
      <c r="H822" s="903"/>
      <c r="I822" s="900"/>
      <c r="J822" s="900"/>
      <c r="K822" s="902"/>
      <c r="L822" s="904"/>
      <c r="M822" s="904"/>
      <c r="N822" s="905"/>
      <c r="O822" s="905"/>
      <c r="P822" s="906"/>
      <c r="Q822" s="906"/>
      <c r="R822" s="907"/>
      <c r="S822" s="908"/>
      <c r="T822" s="901"/>
      <c r="U822" s="902"/>
      <c r="V822" s="909"/>
      <c r="W822" s="909"/>
      <c r="X822" s="909"/>
      <c r="Y822" s="909"/>
      <c r="Z822" s="909"/>
      <c r="AA822" s="909"/>
      <c r="AB822" s="909"/>
      <c r="AC822" s="909"/>
      <c r="AD822" s="909"/>
    </row>
    <row r="823" s="141" customFormat="1" customHeight="1" spans="1:30">
      <c r="A823" s="900"/>
      <c r="B823" s="900"/>
      <c r="C823" s="900"/>
      <c r="D823" s="901"/>
      <c r="E823" s="901"/>
      <c r="F823" s="902"/>
      <c r="G823" s="902"/>
      <c r="H823" s="903"/>
      <c r="I823" s="900"/>
      <c r="J823" s="900"/>
      <c r="K823" s="902"/>
      <c r="L823" s="904"/>
      <c r="M823" s="904"/>
      <c r="N823" s="905"/>
      <c r="O823" s="905"/>
      <c r="P823" s="906"/>
      <c r="Q823" s="906"/>
      <c r="R823" s="907"/>
      <c r="S823" s="908"/>
      <c r="T823" s="901"/>
      <c r="U823" s="902"/>
      <c r="V823" s="909"/>
      <c r="W823" s="909"/>
      <c r="X823" s="909"/>
      <c r="Y823" s="909"/>
      <c r="Z823" s="909"/>
      <c r="AA823" s="909"/>
      <c r="AB823" s="909"/>
      <c r="AC823" s="909"/>
      <c r="AD823" s="909"/>
    </row>
    <row r="824" s="141" customFormat="1" customHeight="1" spans="1:30">
      <c r="A824" s="900"/>
      <c r="B824" s="900"/>
      <c r="C824" s="900"/>
      <c r="D824" s="901"/>
      <c r="E824" s="901"/>
      <c r="F824" s="902"/>
      <c r="G824" s="902"/>
      <c r="H824" s="903"/>
      <c r="I824" s="900"/>
      <c r="J824" s="900"/>
      <c r="K824" s="902"/>
      <c r="L824" s="904"/>
      <c r="M824" s="904"/>
      <c r="N824" s="905"/>
      <c r="O824" s="905"/>
      <c r="P824" s="906"/>
      <c r="Q824" s="906"/>
      <c r="R824" s="907"/>
      <c r="S824" s="908"/>
      <c r="T824" s="901"/>
      <c r="U824" s="902"/>
      <c r="V824" s="909"/>
      <c r="W824" s="909"/>
      <c r="X824" s="909"/>
      <c r="Y824" s="909"/>
      <c r="Z824" s="909"/>
      <c r="AA824" s="909"/>
      <c r="AB824" s="909"/>
      <c r="AC824" s="909"/>
      <c r="AD824" s="909"/>
    </row>
    <row r="825" s="141" customFormat="1" customHeight="1" spans="1:30">
      <c r="A825" s="900"/>
      <c r="B825" s="900"/>
      <c r="C825" s="900"/>
      <c r="D825" s="901"/>
      <c r="E825" s="901"/>
      <c r="F825" s="902"/>
      <c r="G825" s="902"/>
      <c r="H825" s="903"/>
      <c r="I825" s="900"/>
      <c r="J825" s="900"/>
      <c r="K825" s="902"/>
      <c r="L825" s="904"/>
      <c r="M825" s="904"/>
      <c r="N825" s="905"/>
      <c r="O825" s="905"/>
      <c r="P825" s="906"/>
      <c r="Q825" s="906"/>
      <c r="R825" s="907"/>
      <c r="S825" s="908"/>
      <c r="T825" s="901"/>
      <c r="U825" s="902"/>
      <c r="V825" s="909"/>
      <c r="W825" s="909"/>
      <c r="X825" s="909"/>
      <c r="Y825" s="909"/>
      <c r="Z825" s="909"/>
      <c r="AA825" s="909"/>
      <c r="AB825" s="909"/>
      <c r="AC825" s="909"/>
      <c r="AD825" s="909"/>
    </row>
    <row r="826" s="141" customFormat="1" customHeight="1" spans="1:30">
      <c r="A826" s="900"/>
      <c r="B826" s="900"/>
      <c r="C826" s="900"/>
      <c r="D826" s="901"/>
      <c r="E826" s="901"/>
      <c r="F826" s="902"/>
      <c r="G826" s="902"/>
      <c r="H826" s="903"/>
      <c r="I826" s="900"/>
      <c r="J826" s="900"/>
      <c r="K826" s="902"/>
      <c r="L826" s="904"/>
      <c r="M826" s="904"/>
      <c r="N826" s="905"/>
      <c r="O826" s="905"/>
      <c r="P826" s="906"/>
      <c r="Q826" s="906"/>
      <c r="R826" s="907"/>
      <c r="S826" s="908"/>
      <c r="T826" s="901"/>
      <c r="U826" s="902"/>
      <c r="V826" s="909"/>
      <c r="W826" s="909"/>
      <c r="X826" s="909"/>
      <c r="Y826" s="909"/>
      <c r="Z826" s="909"/>
      <c r="AA826" s="909"/>
      <c r="AB826" s="909"/>
      <c r="AC826" s="909"/>
      <c r="AD826" s="909"/>
    </row>
    <row r="827" s="141" customFormat="1" customHeight="1" spans="1:30">
      <c r="A827" s="900"/>
      <c r="B827" s="900"/>
      <c r="C827" s="900"/>
      <c r="D827" s="901"/>
      <c r="E827" s="901"/>
      <c r="F827" s="902"/>
      <c r="G827" s="902"/>
      <c r="H827" s="903"/>
      <c r="I827" s="900"/>
      <c r="J827" s="900"/>
      <c r="K827" s="902"/>
      <c r="L827" s="904"/>
      <c r="M827" s="904"/>
      <c r="N827" s="905"/>
      <c r="O827" s="905"/>
      <c r="P827" s="906"/>
      <c r="Q827" s="906"/>
      <c r="R827" s="907"/>
      <c r="S827" s="908"/>
      <c r="T827" s="901"/>
      <c r="U827" s="902"/>
      <c r="V827" s="909"/>
      <c r="W827" s="909"/>
      <c r="X827" s="909"/>
      <c r="Y827" s="909"/>
      <c r="Z827" s="909"/>
      <c r="AA827" s="909"/>
      <c r="AB827" s="909"/>
      <c r="AC827" s="909"/>
      <c r="AD827" s="909"/>
    </row>
    <row r="828" s="141" customFormat="1" customHeight="1" spans="1:30">
      <c r="A828" s="900"/>
      <c r="B828" s="900"/>
      <c r="C828" s="900"/>
      <c r="D828" s="901"/>
      <c r="E828" s="901"/>
      <c r="F828" s="902"/>
      <c r="G828" s="902"/>
      <c r="H828" s="903"/>
      <c r="I828" s="900"/>
      <c r="J828" s="900"/>
      <c r="K828" s="902"/>
      <c r="L828" s="904"/>
      <c r="M828" s="904"/>
      <c r="N828" s="905"/>
      <c r="O828" s="905"/>
      <c r="P828" s="906"/>
      <c r="Q828" s="906"/>
      <c r="R828" s="907"/>
      <c r="S828" s="908"/>
      <c r="T828" s="901"/>
      <c r="U828" s="902"/>
      <c r="V828" s="909"/>
      <c r="W828" s="909"/>
      <c r="X828" s="909"/>
      <c r="Y828" s="909"/>
      <c r="Z828" s="909"/>
      <c r="AA828" s="909"/>
      <c r="AB828" s="909"/>
      <c r="AC828" s="909"/>
      <c r="AD828" s="909"/>
    </row>
    <row r="829" s="141" customFormat="1" customHeight="1" spans="1:30">
      <c r="A829" s="900"/>
      <c r="B829" s="900"/>
      <c r="C829" s="900"/>
      <c r="D829" s="901"/>
      <c r="E829" s="901"/>
      <c r="F829" s="902"/>
      <c r="G829" s="902"/>
      <c r="H829" s="903"/>
      <c r="I829" s="900"/>
      <c r="J829" s="900"/>
      <c r="K829" s="902"/>
      <c r="L829" s="904"/>
      <c r="M829" s="904"/>
      <c r="N829" s="905"/>
      <c r="O829" s="905"/>
      <c r="P829" s="906"/>
      <c r="Q829" s="906"/>
      <c r="R829" s="907"/>
      <c r="S829" s="908"/>
      <c r="T829" s="901"/>
      <c r="U829" s="902"/>
      <c r="V829" s="909"/>
      <c r="W829" s="909"/>
      <c r="X829" s="909"/>
      <c r="Y829" s="909"/>
      <c r="Z829" s="909"/>
      <c r="AA829" s="909"/>
      <c r="AB829" s="909"/>
      <c r="AC829" s="909"/>
      <c r="AD829" s="909"/>
    </row>
    <row r="830" s="141" customFormat="1" customHeight="1" spans="1:30">
      <c r="A830" s="900"/>
      <c r="B830" s="900"/>
      <c r="C830" s="900"/>
      <c r="D830" s="901"/>
      <c r="E830" s="901"/>
      <c r="F830" s="902"/>
      <c r="G830" s="902"/>
      <c r="H830" s="903"/>
      <c r="I830" s="900"/>
      <c r="J830" s="900"/>
      <c r="K830" s="902"/>
      <c r="L830" s="904"/>
      <c r="M830" s="904"/>
      <c r="N830" s="905"/>
      <c r="O830" s="905"/>
      <c r="P830" s="906"/>
      <c r="Q830" s="906"/>
      <c r="R830" s="907"/>
      <c r="S830" s="908"/>
      <c r="T830" s="901"/>
      <c r="U830" s="902"/>
      <c r="V830" s="909"/>
      <c r="W830" s="909"/>
      <c r="X830" s="909"/>
      <c r="Y830" s="909"/>
      <c r="Z830" s="909"/>
      <c r="AA830" s="909"/>
      <c r="AB830" s="909"/>
      <c r="AC830" s="909"/>
      <c r="AD830" s="909"/>
    </row>
    <row r="831" s="141" customFormat="1" customHeight="1" spans="1:30">
      <c r="A831" s="900"/>
      <c r="B831" s="900"/>
      <c r="C831" s="900"/>
      <c r="D831" s="901"/>
      <c r="E831" s="901"/>
      <c r="F831" s="902"/>
      <c r="G831" s="902"/>
      <c r="H831" s="903"/>
      <c r="I831" s="900"/>
      <c r="J831" s="900"/>
      <c r="K831" s="902"/>
      <c r="L831" s="904"/>
      <c r="M831" s="904"/>
      <c r="N831" s="905"/>
      <c r="O831" s="905"/>
      <c r="P831" s="906"/>
      <c r="Q831" s="906"/>
      <c r="R831" s="907"/>
      <c r="S831" s="908"/>
      <c r="T831" s="901"/>
      <c r="U831" s="902"/>
      <c r="V831" s="909"/>
      <c r="W831" s="909"/>
      <c r="X831" s="909"/>
      <c r="Y831" s="909"/>
      <c r="Z831" s="909"/>
      <c r="AA831" s="909"/>
      <c r="AB831" s="909"/>
      <c r="AC831" s="909"/>
      <c r="AD831" s="909"/>
    </row>
    <row r="832" s="141" customFormat="1" customHeight="1" spans="1:30">
      <c r="A832" s="900"/>
      <c r="B832" s="900"/>
      <c r="C832" s="900"/>
      <c r="D832" s="901"/>
      <c r="E832" s="901"/>
      <c r="F832" s="902"/>
      <c r="G832" s="902"/>
      <c r="H832" s="903"/>
      <c r="I832" s="900"/>
      <c r="J832" s="900"/>
      <c r="K832" s="902"/>
      <c r="L832" s="904"/>
      <c r="M832" s="904"/>
      <c r="N832" s="905"/>
      <c r="O832" s="905"/>
      <c r="P832" s="906"/>
      <c r="Q832" s="906"/>
      <c r="R832" s="907"/>
      <c r="S832" s="908"/>
      <c r="T832" s="901"/>
      <c r="U832" s="902"/>
      <c r="V832" s="909"/>
      <c r="W832" s="909"/>
      <c r="X832" s="909"/>
      <c r="Y832" s="909"/>
      <c r="Z832" s="909"/>
      <c r="AA832" s="909"/>
      <c r="AB832" s="909"/>
      <c r="AC832" s="909"/>
      <c r="AD832" s="909"/>
    </row>
    <row r="833" s="141" customFormat="1" customHeight="1" spans="1:30">
      <c r="A833" s="900"/>
      <c r="B833" s="900"/>
      <c r="C833" s="900"/>
      <c r="D833" s="901"/>
      <c r="E833" s="901"/>
      <c r="F833" s="902"/>
      <c r="G833" s="902"/>
      <c r="H833" s="903"/>
      <c r="I833" s="900"/>
      <c r="J833" s="900"/>
      <c r="K833" s="902"/>
      <c r="L833" s="904"/>
      <c r="M833" s="904"/>
      <c r="N833" s="905"/>
      <c r="O833" s="905"/>
      <c r="P833" s="906"/>
      <c r="Q833" s="906"/>
      <c r="R833" s="907"/>
      <c r="S833" s="908"/>
      <c r="T833" s="901"/>
      <c r="U833" s="902"/>
      <c r="V833" s="909"/>
      <c r="W833" s="909"/>
      <c r="X833" s="909"/>
      <c r="Y833" s="909"/>
      <c r="Z833" s="909"/>
      <c r="AA833" s="909"/>
      <c r="AB833" s="909"/>
      <c r="AC833" s="909"/>
      <c r="AD833" s="909"/>
    </row>
    <row r="834" s="141" customFormat="1" customHeight="1" spans="1:30">
      <c r="A834" s="900"/>
      <c r="B834" s="900"/>
      <c r="C834" s="900"/>
      <c r="D834" s="901"/>
      <c r="E834" s="901"/>
      <c r="F834" s="902"/>
      <c r="G834" s="902"/>
      <c r="H834" s="903"/>
      <c r="I834" s="900"/>
      <c r="J834" s="900"/>
      <c r="K834" s="902"/>
      <c r="L834" s="904"/>
      <c r="M834" s="904"/>
      <c r="N834" s="905"/>
      <c r="O834" s="905"/>
      <c r="P834" s="906"/>
      <c r="Q834" s="906"/>
      <c r="R834" s="907"/>
      <c r="S834" s="908"/>
      <c r="T834" s="901"/>
      <c r="U834" s="902"/>
      <c r="V834" s="909"/>
      <c r="W834" s="909"/>
      <c r="X834" s="909"/>
      <c r="Y834" s="909"/>
      <c r="Z834" s="909"/>
      <c r="AA834" s="909"/>
      <c r="AB834" s="909"/>
      <c r="AC834" s="909"/>
      <c r="AD834" s="909"/>
    </row>
    <row r="835" s="141" customFormat="1" customHeight="1" spans="1:30">
      <c r="A835" s="900"/>
      <c r="B835" s="900"/>
      <c r="C835" s="900"/>
      <c r="D835" s="901"/>
      <c r="E835" s="901"/>
      <c r="F835" s="902"/>
      <c r="G835" s="902"/>
      <c r="H835" s="903"/>
      <c r="I835" s="900"/>
      <c r="J835" s="900"/>
      <c r="K835" s="902"/>
      <c r="L835" s="904"/>
      <c r="M835" s="904"/>
      <c r="N835" s="905"/>
      <c r="O835" s="905"/>
      <c r="P835" s="906"/>
      <c r="Q835" s="906"/>
      <c r="R835" s="907"/>
      <c r="S835" s="908"/>
      <c r="T835" s="901"/>
      <c r="U835" s="902"/>
      <c r="V835" s="909"/>
      <c r="W835" s="909"/>
      <c r="X835" s="909"/>
      <c r="Y835" s="909"/>
      <c r="Z835" s="909"/>
      <c r="AA835" s="909"/>
      <c r="AB835" s="909"/>
      <c r="AC835" s="909"/>
      <c r="AD835" s="909"/>
    </row>
    <row r="836" s="141" customFormat="1" customHeight="1" spans="1:30">
      <c r="A836" s="900"/>
      <c r="B836" s="900"/>
      <c r="C836" s="900"/>
      <c r="D836" s="901"/>
      <c r="E836" s="901"/>
      <c r="F836" s="902"/>
      <c r="G836" s="902"/>
      <c r="H836" s="903"/>
      <c r="I836" s="900"/>
      <c r="J836" s="900"/>
      <c r="K836" s="902"/>
      <c r="L836" s="904"/>
      <c r="M836" s="904"/>
      <c r="N836" s="905"/>
      <c r="O836" s="905"/>
      <c r="P836" s="906"/>
      <c r="Q836" s="906"/>
      <c r="R836" s="907"/>
      <c r="S836" s="908"/>
      <c r="T836" s="901"/>
      <c r="U836" s="902"/>
      <c r="V836" s="909"/>
      <c r="W836" s="909"/>
      <c r="X836" s="909"/>
      <c r="Y836" s="909"/>
      <c r="Z836" s="909"/>
      <c r="AA836" s="909"/>
      <c r="AB836" s="909"/>
      <c r="AC836" s="909"/>
      <c r="AD836" s="909"/>
    </row>
    <row r="837" s="141" customFormat="1" customHeight="1" spans="1:30">
      <c r="A837" s="900"/>
      <c r="B837" s="900"/>
      <c r="C837" s="900"/>
      <c r="D837" s="901"/>
      <c r="E837" s="901"/>
      <c r="F837" s="902"/>
      <c r="G837" s="902"/>
      <c r="H837" s="903"/>
      <c r="I837" s="900"/>
      <c r="J837" s="900"/>
      <c r="K837" s="902"/>
      <c r="L837" s="904"/>
      <c r="M837" s="904"/>
      <c r="N837" s="905"/>
      <c r="O837" s="905"/>
      <c r="P837" s="906"/>
      <c r="Q837" s="906"/>
      <c r="R837" s="907"/>
      <c r="S837" s="908"/>
      <c r="T837" s="901"/>
      <c r="U837" s="902"/>
      <c r="V837" s="909"/>
      <c r="W837" s="909"/>
      <c r="X837" s="909"/>
      <c r="Y837" s="909"/>
      <c r="Z837" s="909"/>
      <c r="AA837" s="909"/>
      <c r="AB837" s="909"/>
      <c r="AC837" s="909"/>
      <c r="AD837" s="909"/>
    </row>
    <row r="838" s="141" customFormat="1" customHeight="1" spans="1:30">
      <c r="A838" s="900"/>
      <c r="B838" s="900"/>
      <c r="C838" s="900"/>
      <c r="D838" s="901"/>
      <c r="E838" s="901"/>
      <c r="F838" s="902"/>
      <c r="G838" s="902"/>
      <c r="H838" s="903"/>
      <c r="I838" s="900"/>
      <c r="J838" s="900"/>
      <c r="K838" s="902"/>
      <c r="L838" s="904"/>
      <c r="M838" s="904"/>
      <c r="N838" s="905"/>
      <c r="O838" s="905"/>
      <c r="P838" s="906"/>
      <c r="Q838" s="906"/>
      <c r="R838" s="907"/>
      <c r="S838" s="908"/>
      <c r="T838" s="901"/>
      <c r="U838" s="902"/>
      <c r="V838" s="909"/>
      <c r="W838" s="909"/>
      <c r="X838" s="909"/>
      <c r="Y838" s="909"/>
      <c r="Z838" s="909"/>
      <c r="AA838" s="909"/>
      <c r="AB838" s="909"/>
      <c r="AC838" s="909"/>
      <c r="AD838" s="909"/>
    </row>
    <row r="839" s="141" customFormat="1" customHeight="1" spans="1:30">
      <c r="A839" s="900"/>
      <c r="B839" s="900"/>
      <c r="C839" s="900"/>
      <c r="D839" s="901"/>
      <c r="E839" s="901"/>
      <c r="F839" s="902"/>
      <c r="G839" s="902"/>
      <c r="H839" s="903"/>
      <c r="I839" s="900"/>
      <c r="J839" s="900"/>
      <c r="K839" s="902"/>
      <c r="L839" s="904"/>
      <c r="M839" s="904"/>
      <c r="N839" s="905"/>
      <c r="O839" s="905"/>
      <c r="P839" s="906"/>
      <c r="Q839" s="906"/>
      <c r="R839" s="907"/>
      <c r="S839" s="908"/>
      <c r="T839" s="901"/>
      <c r="U839" s="902"/>
      <c r="V839" s="909"/>
      <c r="W839" s="909"/>
      <c r="X839" s="909"/>
      <c r="Y839" s="909"/>
      <c r="Z839" s="909"/>
      <c r="AA839" s="909"/>
      <c r="AB839" s="909"/>
      <c r="AC839" s="909"/>
      <c r="AD839" s="909"/>
    </row>
    <row r="840" s="141" customFormat="1" customHeight="1" spans="1:30">
      <c r="A840" s="900"/>
      <c r="B840" s="900"/>
      <c r="C840" s="900"/>
      <c r="D840" s="901"/>
      <c r="E840" s="901"/>
      <c r="F840" s="902"/>
      <c r="G840" s="902"/>
      <c r="H840" s="903"/>
      <c r="I840" s="900"/>
      <c r="J840" s="900"/>
      <c r="K840" s="902"/>
      <c r="L840" s="904"/>
      <c r="M840" s="904"/>
      <c r="N840" s="905"/>
      <c r="O840" s="905"/>
      <c r="P840" s="906"/>
      <c r="Q840" s="906"/>
      <c r="R840" s="907"/>
      <c r="S840" s="908"/>
      <c r="T840" s="901"/>
      <c r="U840" s="902"/>
      <c r="V840" s="909"/>
      <c r="W840" s="909"/>
      <c r="X840" s="909"/>
      <c r="Y840" s="909"/>
      <c r="Z840" s="909"/>
      <c r="AA840" s="909"/>
      <c r="AB840" s="909"/>
      <c r="AC840" s="909"/>
      <c r="AD840" s="909"/>
    </row>
    <row r="841" s="141" customFormat="1" customHeight="1" spans="1:30">
      <c r="A841" s="900"/>
      <c r="B841" s="900"/>
      <c r="C841" s="900"/>
      <c r="D841" s="901"/>
      <c r="E841" s="901"/>
      <c r="F841" s="902"/>
      <c r="G841" s="902"/>
      <c r="H841" s="903"/>
      <c r="I841" s="900"/>
      <c r="J841" s="900"/>
      <c r="K841" s="902"/>
      <c r="L841" s="904"/>
      <c r="M841" s="904"/>
      <c r="N841" s="905"/>
      <c r="O841" s="905"/>
      <c r="P841" s="906"/>
      <c r="Q841" s="906"/>
      <c r="R841" s="907"/>
      <c r="S841" s="908"/>
      <c r="T841" s="901"/>
      <c r="U841" s="902"/>
      <c r="V841" s="909"/>
      <c r="W841" s="909"/>
      <c r="X841" s="909"/>
      <c r="Y841" s="909"/>
      <c r="Z841" s="909"/>
      <c r="AA841" s="909"/>
      <c r="AB841" s="909"/>
      <c r="AC841" s="909"/>
      <c r="AD841" s="909"/>
    </row>
    <row r="842" s="141" customFormat="1" customHeight="1" spans="1:30">
      <c r="A842" s="900"/>
      <c r="B842" s="900"/>
      <c r="C842" s="900"/>
      <c r="D842" s="901"/>
      <c r="E842" s="901"/>
      <c r="F842" s="902"/>
      <c r="G842" s="902"/>
      <c r="H842" s="903"/>
      <c r="I842" s="900"/>
      <c r="J842" s="900"/>
      <c r="K842" s="902"/>
      <c r="L842" s="904"/>
      <c r="M842" s="904"/>
      <c r="N842" s="905"/>
      <c r="O842" s="905"/>
      <c r="P842" s="906"/>
      <c r="Q842" s="906"/>
      <c r="R842" s="907"/>
      <c r="S842" s="908"/>
      <c r="T842" s="901"/>
      <c r="U842" s="902"/>
      <c r="V842" s="909"/>
      <c r="W842" s="909"/>
      <c r="X842" s="909"/>
      <c r="Y842" s="909"/>
      <c r="Z842" s="909"/>
      <c r="AA842" s="909"/>
      <c r="AB842" s="909"/>
      <c r="AC842" s="909"/>
      <c r="AD842" s="909"/>
    </row>
    <row r="843" s="141" customFormat="1" customHeight="1" spans="1:30">
      <c r="A843" s="900"/>
      <c r="B843" s="900"/>
      <c r="C843" s="900"/>
      <c r="D843" s="901"/>
      <c r="E843" s="901"/>
      <c r="F843" s="902"/>
      <c r="G843" s="902"/>
      <c r="H843" s="903"/>
      <c r="I843" s="900"/>
      <c r="J843" s="900"/>
      <c r="K843" s="902"/>
      <c r="L843" s="904"/>
      <c r="M843" s="904"/>
      <c r="N843" s="905"/>
      <c r="O843" s="905"/>
      <c r="P843" s="906"/>
      <c r="Q843" s="906"/>
      <c r="R843" s="907"/>
      <c r="S843" s="908"/>
      <c r="T843" s="901"/>
      <c r="U843" s="902"/>
      <c r="V843" s="909"/>
      <c r="W843" s="909"/>
      <c r="X843" s="909"/>
      <c r="Y843" s="909"/>
      <c r="Z843" s="909"/>
      <c r="AA843" s="909"/>
      <c r="AB843" s="909"/>
      <c r="AC843" s="909"/>
      <c r="AD843" s="909"/>
    </row>
    <row r="844" s="141" customFormat="1" customHeight="1" spans="1:30">
      <c r="A844" s="900"/>
      <c r="B844" s="900"/>
      <c r="C844" s="900"/>
      <c r="D844" s="901"/>
      <c r="E844" s="901"/>
      <c r="F844" s="902"/>
      <c r="G844" s="902"/>
      <c r="H844" s="903"/>
      <c r="I844" s="900"/>
      <c r="J844" s="900"/>
      <c r="K844" s="902"/>
      <c r="L844" s="904"/>
      <c r="M844" s="904"/>
      <c r="N844" s="905"/>
      <c r="O844" s="905"/>
      <c r="P844" s="906"/>
      <c r="Q844" s="906"/>
      <c r="R844" s="907"/>
      <c r="S844" s="908"/>
      <c r="T844" s="901"/>
      <c r="U844" s="902"/>
      <c r="V844" s="909"/>
      <c r="W844" s="909"/>
      <c r="X844" s="909"/>
      <c r="Y844" s="909"/>
      <c r="Z844" s="909"/>
      <c r="AA844" s="909"/>
      <c r="AB844" s="909"/>
      <c r="AC844" s="909"/>
      <c r="AD844" s="909"/>
    </row>
    <row r="845" s="141" customFormat="1" customHeight="1" spans="1:30">
      <c r="A845" s="900"/>
      <c r="B845" s="900"/>
      <c r="C845" s="900"/>
      <c r="D845" s="901"/>
      <c r="E845" s="901"/>
      <c r="F845" s="902"/>
      <c r="G845" s="902"/>
      <c r="H845" s="903"/>
      <c r="I845" s="900"/>
      <c r="J845" s="900"/>
      <c r="K845" s="902"/>
      <c r="L845" s="904"/>
      <c r="M845" s="904"/>
      <c r="N845" s="905"/>
      <c r="O845" s="905"/>
      <c r="P845" s="906"/>
      <c r="Q845" s="906"/>
      <c r="R845" s="907"/>
      <c r="S845" s="908"/>
      <c r="T845" s="901"/>
      <c r="U845" s="902"/>
      <c r="V845" s="909"/>
      <c r="W845" s="909"/>
      <c r="X845" s="909"/>
      <c r="Y845" s="909"/>
      <c r="Z845" s="909"/>
      <c r="AA845" s="909"/>
      <c r="AB845" s="909"/>
      <c r="AC845" s="909"/>
      <c r="AD845" s="909"/>
    </row>
    <row r="846" s="141" customFormat="1" customHeight="1" spans="1:30">
      <c r="A846" s="900"/>
      <c r="B846" s="900"/>
      <c r="C846" s="900"/>
      <c r="D846" s="901"/>
      <c r="E846" s="901"/>
      <c r="F846" s="902"/>
      <c r="G846" s="902"/>
      <c r="H846" s="903"/>
      <c r="I846" s="900"/>
      <c r="J846" s="900"/>
      <c r="K846" s="902"/>
      <c r="L846" s="904"/>
      <c r="M846" s="904"/>
      <c r="N846" s="905"/>
      <c r="O846" s="905"/>
      <c r="P846" s="906"/>
      <c r="Q846" s="906"/>
      <c r="R846" s="907"/>
      <c r="S846" s="908"/>
      <c r="T846" s="901"/>
      <c r="U846" s="902"/>
      <c r="V846" s="909"/>
      <c r="W846" s="909"/>
      <c r="X846" s="909"/>
      <c r="Y846" s="909"/>
      <c r="Z846" s="909"/>
      <c r="AA846" s="909"/>
      <c r="AB846" s="909"/>
      <c r="AC846" s="909"/>
      <c r="AD846" s="909"/>
    </row>
    <row r="847" s="141" customFormat="1" customHeight="1" spans="1:30">
      <c r="A847" s="900"/>
      <c r="B847" s="900"/>
      <c r="C847" s="900"/>
      <c r="D847" s="901"/>
      <c r="E847" s="901"/>
      <c r="F847" s="902"/>
      <c r="G847" s="902"/>
      <c r="H847" s="903"/>
      <c r="I847" s="900"/>
      <c r="J847" s="900"/>
      <c r="K847" s="902"/>
      <c r="L847" s="904"/>
      <c r="M847" s="904"/>
      <c r="N847" s="905"/>
      <c r="O847" s="905"/>
      <c r="P847" s="906"/>
      <c r="Q847" s="906"/>
      <c r="R847" s="907"/>
      <c r="S847" s="908"/>
      <c r="T847" s="901"/>
      <c r="U847" s="902"/>
      <c r="V847" s="909"/>
      <c r="W847" s="909"/>
      <c r="X847" s="909"/>
      <c r="Y847" s="909"/>
      <c r="Z847" s="909"/>
      <c r="AA847" s="909"/>
      <c r="AB847" s="909"/>
      <c r="AC847" s="909"/>
      <c r="AD847" s="909"/>
    </row>
    <row r="848" s="141" customFormat="1" customHeight="1" spans="1:30">
      <c r="A848" s="900"/>
      <c r="B848" s="900"/>
      <c r="C848" s="900"/>
      <c r="D848" s="901"/>
      <c r="E848" s="901"/>
      <c r="F848" s="902"/>
      <c r="G848" s="902"/>
      <c r="H848" s="903"/>
      <c r="I848" s="900"/>
      <c r="J848" s="900"/>
      <c r="K848" s="902"/>
      <c r="L848" s="904"/>
      <c r="M848" s="904"/>
      <c r="N848" s="905"/>
      <c r="O848" s="905"/>
      <c r="P848" s="906"/>
      <c r="Q848" s="906"/>
      <c r="R848" s="907"/>
      <c r="S848" s="908"/>
      <c r="T848" s="901"/>
      <c r="U848" s="902"/>
      <c r="V848" s="909"/>
      <c r="W848" s="909"/>
      <c r="X848" s="909"/>
      <c r="Y848" s="909"/>
      <c r="Z848" s="909"/>
      <c r="AA848" s="909"/>
      <c r="AB848" s="909"/>
      <c r="AC848" s="909"/>
      <c r="AD848" s="909"/>
    </row>
    <row r="849" s="141" customFormat="1" customHeight="1" spans="1:30">
      <c r="A849" s="900"/>
      <c r="B849" s="900"/>
      <c r="C849" s="900"/>
      <c r="D849" s="901"/>
      <c r="E849" s="901"/>
      <c r="F849" s="902"/>
      <c r="G849" s="902"/>
      <c r="H849" s="903"/>
      <c r="I849" s="900"/>
      <c r="J849" s="900"/>
      <c r="K849" s="902"/>
      <c r="L849" s="904"/>
      <c r="M849" s="904"/>
      <c r="N849" s="905"/>
      <c r="O849" s="905"/>
      <c r="P849" s="906"/>
      <c r="Q849" s="906"/>
      <c r="R849" s="907"/>
      <c r="S849" s="908"/>
      <c r="T849" s="901"/>
      <c r="U849" s="902"/>
      <c r="V849" s="909"/>
      <c r="W849" s="909"/>
      <c r="X849" s="909"/>
      <c r="Y849" s="909"/>
      <c r="Z849" s="909"/>
      <c r="AA849" s="909"/>
      <c r="AB849" s="909"/>
      <c r="AC849" s="909"/>
      <c r="AD849" s="909"/>
    </row>
    <row r="850" s="141" customFormat="1" customHeight="1" spans="1:30">
      <c r="A850" s="900"/>
      <c r="B850" s="900"/>
      <c r="C850" s="900"/>
      <c r="D850" s="901"/>
      <c r="E850" s="901"/>
      <c r="F850" s="902"/>
      <c r="G850" s="902"/>
      <c r="H850" s="903"/>
      <c r="I850" s="900"/>
      <c r="J850" s="900"/>
      <c r="K850" s="902"/>
      <c r="L850" s="904"/>
      <c r="M850" s="904"/>
      <c r="N850" s="905"/>
      <c r="O850" s="905"/>
      <c r="P850" s="906"/>
      <c r="Q850" s="906"/>
      <c r="R850" s="907"/>
      <c r="S850" s="908"/>
      <c r="T850" s="901"/>
      <c r="U850" s="902"/>
      <c r="V850" s="909"/>
      <c r="W850" s="909"/>
      <c r="X850" s="909"/>
      <c r="Y850" s="909"/>
      <c r="Z850" s="909"/>
      <c r="AA850" s="909"/>
      <c r="AB850" s="909"/>
      <c r="AC850" s="909"/>
      <c r="AD850" s="909"/>
    </row>
    <row r="851" s="141" customFormat="1" customHeight="1" spans="1:30">
      <c r="A851" s="900"/>
      <c r="B851" s="900"/>
      <c r="C851" s="900"/>
      <c r="D851" s="901"/>
      <c r="E851" s="901"/>
      <c r="F851" s="902"/>
      <c r="G851" s="902"/>
      <c r="H851" s="903"/>
      <c r="I851" s="900"/>
      <c r="J851" s="900"/>
      <c r="K851" s="902"/>
      <c r="L851" s="904"/>
      <c r="M851" s="904"/>
      <c r="N851" s="905"/>
      <c r="O851" s="905"/>
      <c r="P851" s="906"/>
      <c r="Q851" s="906"/>
      <c r="R851" s="907"/>
      <c r="S851" s="908"/>
      <c r="T851" s="901"/>
      <c r="U851" s="902"/>
      <c r="V851" s="909"/>
      <c r="W851" s="909"/>
      <c r="X851" s="909"/>
      <c r="Y851" s="909"/>
      <c r="Z851" s="909"/>
      <c r="AA851" s="909"/>
      <c r="AB851" s="909"/>
      <c r="AC851" s="909"/>
      <c r="AD851" s="909"/>
    </row>
    <row r="852" s="141" customFormat="1" customHeight="1" spans="1:30">
      <c r="A852" s="900"/>
      <c r="B852" s="900"/>
      <c r="C852" s="900"/>
      <c r="D852" s="901"/>
      <c r="E852" s="901"/>
      <c r="F852" s="902"/>
      <c r="G852" s="902"/>
      <c r="H852" s="903"/>
      <c r="I852" s="900"/>
      <c r="J852" s="900"/>
      <c r="K852" s="902"/>
      <c r="L852" s="904"/>
      <c r="M852" s="904"/>
      <c r="N852" s="905"/>
      <c r="O852" s="905"/>
      <c r="P852" s="906"/>
      <c r="Q852" s="906"/>
      <c r="R852" s="907"/>
      <c r="S852" s="908"/>
      <c r="T852" s="901"/>
      <c r="U852" s="902"/>
      <c r="V852" s="909"/>
      <c r="W852" s="909"/>
      <c r="X852" s="909"/>
      <c r="Y852" s="909"/>
      <c r="Z852" s="909"/>
      <c r="AA852" s="909"/>
      <c r="AB852" s="909"/>
      <c r="AC852" s="909"/>
      <c r="AD852" s="909"/>
    </row>
    <row r="853" s="141" customFormat="1" customHeight="1" spans="1:30">
      <c r="A853" s="900"/>
      <c r="B853" s="900"/>
      <c r="C853" s="900"/>
      <c r="D853" s="901"/>
      <c r="E853" s="901"/>
      <c r="F853" s="902"/>
      <c r="G853" s="902"/>
      <c r="H853" s="903"/>
      <c r="I853" s="900"/>
      <c r="J853" s="900"/>
      <c r="K853" s="902"/>
      <c r="L853" s="904"/>
      <c r="M853" s="904"/>
      <c r="N853" s="905"/>
      <c r="O853" s="905"/>
      <c r="P853" s="906"/>
      <c r="Q853" s="906"/>
      <c r="R853" s="907"/>
      <c r="S853" s="908"/>
      <c r="T853" s="901"/>
      <c r="U853" s="902"/>
      <c r="V853" s="909"/>
      <c r="W853" s="909"/>
      <c r="X853" s="909"/>
      <c r="Y853" s="909"/>
      <c r="Z853" s="909"/>
      <c r="AA853" s="909"/>
      <c r="AB853" s="909"/>
      <c r="AC853" s="909"/>
      <c r="AD853" s="909"/>
    </row>
    <row r="854" s="141" customFormat="1" customHeight="1" spans="1:30">
      <c r="A854" s="900"/>
      <c r="B854" s="900"/>
      <c r="C854" s="900"/>
      <c r="D854" s="901"/>
      <c r="E854" s="901"/>
      <c r="F854" s="902"/>
      <c r="G854" s="902"/>
      <c r="H854" s="903"/>
      <c r="I854" s="900"/>
      <c r="J854" s="900"/>
      <c r="K854" s="902"/>
      <c r="L854" s="904"/>
      <c r="M854" s="904"/>
      <c r="N854" s="905"/>
      <c r="O854" s="905"/>
      <c r="P854" s="906"/>
      <c r="Q854" s="906"/>
      <c r="R854" s="907"/>
      <c r="S854" s="908"/>
      <c r="T854" s="901"/>
      <c r="U854" s="902"/>
      <c r="V854" s="909"/>
      <c r="W854" s="909"/>
      <c r="X854" s="909"/>
      <c r="Y854" s="909"/>
      <c r="Z854" s="909"/>
      <c r="AA854" s="909"/>
      <c r="AB854" s="909"/>
      <c r="AC854" s="909"/>
      <c r="AD854" s="909"/>
    </row>
    <row r="855" s="141" customFormat="1" customHeight="1" spans="1:30">
      <c r="A855" s="900"/>
      <c r="B855" s="900"/>
      <c r="C855" s="900"/>
      <c r="D855" s="901"/>
      <c r="E855" s="901"/>
      <c r="F855" s="902"/>
      <c r="G855" s="902"/>
      <c r="H855" s="903"/>
      <c r="I855" s="900"/>
      <c r="J855" s="900"/>
      <c r="K855" s="902"/>
      <c r="L855" s="904"/>
      <c r="M855" s="904"/>
      <c r="N855" s="905"/>
      <c r="O855" s="905"/>
      <c r="P855" s="906"/>
      <c r="Q855" s="906"/>
      <c r="R855" s="907"/>
      <c r="S855" s="908"/>
      <c r="T855" s="901"/>
      <c r="U855" s="902"/>
      <c r="V855" s="909"/>
      <c r="W855" s="909"/>
      <c r="X855" s="909"/>
      <c r="Y855" s="909"/>
      <c r="Z855" s="909"/>
      <c r="AA855" s="909"/>
      <c r="AB855" s="909"/>
      <c r="AC855" s="909"/>
      <c r="AD855" s="909"/>
    </row>
    <row r="856" s="141" customFormat="1" customHeight="1" spans="1:30">
      <c r="A856" s="900"/>
      <c r="B856" s="900"/>
      <c r="C856" s="900"/>
      <c r="D856" s="901"/>
      <c r="E856" s="901"/>
      <c r="F856" s="902"/>
      <c r="G856" s="902"/>
      <c r="H856" s="903"/>
      <c r="I856" s="900"/>
      <c r="J856" s="900"/>
      <c r="K856" s="902"/>
      <c r="L856" s="904"/>
      <c r="M856" s="904"/>
      <c r="N856" s="905"/>
      <c r="O856" s="905"/>
      <c r="P856" s="906"/>
      <c r="Q856" s="906"/>
      <c r="R856" s="907"/>
      <c r="S856" s="908"/>
      <c r="T856" s="901"/>
      <c r="U856" s="902"/>
      <c r="V856" s="909"/>
      <c r="W856" s="909"/>
      <c r="X856" s="909"/>
      <c r="Y856" s="909"/>
      <c r="Z856" s="909"/>
      <c r="AA856" s="909"/>
      <c r="AB856" s="909"/>
      <c r="AC856" s="909"/>
      <c r="AD856" s="909"/>
    </row>
    <row r="857" s="141" customFormat="1" customHeight="1" spans="1:30">
      <c r="A857" s="900"/>
      <c r="B857" s="900"/>
      <c r="C857" s="900"/>
      <c r="D857" s="901"/>
      <c r="E857" s="901"/>
      <c r="F857" s="902"/>
      <c r="G857" s="902"/>
      <c r="H857" s="903"/>
      <c r="I857" s="900"/>
      <c r="J857" s="900"/>
      <c r="K857" s="902"/>
      <c r="L857" s="904"/>
      <c r="M857" s="904"/>
      <c r="N857" s="905"/>
      <c r="O857" s="905"/>
      <c r="P857" s="906"/>
      <c r="Q857" s="906"/>
      <c r="R857" s="907"/>
      <c r="S857" s="908"/>
      <c r="T857" s="901"/>
      <c r="U857" s="902"/>
      <c r="V857" s="909"/>
      <c r="W857" s="909"/>
      <c r="X857" s="909"/>
      <c r="Y857" s="909"/>
      <c r="Z857" s="909"/>
      <c r="AA857" s="909"/>
      <c r="AB857" s="909"/>
      <c r="AC857" s="909"/>
      <c r="AD857" s="909"/>
    </row>
    <row r="858" s="141" customFormat="1" customHeight="1" spans="1:30">
      <c r="A858" s="900"/>
      <c r="B858" s="900"/>
      <c r="C858" s="900"/>
      <c r="D858" s="901"/>
      <c r="E858" s="901"/>
      <c r="F858" s="902"/>
      <c r="G858" s="902"/>
      <c r="H858" s="903"/>
      <c r="I858" s="900"/>
      <c r="J858" s="900"/>
      <c r="K858" s="902"/>
      <c r="L858" s="904"/>
      <c r="M858" s="904"/>
      <c r="N858" s="905"/>
      <c r="O858" s="905"/>
      <c r="P858" s="906"/>
      <c r="Q858" s="906"/>
      <c r="R858" s="907"/>
      <c r="S858" s="908"/>
      <c r="T858" s="901"/>
      <c r="U858" s="902"/>
      <c r="V858" s="909"/>
      <c r="W858" s="909"/>
      <c r="X858" s="909"/>
      <c r="Y858" s="909"/>
      <c r="Z858" s="909"/>
      <c r="AA858" s="909"/>
      <c r="AB858" s="909"/>
      <c r="AC858" s="909"/>
      <c r="AD858" s="909"/>
    </row>
    <row r="859" s="141" customFormat="1" customHeight="1" spans="1:30">
      <c r="A859" s="900"/>
      <c r="B859" s="900"/>
      <c r="C859" s="900"/>
      <c r="D859" s="901"/>
      <c r="E859" s="901"/>
      <c r="F859" s="902"/>
      <c r="G859" s="902"/>
      <c r="H859" s="903"/>
      <c r="I859" s="900"/>
      <c r="J859" s="900"/>
      <c r="K859" s="902"/>
      <c r="L859" s="904"/>
      <c r="M859" s="904"/>
      <c r="N859" s="905"/>
      <c r="O859" s="905"/>
      <c r="P859" s="906"/>
      <c r="Q859" s="906"/>
      <c r="R859" s="907"/>
      <c r="S859" s="908"/>
      <c r="T859" s="901"/>
      <c r="U859" s="902"/>
      <c r="V859" s="909"/>
      <c r="W859" s="909"/>
      <c r="X859" s="909"/>
      <c r="Y859" s="909"/>
      <c r="Z859" s="909"/>
      <c r="AA859" s="909"/>
      <c r="AB859" s="909"/>
      <c r="AC859" s="909"/>
      <c r="AD859" s="909"/>
    </row>
    <row r="860" s="141" customFormat="1" customHeight="1" spans="1:30">
      <c r="A860" s="900"/>
      <c r="B860" s="900"/>
      <c r="C860" s="900"/>
      <c r="D860" s="901"/>
      <c r="E860" s="901"/>
      <c r="F860" s="902"/>
      <c r="G860" s="902"/>
      <c r="H860" s="903"/>
      <c r="I860" s="900"/>
      <c r="J860" s="900"/>
      <c r="K860" s="902"/>
      <c r="L860" s="904"/>
      <c r="M860" s="904"/>
      <c r="N860" s="905"/>
      <c r="O860" s="905"/>
      <c r="P860" s="906"/>
      <c r="Q860" s="906"/>
      <c r="R860" s="907"/>
      <c r="S860" s="908"/>
      <c r="T860" s="901"/>
      <c r="U860" s="902"/>
      <c r="V860" s="909"/>
      <c r="W860" s="909"/>
      <c r="X860" s="909"/>
      <c r="Y860" s="909"/>
      <c r="Z860" s="909"/>
      <c r="AA860" s="909"/>
      <c r="AB860" s="909"/>
      <c r="AC860" s="909"/>
      <c r="AD860" s="909"/>
    </row>
    <row r="861" s="141" customFormat="1" customHeight="1" spans="1:30">
      <c r="A861" s="900"/>
      <c r="B861" s="900"/>
      <c r="C861" s="900"/>
      <c r="D861" s="901"/>
      <c r="E861" s="901"/>
      <c r="F861" s="902"/>
      <c r="G861" s="902"/>
      <c r="H861" s="903"/>
      <c r="I861" s="900"/>
      <c r="J861" s="900"/>
      <c r="K861" s="902"/>
      <c r="L861" s="904"/>
      <c r="M861" s="904"/>
      <c r="N861" s="905"/>
      <c r="O861" s="905"/>
      <c r="P861" s="906"/>
      <c r="Q861" s="906"/>
      <c r="R861" s="907"/>
      <c r="S861" s="908"/>
      <c r="T861" s="901"/>
      <c r="U861" s="902"/>
      <c r="V861" s="909"/>
      <c r="W861" s="909"/>
      <c r="X861" s="909"/>
      <c r="Y861" s="909"/>
      <c r="Z861" s="909"/>
      <c r="AA861" s="909"/>
      <c r="AB861" s="909"/>
      <c r="AC861" s="909"/>
      <c r="AD861" s="909"/>
    </row>
    <row r="862" s="141" customFormat="1" customHeight="1" spans="1:30">
      <c r="A862" s="900"/>
      <c r="B862" s="900"/>
      <c r="C862" s="900"/>
      <c r="D862" s="901"/>
      <c r="E862" s="901"/>
      <c r="F862" s="902"/>
      <c r="G862" s="902"/>
      <c r="H862" s="903"/>
      <c r="I862" s="900"/>
      <c r="J862" s="900"/>
      <c r="K862" s="902"/>
      <c r="L862" s="904"/>
      <c r="M862" s="904"/>
      <c r="N862" s="905"/>
      <c r="O862" s="905"/>
      <c r="P862" s="906"/>
      <c r="Q862" s="906"/>
      <c r="R862" s="907"/>
      <c r="S862" s="908"/>
      <c r="T862" s="901"/>
      <c r="U862" s="902"/>
      <c r="V862" s="909"/>
      <c r="W862" s="909"/>
      <c r="X862" s="909"/>
      <c r="Y862" s="909"/>
      <c r="Z862" s="909"/>
      <c r="AA862" s="909"/>
      <c r="AB862" s="909"/>
      <c r="AC862" s="909"/>
      <c r="AD862" s="909"/>
    </row>
    <row r="863" s="141" customFormat="1" customHeight="1" spans="1:30">
      <c r="A863" s="900"/>
      <c r="B863" s="900"/>
      <c r="C863" s="900"/>
      <c r="D863" s="901"/>
      <c r="E863" s="901"/>
      <c r="F863" s="902"/>
      <c r="G863" s="902"/>
      <c r="H863" s="903"/>
      <c r="I863" s="900"/>
      <c r="J863" s="900"/>
      <c r="K863" s="902"/>
      <c r="L863" s="904"/>
      <c r="M863" s="904"/>
      <c r="N863" s="905"/>
      <c r="O863" s="905"/>
      <c r="P863" s="906"/>
      <c r="Q863" s="906"/>
      <c r="R863" s="907"/>
      <c r="S863" s="908"/>
      <c r="T863" s="901"/>
      <c r="U863" s="902"/>
      <c r="V863" s="909"/>
      <c r="W863" s="909"/>
      <c r="X863" s="909"/>
      <c r="Y863" s="909"/>
      <c r="Z863" s="909"/>
      <c r="AA863" s="909"/>
      <c r="AB863" s="909"/>
      <c r="AC863" s="909"/>
      <c r="AD863" s="909"/>
    </row>
    <row r="864" s="141" customFormat="1" customHeight="1" spans="1:30">
      <c r="A864" s="900"/>
      <c r="B864" s="900"/>
      <c r="C864" s="900"/>
      <c r="D864" s="901"/>
      <c r="E864" s="901"/>
      <c r="F864" s="902"/>
      <c r="G864" s="902"/>
      <c r="H864" s="903"/>
      <c r="I864" s="900"/>
      <c r="J864" s="900"/>
      <c r="K864" s="902"/>
      <c r="L864" s="904"/>
      <c r="M864" s="904"/>
      <c r="N864" s="905"/>
      <c r="O864" s="905"/>
      <c r="P864" s="906"/>
      <c r="Q864" s="906"/>
      <c r="R864" s="907"/>
      <c r="S864" s="908"/>
      <c r="T864" s="901"/>
      <c r="U864" s="902"/>
      <c r="V864" s="909"/>
      <c r="W864" s="909"/>
      <c r="X864" s="909"/>
      <c r="Y864" s="909"/>
      <c r="Z864" s="909"/>
      <c r="AA864" s="909"/>
      <c r="AB864" s="909"/>
      <c r="AC864" s="909"/>
      <c r="AD864" s="909"/>
    </row>
    <row r="865" s="141" customFormat="1" customHeight="1" spans="1:30">
      <c r="A865" s="900"/>
      <c r="B865" s="900"/>
      <c r="C865" s="900"/>
      <c r="D865" s="901"/>
      <c r="E865" s="901"/>
      <c r="F865" s="902"/>
      <c r="G865" s="902"/>
      <c r="H865" s="903"/>
      <c r="I865" s="900"/>
      <c r="J865" s="900"/>
      <c r="K865" s="902"/>
      <c r="L865" s="904"/>
      <c r="M865" s="904"/>
      <c r="N865" s="905"/>
      <c r="O865" s="905"/>
      <c r="P865" s="906"/>
      <c r="Q865" s="906"/>
      <c r="R865" s="907"/>
      <c r="S865" s="908"/>
      <c r="T865" s="901"/>
      <c r="U865" s="902"/>
      <c r="V865" s="909"/>
      <c r="W865" s="909"/>
      <c r="X865" s="909"/>
      <c r="Y865" s="909"/>
      <c r="Z865" s="909"/>
      <c r="AA865" s="909"/>
      <c r="AB865" s="909"/>
      <c r="AC865" s="909"/>
      <c r="AD865" s="909"/>
    </row>
    <row r="866" s="141" customFormat="1" customHeight="1" spans="1:30">
      <c r="A866" s="900"/>
      <c r="B866" s="900"/>
      <c r="C866" s="900"/>
      <c r="D866" s="901"/>
      <c r="E866" s="901"/>
      <c r="F866" s="902"/>
      <c r="G866" s="902"/>
      <c r="H866" s="903"/>
      <c r="I866" s="900"/>
      <c r="J866" s="900"/>
      <c r="K866" s="902"/>
      <c r="L866" s="904"/>
      <c r="M866" s="904"/>
      <c r="N866" s="905"/>
      <c r="O866" s="905"/>
      <c r="P866" s="906"/>
      <c r="Q866" s="906"/>
      <c r="R866" s="907"/>
      <c r="S866" s="908"/>
      <c r="T866" s="901"/>
      <c r="U866" s="902"/>
      <c r="V866" s="909"/>
      <c r="W866" s="909"/>
      <c r="X866" s="909"/>
      <c r="Y866" s="909"/>
      <c r="Z866" s="909"/>
      <c r="AA866" s="909"/>
      <c r="AB866" s="909"/>
      <c r="AC866" s="909"/>
      <c r="AD866" s="909"/>
    </row>
    <row r="867" s="141" customFormat="1" customHeight="1" spans="1:30">
      <c r="A867" s="900"/>
      <c r="B867" s="900"/>
      <c r="C867" s="900"/>
      <c r="D867" s="901"/>
      <c r="E867" s="901"/>
      <c r="F867" s="902"/>
      <c r="G867" s="902"/>
      <c r="H867" s="903"/>
      <c r="I867" s="900"/>
      <c r="J867" s="900"/>
      <c r="K867" s="902"/>
      <c r="L867" s="904"/>
      <c r="M867" s="904"/>
      <c r="N867" s="905"/>
      <c r="O867" s="905"/>
      <c r="P867" s="906"/>
      <c r="Q867" s="906"/>
      <c r="R867" s="907"/>
      <c r="S867" s="908"/>
      <c r="T867" s="901"/>
      <c r="U867" s="902"/>
      <c r="V867" s="909"/>
      <c r="W867" s="909"/>
      <c r="X867" s="909"/>
      <c r="Y867" s="909"/>
      <c r="Z867" s="909"/>
      <c r="AA867" s="909"/>
      <c r="AB867" s="909"/>
      <c r="AC867" s="909"/>
      <c r="AD867" s="909"/>
    </row>
    <row r="868" s="141" customFormat="1" customHeight="1" spans="1:30">
      <c r="A868" s="900"/>
      <c r="B868" s="900"/>
      <c r="C868" s="900"/>
      <c r="D868" s="901"/>
      <c r="E868" s="901"/>
      <c r="F868" s="902"/>
      <c r="G868" s="902"/>
      <c r="H868" s="903"/>
      <c r="I868" s="900"/>
      <c r="J868" s="900"/>
      <c r="K868" s="902"/>
      <c r="L868" s="904"/>
      <c r="M868" s="904"/>
      <c r="N868" s="905"/>
      <c r="O868" s="905"/>
      <c r="P868" s="906"/>
      <c r="Q868" s="906"/>
      <c r="R868" s="907"/>
      <c r="S868" s="908"/>
      <c r="T868" s="901"/>
      <c r="U868" s="902"/>
      <c r="V868" s="909"/>
      <c r="W868" s="909"/>
      <c r="X868" s="909"/>
      <c r="Y868" s="909"/>
      <c r="Z868" s="909"/>
      <c r="AA868" s="909"/>
      <c r="AB868" s="909"/>
      <c r="AC868" s="909"/>
      <c r="AD868" s="909"/>
    </row>
    <row r="869" s="141" customFormat="1" customHeight="1" spans="1:30">
      <c r="A869" s="900"/>
      <c r="B869" s="900"/>
      <c r="C869" s="900"/>
      <c r="D869" s="901"/>
      <c r="E869" s="901"/>
      <c r="F869" s="902"/>
      <c r="G869" s="902"/>
      <c r="H869" s="903"/>
      <c r="I869" s="900"/>
      <c r="J869" s="900"/>
      <c r="K869" s="902"/>
      <c r="L869" s="904"/>
      <c r="M869" s="904"/>
      <c r="N869" s="905"/>
      <c r="O869" s="905"/>
      <c r="P869" s="906"/>
      <c r="Q869" s="906"/>
      <c r="R869" s="907"/>
      <c r="S869" s="908"/>
      <c r="T869" s="901"/>
      <c r="U869" s="902"/>
      <c r="V869" s="909"/>
      <c r="W869" s="909"/>
      <c r="X869" s="909"/>
      <c r="Y869" s="909"/>
      <c r="Z869" s="909"/>
      <c r="AA869" s="909"/>
      <c r="AB869" s="909"/>
      <c r="AC869" s="909"/>
      <c r="AD869" s="909"/>
    </row>
    <row r="870" s="141" customFormat="1" customHeight="1" spans="1:30">
      <c r="A870" s="900"/>
      <c r="B870" s="900"/>
      <c r="C870" s="900"/>
      <c r="D870" s="901"/>
      <c r="E870" s="901"/>
      <c r="F870" s="902"/>
      <c r="G870" s="902"/>
      <c r="H870" s="903"/>
      <c r="I870" s="900"/>
      <c r="J870" s="900"/>
      <c r="K870" s="902"/>
      <c r="L870" s="904"/>
      <c r="M870" s="904"/>
      <c r="N870" s="905"/>
      <c r="O870" s="905"/>
      <c r="P870" s="906"/>
      <c r="Q870" s="906"/>
      <c r="R870" s="907"/>
      <c r="S870" s="908"/>
      <c r="T870" s="901"/>
      <c r="U870" s="902"/>
      <c r="V870" s="909"/>
      <c r="W870" s="909"/>
      <c r="X870" s="909"/>
      <c r="Y870" s="909"/>
      <c r="Z870" s="909"/>
      <c r="AA870" s="909"/>
      <c r="AB870" s="909"/>
      <c r="AC870" s="909"/>
      <c r="AD870" s="909"/>
    </row>
    <row r="871" s="141" customFormat="1" customHeight="1" spans="1:30">
      <c r="A871" s="900"/>
      <c r="B871" s="900"/>
      <c r="C871" s="900"/>
      <c r="D871" s="901"/>
      <c r="E871" s="901"/>
      <c r="F871" s="902"/>
      <c r="G871" s="902"/>
      <c r="H871" s="903"/>
      <c r="I871" s="900"/>
      <c r="J871" s="900"/>
      <c r="K871" s="902"/>
      <c r="L871" s="904"/>
      <c r="M871" s="904"/>
      <c r="N871" s="905"/>
      <c r="O871" s="905"/>
      <c r="P871" s="906"/>
      <c r="Q871" s="906"/>
      <c r="R871" s="907"/>
      <c r="S871" s="908"/>
      <c r="T871" s="901"/>
      <c r="U871" s="902"/>
      <c r="V871" s="909"/>
      <c r="W871" s="909"/>
      <c r="X871" s="909"/>
      <c r="Y871" s="909"/>
      <c r="Z871" s="909"/>
      <c r="AA871" s="909"/>
      <c r="AB871" s="909"/>
      <c r="AC871" s="909"/>
      <c r="AD871" s="909"/>
    </row>
    <row r="872" s="141" customFormat="1" customHeight="1" spans="1:30">
      <c r="A872" s="900"/>
      <c r="B872" s="900"/>
      <c r="C872" s="900"/>
      <c r="D872" s="901"/>
      <c r="E872" s="901"/>
      <c r="F872" s="902"/>
      <c r="G872" s="902"/>
      <c r="H872" s="903"/>
      <c r="I872" s="900"/>
      <c r="J872" s="900"/>
      <c r="K872" s="902"/>
      <c r="L872" s="904"/>
      <c r="M872" s="904"/>
      <c r="N872" s="905"/>
      <c r="O872" s="905"/>
      <c r="P872" s="906"/>
      <c r="Q872" s="906"/>
      <c r="R872" s="907"/>
      <c r="S872" s="908"/>
      <c r="T872" s="901"/>
      <c r="U872" s="902"/>
      <c r="V872" s="909"/>
      <c r="W872" s="909"/>
      <c r="X872" s="909"/>
      <c r="Y872" s="909"/>
      <c r="Z872" s="909"/>
      <c r="AA872" s="909"/>
      <c r="AB872" s="909"/>
      <c r="AC872" s="909"/>
      <c r="AD872" s="909"/>
    </row>
    <row r="873" s="141" customFormat="1" customHeight="1" spans="1:30">
      <c r="A873" s="900"/>
      <c r="B873" s="900"/>
      <c r="C873" s="900"/>
      <c r="D873" s="901"/>
      <c r="E873" s="901"/>
      <c r="F873" s="902"/>
      <c r="G873" s="902"/>
      <c r="H873" s="903"/>
      <c r="I873" s="900"/>
      <c r="J873" s="900"/>
      <c r="K873" s="902"/>
      <c r="L873" s="904"/>
      <c r="M873" s="904"/>
      <c r="N873" s="905"/>
      <c r="O873" s="905"/>
      <c r="P873" s="906"/>
      <c r="Q873" s="906"/>
      <c r="R873" s="907"/>
      <c r="S873" s="908"/>
      <c r="T873" s="901"/>
      <c r="U873" s="902"/>
      <c r="V873" s="909"/>
      <c r="W873" s="909"/>
      <c r="X873" s="909"/>
      <c r="Y873" s="909"/>
      <c r="Z873" s="909"/>
      <c r="AA873" s="909"/>
      <c r="AB873" s="909"/>
      <c r="AC873" s="909"/>
      <c r="AD873" s="909"/>
    </row>
    <row r="874" s="141" customFormat="1" customHeight="1" spans="1:30">
      <c r="A874" s="900"/>
      <c r="B874" s="900"/>
      <c r="C874" s="900"/>
      <c r="D874" s="901"/>
      <c r="E874" s="901"/>
      <c r="F874" s="902"/>
      <c r="G874" s="902"/>
      <c r="H874" s="903"/>
      <c r="I874" s="900"/>
      <c r="J874" s="900"/>
      <c r="K874" s="902"/>
      <c r="L874" s="904"/>
      <c r="M874" s="904"/>
      <c r="N874" s="905"/>
      <c r="O874" s="905"/>
      <c r="P874" s="906"/>
      <c r="Q874" s="906"/>
      <c r="R874" s="907"/>
      <c r="S874" s="908"/>
      <c r="T874" s="901"/>
      <c r="U874" s="902"/>
      <c r="V874" s="909"/>
      <c r="W874" s="909"/>
      <c r="X874" s="909"/>
      <c r="Y874" s="909"/>
      <c r="Z874" s="909"/>
      <c r="AA874" s="909"/>
      <c r="AB874" s="909"/>
      <c r="AC874" s="909"/>
      <c r="AD874" s="909"/>
    </row>
    <row r="875" s="141" customFormat="1" customHeight="1" spans="1:30">
      <c r="A875" s="900"/>
      <c r="B875" s="900"/>
      <c r="C875" s="900"/>
      <c r="D875" s="901"/>
      <c r="E875" s="901"/>
      <c r="F875" s="902"/>
      <c r="G875" s="902"/>
      <c r="H875" s="903"/>
      <c r="I875" s="900"/>
      <c r="J875" s="900"/>
      <c r="K875" s="902"/>
      <c r="L875" s="904"/>
      <c r="M875" s="904"/>
      <c r="N875" s="905"/>
      <c r="O875" s="905"/>
      <c r="P875" s="906"/>
      <c r="Q875" s="906"/>
      <c r="R875" s="907"/>
      <c r="S875" s="908"/>
      <c r="T875" s="901"/>
      <c r="U875" s="902"/>
      <c r="V875" s="909"/>
      <c r="W875" s="909"/>
      <c r="X875" s="909"/>
      <c r="Y875" s="909"/>
      <c r="Z875" s="909"/>
      <c r="AA875" s="909"/>
      <c r="AB875" s="909"/>
      <c r="AC875" s="909"/>
      <c r="AD875" s="909"/>
    </row>
    <row r="876" s="141" customFormat="1" customHeight="1" spans="1:30">
      <c r="A876" s="900"/>
      <c r="B876" s="900"/>
      <c r="C876" s="900"/>
      <c r="D876" s="901"/>
      <c r="E876" s="901"/>
      <c r="F876" s="902"/>
      <c r="G876" s="902"/>
      <c r="H876" s="903"/>
      <c r="I876" s="900"/>
      <c r="J876" s="900"/>
      <c r="K876" s="902"/>
      <c r="L876" s="904"/>
      <c r="M876" s="904"/>
      <c r="N876" s="905"/>
      <c r="O876" s="905"/>
      <c r="P876" s="906"/>
      <c r="Q876" s="906"/>
      <c r="R876" s="907"/>
      <c r="S876" s="908"/>
      <c r="T876" s="901"/>
      <c r="U876" s="902"/>
      <c r="V876" s="909"/>
      <c r="W876" s="909"/>
      <c r="X876" s="909"/>
      <c r="Y876" s="909"/>
      <c r="Z876" s="909"/>
      <c r="AA876" s="909"/>
      <c r="AB876" s="909"/>
      <c r="AC876" s="909"/>
      <c r="AD876" s="909"/>
    </row>
    <row r="877" s="141" customFormat="1" customHeight="1" spans="1:30">
      <c r="A877" s="900"/>
      <c r="B877" s="900"/>
      <c r="C877" s="900"/>
      <c r="D877" s="901"/>
      <c r="E877" s="901"/>
      <c r="F877" s="902"/>
      <c r="G877" s="902"/>
      <c r="H877" s="903"/>
      <c r="I877" s="900"/>
      <c r="J877" s="900"/>
      <c r="K877" s="902"/>
      <c r="L877" s="904"/>
      <c r="M877" s="904"/>
      <c r="N877" s="905"/>
      <c r="O877" s="905"/>
      <c r="P877" s="906"/>
      <c r="Q877" s="906"/>
      <c r="R877" s="907"/>
      <c r="S877" s="908"/>
      <c r="T877" s="901"/>
      <c r="U877" s="902"/>
      <c r="V877" s="909"/>
      <c r="W877" s="909"/>
      <c r="X877" s="909"/>
      <c r="Y877" s="909"/>
      <c r="Z877" s="909"/>
      <c r="AA877" s="909"/>
      <c r="AB877" s="909"/>
      <c r="AC877" s="909"/>
      <c r="AD877" s="909"/>
    </row>
    <row r="878" s="141" customFormat="1" customHeight="1" spans="1:30">
      <c r="A878" s="900"/>
      <c r="B878" s="900"/>
      <c r="C878" s="900"/>
      <c r="D878" s="901"/>
      <c r="E878" s="901"/>
      <c r="F878" s="902"/>
      <c r="G878" s="902"/>
      <c r="H878" s="903"/>
      <c r="I878" s="900"/>
      <c r="J878" s="900"/>
      <c r="K878" s="902"/>
      <c r="L878" s="904"/>
      <c r="M878" s="904"/>
      <c r="N878" s="905"/>
      <c r="O878" s="905"/>
      <c r="P878" s="906"/>
      <c r="Q878" s="906"/>
      <c r="R878" s="907"/>
      <c r="S878" s="908"/>
      <c r="T878" s="901"/>
      <c r="U878" s="902"/>
      <c r="V878" s="909"/>
      <c r="W878" s="909"/>
      <c r="X878" s="909"/>
      <c r="Y878" s="909"/>
      <c r="Z878" s="909"/>
      <c r="AA878" s="909"/>
      <c r="AB878" s="909"/>
      <c r="AC878" s="909"/>
      <c r="AD878" s="909"/>
    </row>
    <row r="879" s="141" customFormat="1" customHeight="1" spans="1:30">
      <c r="A879" s="900"/>
      <c r="B879" s="900"/>
      <c r="C879" s="900"/>
      <c r="D879" s="901"/>
      <c r="E879" s="901"/>
      <c r="F879" s="902"/>
      <c r="G879" s="902"/>
      <c r="H879" s="903"/>
      <c r="I879" s="900"/>
      <c r="J879" s="900"/>
      <c r="K879" s="902"/>
      <c r="L879" s="904"/>
      <c r="M879" s="904"/>
      <c r="N879" s="905"/>
      <c r="O879" s="905"/>
      <c r="P879" s="906"/>
      <c r="Q879" s="906"/>
      <c r="R879" s="907"/>
      <c r="S879" s="908"/>
      <c r="T879" s="901"/>
      <c r="U879" s="902"/>
      <c r="V879" s="909"/>
      <c r="W879" s="909"/>
      <c r="X879" s="909"/>
      <c r="Y879" s="909"/>
      <c r="Z879" s="909"/>
      <c r="AA879" s="909"/>
      <c r="AB879" s="909"/>
      <c r="AC879" s="909"/>
      <c r="AD879" s="909"/>
    </row>
    <row r="880" s="141" customFormat="1" customHeight="1" spans="1:30">
      <c r="A880" s="900"/>
      <c r="B880" s="900"/>
      <c r="C880" s="900"/>
      <c r="D880" s="901"/>
      <c r="E880" s="901"/>
      <c r="F880" s="902"/>
      <c r="G880" s="902"/>
      <c r="H880" s="903"/>
      <c r="I880" s="900"/>
      <c r="J880" s="900"/>
      <c r="K880" s="902"/>
      <c r="L880" s="904"/>
      <c r="M880" s="904"/>
      <c r="N880" s="905"/>
      <c r="O880" s="905"/>
      <c r="P880" s="906"/>
      <c r="Q880" s="906"/>
      <c r="R880" s="907"/>
      <c r="S880" s="908"/>
      <c r="T880" s="901"/>
      <c r="U880" s="902"/>
      <c r="V880" s="909"/>
      <c r="W880" s="909"/>
      <c r="X880" s="909"/>
      <c r="Y880" s="909"/>
      <c r="Z880" s="909"/>
      <c r="AA880" s="909"/>
      <c r="AB880" s="909"/>
      <c r="AC880" s="909"/>
      <c r="AD880" s="909"/>
    </row>
    <row r="881" s="141" customFormat="1" customHeight="1" spans="1:30">
      <c r="A881" s="900"/>
      <c r="B881" s="900"/>
      <c r="C881" s="900"/>
      <c r="D881" s="901"/>
      <c r="E881" s="901"/>
      <c r="F881" s="902"/>
      <c r="G881" s="902"/>
      <c r="H881" s="903"/>
      <c r="I881" s="900"/>
      <c r="J881" s="900"/>
      <c r="K881" s="902"/>
      <c r="L881" s="904"/>
      <c r="M881" s="904"/>
      <c r="N881" s="905"/>
      <c r="O881" s="905"/>
      <c r="P881" s="906"/>
      <c r="Q881" s="906"/>
      <c r="R881" s="907"/>
      <c r="S881" s="908"/>
      <c r="T881" s="901"/>
      <c r="U881" s="902"/>
      <c r="V881" s="909"/>
      <c r="W881" s="909"/>
      <c r="X881" s="909"/>
      <c r="Y881" s="909"/>
      <c r="Z881" s="909"/>
      <c r="AA881" s="909"/>
      <c r="AB881" s="909"/>
      <c r="AC881" s="909"/>
      <c r="AD881" s="909"/>
    </row>
    <row r="882" s="141" customFormat="1" customHeight="1" spans="1:30">
      <c r="A882" s="900"/>
      <c r="B882" s="900"/>
      <c r="C882" s="900"/>
      <c r="D882" s="901"/>
      <c r="E882" s="901"/>
      <c r="F882" s="902"/>
      <c r="G882" s="902"/>
      <c r="H882" s="903"/>
      <c r="I882" s="900"/>
      <c r="J882" s="900"/>
      <c r="K882" s="902"/>
      <c r="L882" s="904"/>
      <c r="M882" s="904"/>
      <c r="N882" s="905"/>
      <c r="O882" s="905"/>
      <c r="P882" s="906"/>
      <c r="Q882" s="906"/>
      <c r="R882" s="907"/>
      <c r="S882" s="908"/>
      <c r="T882" s="901"/>
      <c r="U882" s="902"/>
      <c r="V882" s="909"/>
      <c r="W882" s="909"/>
      <c r="X882" s="909"/>
      <c r="Y882" s="909"/>
      <c r="Z882" s="909"/>
      <c r="AA882" s="909"/>
      <c r="AB882" s="909"/>
      <c r="AC882" s="909"/>
      <c r="AD882" s="909"/>
    </row>
    <row r="883" s="141" customFormat="1" customHeight="1" spans="1:30">
      <c r="A883" s="900"/>
      <c r="B883" s="900"/>
      <c r="C883" s="900"/>
      <c r="D883" s="901"/>
      <c r="E883" s="901"/>
      <c r="F883" s="902"/>
      <c r="G883" s="902"/>
      <c r="H883" s="903"/>
      <c r="I883" s="900"/>
      <c r="J883" s="900"/>
      <c r="K883" s="902"/>
      <c r="L883" s="904"/>
      <c r="M883" s="904"/>
      <c r="N883" s="905"/>
      <c r="O883" s="905"/>
      <c r="P883" s="906"/>
      <c r="Q883" s="906"/>
      <c r="R883" s="907"/>
      <c r="S883" s="908"/>
      <c r="T883" s="901"/>
      <c r="U883" s="902"/>
      <c r="V883" s="909"/>
      <c r="W883" s="909"/>
      <c r="X883" s="909"/>
      <c r="Y883" s="909"/>
      <c r="Z883" s="909"/>
      <c r="AA883" s="909"/>
      <c r="AB883" s="909"/>
      <c r="AC883" s="909"/>
      <c r="AD883" s="909"/>
    </row>
    <row r="884" s="141" customFormat="1" customHeight="1" spans="1:30">
      <c r="A884" s="900"/>
      <c r="B884" s="900"/>
      <c r="C884" s="900"/>
      <c r="D884" s="901"/>
      <c r="E884" s="901"/>
      <c r="F884" s="902"/>
      <c r="G884" s="902"/>
      <c r="H884" s="903"/>
      <c r="I884" s="900"/>
      <c r="J884" s="900"/>
      <c r="K884" s="902"/>
      <c r="L884" s="904"/>
      <c r="M884" s="904"/>
      <c r="N884" s="905"/>
      <c r="O884" s="905"/>
      <c r="P884" s="906"/>
      <c r="Q884" s="906"/>
      <c r="R884" s="907"/>
      <c r="S884" s="908"/>
      <c r="T884" s="901"/>
      <c r="U884" s="902"/>
      <c r="V884" s="909"/>
      <c r="W884" s="909"/>
      <c r="X884" s="909"/>
      <c r="Y884" s="909"/>
      <c r="Z884" s="909"/>
      <c r="AA884" s="909"/>
      <c r="AB884" s="909"/>
      <c r="AC884" s="909"/>
      <c r="AD884" s="909"/>
    </row>
    <row r="885" s="141" customFormat="1" customHeight="1" spans="1:30">
      <c r="A885" s="900"/>
      <c r="B885" s="900"/>
      <c r="C885" s="900"/>
      <c r="D885" s="901"/>
      <c r="E885" s="901"/>
      <c r="F885" s="902"/>
      <c r="G885" s="902"/>
      <c r="H885" s="903"/>
      <c r="I885" s="900"/>
      <c r="J885" s="900"/>
      <c r="K885" s="902"/>
      <c r="L885" s="904"/>
      <c r="M885" s="904"/>
      <c r="N885" s="905"/>
      <c r="O885" s="905"/>
      <c r="P885" s="906"/>
      <c r="Q885" s="906"/>
      <c r="R885" s="907"/>
      <c r="S885" s="908"/>
      <c r="T885" s="901"/>
      <c r="U885" s="902"/>
      <c r="V885" s="909"/>
      <c r="W885" s="909"/>
      <c r="X885" s="909"/>
      <c r="Y885" s="909"/>
      <c r="Z885" s="909"/>
      <c r="AA885" s="909"/>
      <c r="AB885" s="909"/>
      <c r="AC885" s="909"/>
      <c r="AD885" s="909"/>
    </row>
    <row r="886" s="141" customFormat="1" customHeight="1" spans="1:30">
      <c r="A886" s="900"/>
      <c r="B886" s="900"/>
      <c r="C886" s="900"/>
      <c r="D886" s="901"/>
      <c r="E886" s="901"/>
      <c r="F886" s="902"/>
      <c r="G886" s="902"/>
      <c r="H886" s="903"/>
      <c r="I886" s="900"/>
      <c r="J886" s="900"/>
      <c r="K886" s="902"/>
      <c r="L886" s="904"/>
      <c r="M886" s="904"/>
      <c r="N886" s="905"/>
      <c r="O886" s="905"/>
      <c r="P886" s="906"/>
      <c r="Q886" s="906"/>
      <c r="R886" s="907"/>
      <c r="S886" s="908"/>
      <c r="T886" s="901"/>
      <c r="U886" s="902"/>
      <c r="V886" s="909"/>
      <c r="W886" s="909"/>
      <c r="X886" s="909"/>
      <c r="Y886" s="909"/>
      <c r="Z886" s="909"/>
      <c r="AA886" s="909"/>
      <c r="AB886" s="909"/>
      <c r="AC886" s="909"/>
      <c r="AD886" s="909"/>
    </row>
    <row r="887" s="141" customFormat="1" customHeight="1" spans="1:30">
      <c r="A887" s="900"/>
      <c r="B887" s="900"/>
      <c r="C887" s="900"/>
      <c r="D887" s="901"/>
      <c r="E887" s="901"/>
      <c r="F887" s="902"/>
      <c r="G887" s="902"/>
      <c r="H887" s="903"/>
      <c r="I887" s="900"/>
      <c r="J887" s="900"/>
      <c r="K887" s="902"/>
      <c r="L887" s="904"/>
      <c r="M887" s="904"/>
      <c r="N887" s="905"/>
      <c r="O887" s="905"/>
      <c r="P887" s="906"/>
      <c r="Q887" s="906"/>
      <c r="R887" s="907"/>
      <c r="S887" s="908"/>
      <c r="T887" s="901"/>
      <c r="U887" s="902"/>
      <c r="V887" s="909"/>
      <c r="W887" s="909"/>
      <c r="X887" s="909"/>
      <c r="Y887" s="909"/>
      <c r="Z887" s="909"/>
      <c r="AA887" s="909"/>
      <c r="AB887" s="909"/>
      <c r="AC887" s="909"/>
      <c r="AD887" s="909"/>
    </row>
    <row r="888" s="141" customFormat="1" customHeight="1" spans="1:30">
      <c r="A888" s="900"/>
      <c r="B888" s="900"/>
      <c r="C888" s="900"/>
      <c r="D888" s="901"/>
      <c r="E888" s="901"/>
      <c r="F888" s="902"/>
      <c r="G888" s="902"/>
      <c r="H888" s="903"/>
      <c r="I888" s="900"/>
      <c r="J888" s="900"/>
      <c r="K888" s="902"/>
      <c r="L888" s="904"/>
      <c r="M888" s="904"/>
      <c r="N888" s="905"/>
      <c r="O888" s="905"/>
      <c r="P888" s="906"/>
      <c r="Q888" s="906"/>
      <c r="R888" s="907"/>
      <c r="S888" s="908"/>
      <c r="T888" s="901"/>
      <c r="U888" s="902"/>
      <c r="V888" s="909"/>
      <c r="W888" s="909"/>
      <c r="X888" s="909"/>
      <c r="Y888" s="909"/>
      <c r="Z888" s="909"/>
      <c r="AA888" s="909"/>
      <c r="AB888" s="909"/>
      <c r="AC888" s="909"/>
      <c r="AD888" s="909"/>
    </row>
    <row r="889" s="141" customFormat="1" customHeight="1" spans="1:30">
      <c r="A889" s="900"/>
      <c r="B889" s="900"/>
      <c r="C889" s="900"/>
      <c r="D889" s="901"/>
      <c r="E889" s="901"/>
      <c r="F889" s="902"/>
      <c r="G889" s="902"/>
      <c r="H889" s="903"/>
      <c r="I889" s="900"/>
      <c r="J889" s="900"/>
      <c r="K889" s="902"/>
      <c r="L889" s="904"/>
      <c r="M889" s="904"/>
      <c r="N889" s="905"/>
      <c r="O889" s="905"/>
      <c r="P889" s="906"/>
      <c r="Q889" s="906"/>
      <c r="R889" s="907"/>
      <c r="S889" s="908"/>
      <c r="T889" s="901"/>
      <c r="U889" s="902"/>
      <c r="V889" s="909"/>
      <c r="W889" s="909"/>
      <c r="X889" s="909"/>
      <c r="Y889" s="909"/>
      <c r="Z889" s="909"/>
      <c r="AA889" s="909"/>
      <c r="AB889" s="909"/>
      <c r="AC889" s="909"/>
      <c r="AD889" s="909"/>
    </row>
    <row r="890" s="141" customFormat="1" customHeight="1" spans="1:30">
      <c r="A890" s="900"/>
      <c r="B890" s="900"/>
      <c r="C890" s="900"/>
      <c r="D890" s="901"/>
      <c r="E890" s="901"/>
      <c r="F890" s="902"/>
      <c r="G890" s="902"/>
      <c r="H890" s="903"/>
      <c r="I890" s="900"/>
      <c r="J890" s="900"/>
      <c r="K890" s="902"/>
      <c r="L890" s="904"/>
      <c r="M890" s="904"/>
      <c r="N890" s="905"/>
      <c r="O890" s="905"/>
      <c r="P890" s="906"/>
      <c r="Q890" s="906"/>
      <c r="R890" s="907"/>
      <c r="S890" s="908"/>
      <c r="T890" s="901"/>
      <c r="U890" s="902"/>
      <c r="V890" s="909"/>
      <c r="W890" s="909"/>
      <c r="X890" s="909"/>
      <c r="Y890" s="909"/>
      <c r="Z890" s="909"/>
      <c r="AA890" s="909"/>
      <c r="AB890" s="909"/>
      <c r="AC890" s="909"/>
      <c r="AD890" s="909"/>
    </row>
    <row r="891" s="141" customFormat="1" customHeight="1" spans="1:30">
      <c r="A891" s="900"/>
      <c r="B891" s="900"/>
      <c r="C891" s="900"/>
      <c r="D891" s="901"/>
      <c r="E891" s="901"/>
      <c r="F891" s="902"/>
      <c r="G891" s="902"/>
      <c r="H891" s="903"/>
      <c r="I891" s="900"/>
      <c r="J891" s="900"/>
      <c r="K891" s="902"/>
      <c r="L891" s="904"/>
      <c r="M891" s="904"/>
      <c r="N891" s="905"/>
      <c r="O891" s="905"/>
      <c r="P891" s="906"/>
      <c r="Q891" s="906"/>
      <c r="R891" s="907"/>
      <c r="S891" s="908"/>
      <c r="T891" s="901"/>
      <c r="U891" s="902"/>
      <c r="V891" s="909"/>
      <c r="W891" s="909"/>
      <c r="X891" s="909"/>
      <c r="Y891" s="909"/>
      <c r="Z891" s="909"/>
      <c r="AA891" s="909"/>
      <c r="AB891" s="909"/>
      <c r="AC891" s="909"/>
      <c r="AD891" s="909"/>
    </row>
    <row r="892" s="141" customFormat="1" customHeight="1" spans="1:30">
      <c r="A892" s="900"/>
      <c r="B892" s="900"/>
      <c r="C892" s="900"/>
      <c r="D892" s="901"/>
      <c r="E892" s="901"/>
      <c r="F892" s="902"/>
      <c r="G892" s="902"/>
      <c r="H892" s="903"/>
      <c r="I892" s="900"/>
      <c r="J892" s="900"/>
      <c r="K892" s="902"/>
      <c r="L892" s="904"/>
      <c r="M892" s="904"/>
      <c r="N892" s="905"/>
      <c r="O892" s="905"/>
      <c r="P892" s="906"/>
      <c r="Q892" s="906"/>
      <c r="R892" s="907"/>
      <c r="S892" s="908"/>
      <c r="T892" s="901"/>
      <c r="U892" s="902"/>
      <c r="V892" s="909"/>
      <c r="W892" s="909"/>
      <c r="X892" s="909"/>
      <c r="Y892" s="909"/>
      <c r="Z892" s="909"/>
      <c r="AA892" s="909"/>
      <c r="AB892" s="909"/>
      <c r="AC892" s="909"/>
      <c r="AD892" s="909"/>
    </row>
    <row r="893" s="141" customFormat="1" customHeight="1" spans="1:30">
      <c r="A893" s="900"/>
      <c r="B893" s="900"/>
      <c r="C893" s="900"/>
      <c r="D893" s="901"/>
      <c r="E893" s="901"/>
      <c r="F893" s="902"/>
      <c r="G893" s="902"/>
      <c r="H893" s="903"/>
      <c r="I893" s="900"/>
      <c r="J893" s="900"/>
      <c r="K893" s="902"/>
      <c r="L893" s="904"/>
      <c r="M893" s="904"/>
      <c r="N893" s="905"/>
      <c r="O893" s="905"/>
      <c r="P893" s="906"/>
      <c r="Q893" s="906"/>
      <c r="R893" s="907"/>
      <c r="S893" s="908"/>
      <c r="T893" s="901"/>
      <c r="U893" s="902"/>
      <c r="V893" s="909"/>
      <c r="W893" s="909"/>
      <c r="X893" s="909"/>
      <c r="Y893" s="909"/>
      <c r="Z893" s="909"/>
      <c r="AA893" s="909"/>
      <c r="AB893" s="909"/>
      <c r="AC893" s="909"/>
      <c r="AD893" s="909"/>
    </row>
    <row r="894" s="141" customFormat="1" customHeight="1" spans="1:30">
      <c r="A894" s="900"/>
      <c r="B894" s="900"/>
      <c r="C894" s="900"/>
      <c r="D894" s="901"/>
      <c r="E894" s="901"/>
      <c r="F894" s="902"/>
      <c r="G894" s="902"/>
      <c r="H894" s="903"/>
      <c r="I894" s="900"/>
      <c r="J894" s="900"/>
      <c r="K894" s="902"/>
      <c r="L894" s="904"/>
      <c r="M894" s="904"/>
      <c r="N894" s="905"/>
      <c r="O894" s="905"/>
      <c r="P894" s="906"/>
      <c r="Q894" s="906"/>
      <c r="R894" s="907"/>
      <c r="S894" s="908"/>
      <c r="T894" s="901"/>
      <c r="U894" s="902"/>
      <c r="V894" s="909"/>
      <c r="W894" s="909"/>
      <c r="X894" s="909"/>
      <c r="Y894" s="909"/>
      <c r="Z894" s="909"/>
      <c r="AA894" s="909"/>
      <c r="AB894" s="909"/>
      <c r="AC894" s="909"/>
      <c r="AD894" s="909"/>
    </row>
    <row r="895" s="141" customFormat="1" customHeight="1" spans="1:30">
      <c r="A895" s="900"/>
      <c r="B895" s="900"/>
      <c r="C895" s="900"/>
      <c r="D895" s="901"/>
      <c r="E895" s="901"/>
      <c r="F895" s="902"/>
      <c r="G895" s="902"/>
      <c r="H895" s="903"/>
      <c r="I895" s="900"/>
      <c r="J895" s="900"/>
      <c r="K895" s="902"/>
      <c r="L895" s="904"/>
      <c r="M895" s="904"/>
      <c r="N895" s="905"/>
      <c r="O895" s="905"/>
      <c r="P895" s="906"/>
      <c r="Q895" s="906"/>
      <c r="R895" s="907"/>
      <c r="S895" s="908"/>
      <c r="T895" s="901"/>
      <c r="U895" s="902"/>
      <c r="V895" s="909"/>
      <c r="W895" s="909"/>
      <c r="X895" s="909"/>
      <c r="Y895" s="909"/>
      <c r="Z895" s="909"/>
      <c r="AA895" s="909"/>
      <c r="AB895" s="909"/>
      <c r="AC895" s="909"/>
      <c r="AD895" s="909"/>
    </row>
    <row r="896" s="141" customFormat="1" customHeight="1" spans="1:30">
      <c r="A896" s="900"/>
      <c r="B896" s="900"/>
      <c r="C896" s="900"/>
      <c r="D896" s="901"/>
      <c r="E896" s="901"/>
      <c r="F896" s="902"/>
      <c r="G896" s="902"/>
      <c r="H896" s="903"/>
      <c r="I896" s="900"/>
      <c r="J896" s="900"/>
      <c r="K896" s="902"/>
      <c r="L896" s="904"/>
      <c r="M896" s="904"/>
      <c r="N896" s="905"/>
      <c r="O896" s="905"/>
      <c r="P896" s="906"/>
      <c r="Q896" s="906"/>
      <c r="R896" s="907"/>
      <c r="S896" s="908"/>
      <c r="T896" s="901"/>
      <c r="U896" s="902"/>
      <c r="V896" s="909"/>
      <c r="W896" s="909"/>
      <c r="X896" s="909"/>
      <c r="Y896" s="909"/>
      <c r="Z896" s="909"/>
      <c r="AA896" s="909"/>
      <c r="AB896" s="909"/>
      <c r="AC896" s="909"/>
      <c r="AD896" s="909"/>
    </row>
    <row r="897" s="141" customFormat="1" customHeight="1" spans="1:30">
      <c r="A897" s="900"/>
      <c r="B897" s="900"/>
      <c r="C897" s="900"/>
      <c r="D897" s="901"/>
      <c r="E897" s="901"/>
      <c r="F897" s="902"/>
      <c r="G897" s="902"/>
      <c r="H897" s="903"/>
      <c r="I897" s="900"/>
      <c r="J897" s="900"/>
      <c r="K897" s="902"/>
      <c r="L897" s="904"/>
      <c r="M897" s="904"/>
      <c r="N897" s="905"/>
      <c r="O897" s="905"/>
      <c r="P897" s="906"/>
      <c r="Q897" s="906"/>
      <c r="R897" s="907"/>
      <c r="S897" s="908"/>
      <c r="T897" s="901"/>
      <c r="U897" s="902"/>
      <c r="V897" s="909"/>
      <c r="W897" s="909"/>
      <c r="X897" s="909"/>
      <c r="Y897" s="909"/>
      <c r="Z897" s="909"/>
      <c r="AA897" s="909"/>
      <c r="AB897" s="909"/>
      <c r="AC897" s="909"/>
      <c r="AD897" s="909"/>
    </row>
    <row r="898" s="141" customFormat="1" customHeight="1" spans="1:30">
      <c r="A898" s="900"/>
      <c r="B898" s="900"/>
      <c r="C898" s="900"/>
      <c r="D898" s="901"/>
      <c r="E898" s="901"/>
      <c r="F898" s="902"/>
      <c r="G898" s="902"/>
      <c r="H898" s="903"/>
      <c r="I898" s="900"/>
      <c r="J898" s="900"/>
      <c r="K898" s="902"/>
      <c r="L898" s="904"/>
      <c r="M898" s="904"/>
      <c r="N898" s="905"/>
      <c r="O898" s="905"/>
      <c r="P898" s="906"/>
      <c r="Q898" s="906"/>
      <c r="R898" s="907"/>
      <c r="S898" s="908"/>
      <c r="T898" s="901"/>
      <c r="U898" s="902"/>
      <c r="V898" s="909"/>
      <c r="W898" s="909"/>
      <c r="X898" s="909"/>
      <c r="Y898" s="909"/>
      <c r="Z898" s="909"/>
      <c r="AA898" s="909"/>
      <c r="AB898" s="909"/>
      <c r="AC898" s="909"/>
      <c r="AD898" s="909"/>
    </row>
    <row r="899" s="141" customFormat="1" customHeight="1" spans="1:30">
      <c r="A899" s="900"/>
      <c r="B899" s="900"/>
      <c r="C899" s="900"/>
      <c r="D899" s="901"/>
      <c r="E899" s="901"/>
      <c r="F899" s="902"/>
      <c r="G899" s="902"/>
      <c r="H899" s="903"/>
      <c r="I899" s="900"/>
      <c r="J899" s="900"/>
      <c r="K899" s="902"/>
      <c r="L899" s="904"/>
      <c r="M899" s="904"/>
      <c r="N899" s="905"/>
      <c r="O899" s="905"/>
      <c r="P899" s="906"/>
      <c r="Q899" s="906"/>
      <c r="R899" s="907"/>
      <c r="S899" s="908"/>
      <c r="T899" s="901"/>
      <c r="U899" s="902"/>
      <c r="V899" s="909"/>
      <c r="W899" s="909"/>
      <c r="X899" s="909"/>
      <c r="Y899" s="909"/>
      <c r="Z899" s="909"/>
      <c r="AA899" s="909"/>
      <c r="AB899" s="909"/>
      <c r="AC899" s="909"/>
      <c r="AD899" s="909"/>
    </row>
    <row r="900" s="141" customFormat="1" customHeight="1" spans="1:30">
      <c r="A900" s="900"/>
      <c r="B900" s="900"/>
      <c r="C900" s="900"/>
      <c r="D900" s="901"/>
      <c r="E900" s="901"/>
      <c r="F900" s="902"/>
      <c r="G900" s="902"/>
      <c r="H900" s="903"/>
      <c r="I900" s="900"/>
      <c r="J900" s="900"/>
      <c r="K900" s="902"/>
      <c r="L900" s="904"/>
      <c r="M900" s="904"/>
      <c r="N900" s="905"/>
      <c r="O900" s="905"/>
      <c r="P900" s="906"/>
      <c r="Q900" s="906"/>
      <c r="R900" s="907"/>
      <c r="S900" s="908"/>
      <c r="T900" s="901"/>
      <c r="U900" s="902"/>
      <c r="V900" s="909"/>
      <c r="W900" s="909"/>
      <c r="X900" s="909"/>
      <c r="Y900" s="909"/>
      <c r="Z900" s="909"/>
      <c r="AA900" s="909"/>
      <c r="AB900" s="909"/>
      <c r="AC900" s="909"/>
      <c r="AD900" s="909"/>
    </row>
    <row r="901" s="141" customFormat="1" customHeight="1" spans="1:30">
      <c r="A901" s="900"/>
      <c r="B901" s="900"/>
      <c r="C901" s="900"/>
      <c r="D901" s="901"/>
      <c r="E901" s="901"/>
      <c r="F901" s="902"/>
      <c r="G901" s="902"/>
      <c r="H901" s="903"/>
      <c r="I901" s="900"/>
      <c r="J901" s="900"/>
      <c r="K901" s="902"/>
      <c r="L901" s="904"/>
      <c r="M901" s="904"/>
      <c r="N901" s="905"/>
      <c r="O901" s="905"/>
      <c r="P901" s="906"/>
      <c r="Q901" s="906"/>
      <c r="R901" s="907"/>
      <c r="S901" s="908"/>
      <c r="T901" s="901"/>
      <c r="U901" s="902"/>
      <c r="V901" s="909"/>
      <c r="W901" s="909"/>
      <c r="X901" s="909"/>
      <c r="Y901" s="909"/>
      <c r="Z901" s="909"/>
      <c r="AA901" s="909"/>
      <c r="AB901" s="909"/>
      <c r="AC901" s="909"/>
      <c r="AD901" s="909"/>
    </row>
    <row r="902" s="141" customFormat="1" customHeight="1" spans="1:30">
      <c r="A902" s="900"/>
      <c r="B902" s="900"/>
      <c r="C902" s="900"/>
      <c r="D902" s="901"/>
      <c r="E902" s="901"/>
      <c r="F902" s="902"/>
      <c r="G902" s="902"/>
      <c r="H902" s="903"/>
      <c r="I902" s="900"/>
      <c r="J902" s="900"/>
      <c r="K902" s="902"/>
      <c r="L902" s="904"/>
      <c r="M902" s="904"/>
      <c r="N902" s="905"/>
      <c r="O902" s="905"/>
      <c r="P902" s="906"/>
      <c r="Q902" s="906"/>
      <c r="R902" s="907"/>
      <c r="S902" s="908"/>
      <c r="T902" s="901"/>
      <c r="U902" s="902"/>
      <c r="V902" s="909"/>
      <c r="W902" s="909"/>
      <c r="X902" s="909"/>
      <c r="Y902" s="909"/>
      <c r="Z902" s="909"/>
      <c r="AA902" s="909"/>
      <c r="AB902" s="909"/>
      <c r="AC902" s="909"/>
      <c r="AD902" s="909"/>
    </row>
    <row r="903" s="141" customFormat="1" customHeight="1" spans="1:30">
      <c r="A903" s="900"/>
      <c r="B903" s="900"/>
      <c r="C903" s="900"/>
      <c r="D903" s="901"/>
      <c r="E903" s="901"/>
      <c r="F903" s="902"/>
      <c r="G903" s="902"/>
      <c r="H903" s="903"/>
      <c r="I903" s="900"/>
      <c r="J903" s="900"/>
      <c r="K903" s="902"/>
      <c r="L903" s="904"/>
      <c r="M903" s="904"/>
      <c r="N903" s="905"/>
      <c r="O903" s="905"/>
      <c r="P903" s="906"/>
      <c r="Q903" s="906"/>
      <c r="R903" s="907"/>
      <c r="S903" s="908"/>
      <c r="T903" s="901"/>
      <c r="U903" s="902"/>
      <c r="V903" s="909"/>
      <c r="W903" s="909"/>
      <c r="X903" s="909"/>
      <c r="Y903" s="909"/>
      <c r="Z903" s="909"/>
      <c r="AA903" s="909"/>
      <c r="AB903" s="909"/>
      <c r="AC903" s="909"/>
      <c r="AD903" s="909"/>
    </row>
    <row r="904" s="141" customFormat="1" customHeight="1" spans="1:30">
      <c r="A904" s="900"/>
      <c r="B904" s="900"/>
      <c r="C904" s="900"/>
      <c r="D904" s="901"/>
      <c r="E904" s="901"/>
      <c r="F904" s="902"/>
      <c r="G904" s="902"/>
      <c r="H904" s="903"/>
      <c r="I904" s="900"/>
      <c r="J904" s="900"/>
      <c r="K904" s="902"/>
      <c r="L904" s="904"/>
      <c r="M904" s="904"/>
      <c r="N904" s="905"/>
      <c r="O904" s="905"/>
      <c r="P904" s="906"/>
      <c r="Q904" s="906"/>
      <c r="R904" s="907"/>
      <c r="S904" s="908"/>
      <c r="T904" s="901"/>
      <c r="U904" s="902"/>
      <c r="V904" s="909"/>
      <c r="W904" s="909"/>
      <c r="X904" s="909"/>
      <c r="Y904" s="909"/>
      <c r="Z904" s="909"/>
      <c r="AA904" s="909"/>
      <c r="AB904" s="909"/>
      <c r="AC904" s="909"/>
      <c r="AD904" s="909"/>
    </row>
    <row r="905" s="141" customFormat="1" customHeight="1" spans="1:30">
      <c r="A905" s="900"/>
      <c r="B905" s="900"/>
      <c r="C905" s="900"/>
      <c r="D905" s="901"/>
      <c r="E905" s="901"/>
      <c r="F905" s="902"/>
      <c r="G905" s="902"/>
      <c r="H905" s="903"/>
      <c r="I905" s="900"/>
      <c r="J905" s="900"/>
      <c r="K905" s="902"/>
      <c r="L905" s="904"/>
      <c r="M905" s="904"/>
      <c r="N905" s="905"/>
      <c r="O905" s="905"/>
      <c r="P905" s="906"/>
      <c r="Q905" s="906"/>
      <c r="R905" s="907"/>
      <c r="S905" s="908"/>
      <c r="T905" s="901"/>
      <c r="U905" s="902"/>
      <c r="V905" s="909"/>
      <c r="W905" s="909"/>
      <c r="X905" s="909"/>
      <c r="Y905" s="909"/>
      <c r="Z905" s="909"/>
      <c r="AA905" s="909"/>
      <c r="AB905" s="909"/>
      <c r="AC905" s="909"/>
      <c r="AD905" s="909"/>
    </row>
    <row r="906" s="141" customFormat="1" customHeight="1" spans="1:30">
      <c r="A906" s="900"/>
      <c r="B906" s="900"/>
      <c r="C906" s="900"/>
      <c r="D906" s="901"/>
      <c r="E906" s="901"/>
      <c r="F906" s="902"/>
      <c r="G906" s="902"/>
      <c r="H906" s="903"/>
      <c r="I906" s="900"/>
      <c r="J906" s="900"/>
      <c r="K906" s="902"/>
      <c r="L906" s="904"/>
      <c r="M906" s="904"/>
      <c r="N906" s="905"/>
      <c r="O906" s="905"/>
      <c r="P906" s="906"/>
      <c r="Q906" s="906"/>
      <c r="R906" s="907"/>
      <c r="S906" s="908"/>
      <c r="T906" s="901"/>
      <c r="U906" s="902"/>
      <c r="V906" s="909"/>
      <c r="W906" s="909"/>
      <c r="X906" s="909"/>
      <c r="Y906" s="909"/>
      <c r="Z906" s="909"/>
      <c r="AA906" s="909"/>
      <c r="AB906" s="909"/>
      <c r="AC906" s="909"/>
      <c r="AD906" s="909"/>
    </row>
    <row r="907" s="141" customFormat="1" customHeight="1" spans="1:30">
      <c r="A907" s="900"/>
      <c r="B907" s="900"/>
      <c r="C907" s="900"/>
      <c r="D907" s="901"/>
      <c r="E907" s="901"/>
      <c r="F907" s="902"/>
      <c r="G907" s="902"/>
      <c r="H907" s="903"/>
      <c r="I907" s="900"/>
      <c r="J907" s="900"/>
      <c r="K907" s="902"/>
      <c r="L907" s="904"/>
      <c r="M907" s="904"/>
      <c r="N907" s="905"/>
      <c r="O907" s="905"/>
      <c r="P907" s="906"/>
      <c r="Q907" s="906"/>
      <c r="R907" s="907"/>
      <c r="S907" s="908"/>
      <c r="T907" s="901"/>
      <c r="U907" s="902"/>
      <c r="V907" s="909"/>
      <c r="W907" s="909"/>
      <c r="X907" s="909"/>
      <c r="Y907" s="909"/>
      <c r="Z907" s="909"/>
      <c r="AA907" s="909"/>
      <c r="AB907" s="909"/>
      <c r="AC907" s="909"/>
      <c r="AD907" s="909"/>
    </row>
    <row r="908" s="141" customFormat="1" customHeight="1" spans="1:30">
      <c r="A908" s="900"/>
      <c r="B908" s="900"/>
      <c r="C908" s="900"/>
      <c r="D908" s="901"/>
      <c r="E908" s="901"/>
      <c r="F908" s="902"/>
      <c r="G908" s="902"/>
      <c r="H908" s="903"/>
      <c r="I908" s="900"/>
      <c r="J908" s="900"/>
      <c r="K908" s="902"/>
      <c r="L908" s="904"/>
      <c r="M908" s="904"/>
      <c r="N908" s="905"/>
      <c r="O908" s="905"/>
      <c r="P908" s="906"/>
      <c r="Q908" s="906"/>
      <c r="R908" s="907"/>
      <c r="S908" s="908"/>
      <c r="T908" s="901"/>
      <c r="U908" s="902"/>
      <c r="V908" s="909"/>
      <c r="W908" s="909"/>
      <c r="X908" s="909"/>
      <c r="Y908" s="909"/>
      <c r="Z908" s="909"/>
      <c r="AA908" s="909"/>
      <c r="AB908" s="909"/>
      <c r="AC908" s="909"/>
      <c r="AD908" s="909"/>
    </row>
    <row r="909" s="141" customFormat="1" customHeight="1" spans="1:30">
      <c r="A909" s="900"/>
      <c r="B909" s="900"/>
      <c r="C909" s="900"/>
      <c r="D909" s="901"/>
      <c r="E909" s="901"/>
      <c r="F909" s="902"/>
      <c r="G909" s="902"/>
      <c r="H909" s="903"/>
      <c r="I909" s="900"/>
      <c r="J909" s="900"/>
      <c r="K909" s="902"/>
      <c r="L909" s="904"/>
      <c r="M909" s="904"/>
      <c r="N909" s="905"/>
      <c r="O909" s="905"/>
      <c r="P909" s="906"/>
      <c r="Q909" s="906"/>
      <c r="R909" s="907"/>
      <c r="S909" s="908"/>
      <c r="T909" s="901"/>
      <c r="U909" s="902"/>
      <c r="V909" s="909"/>
      <c r="W909" s="909"/>
      <c r="X909" s="909"/>
      <c r="Y909" s="909"/>
      <c r="Z909" s="909"/>
      <c r="AA909" s="909"/>
      <c r="AB909" s="909"/>
      <c r="AC909" s="909"/>
      <c r="AD909" s="909"/>
    </row>
    <row r="910" s="141" customFormat="1" customHeight="1" spans="1:30">
      <c r="A910" s="900"/>
      <c r="B910" s="900"/>
      <c r="C910" s="900"/>
      <c r="D910" s="901"/>
      <c r="E910" s="901"/>
      <c r="F910" s="902"/>
      <c r="G910" s="902"/>
      <c r="H910" s="903"/>
      <c r="I910" s="900"/>
      <c r="J910" s="900"/>
      <c r="K910" s="902"/>
      <c r="L910" s="904"/>
      <c r="M910" s="904"/>
      <c r="N910" s="905"/>
      <c r="O910" s="905"/>
      <c r="P910" s="906"/>
      <c r="Q910" s="906"/>
      <c r="R910" s="907"/>
      <c r="S910" s="908"/>
      <c r="T910" s="901"/>
      <c r="U910" s="902"/>
      <c r="V910" s="909"/>
      <c r="W910" s="909"/>
      <c r="X910" s="909"/>
      <c r="Y910" s="909"/>
      <c r="Z910" s="909"/>
      <c r="AA910" s="909"/>
      <c r="AB910" s="909"/>
      <c r="AC910" s="909"/>
      <c r="AD910" s="909"/>
    </row>
    <row r="911" s="141" customFormat="1" customHeight="1" spans="1:30">
      <c r="A911" s="900"/>
      <c r="B911" s="900"/>
      <c r="C911" s="900"/>
      <c r="D911" s="901"/>
      <c r="E911" s="901"/>
      <c r="F911" s="902"/>
      <c r="G911" s="902"/>
      <c r="H911" s="903"/>
      <c r="I911" s="900"/>
      <c r="J911" s="900"/>
      <c r="K911" s="902"/>
      <c r="L911" s="904"/>
      <c r="M911" s="904"/>
      <c r="N911" s="905"/>
      <c r="O911" s="905"/>
      <c r="P911" s="906"/>
      <c r="Q911" s="906"/>
      <c r="R911" s="907"/>
      <c r="S911" s="908"/>
      <c r="T911" s="901"/>
      <c r="U911" s="902"/>
      <c r="V911" s="909"/>
      <c r="W911" s="909"/>
      <c r="X911" s="909"/>
      <c r="Y911" s="909"/>
      <c r="Z911" s="909"/>
      <c r="AA911" s="909"/>
      <c r="AB911" s="909"/>
      <c r="AC911" s="909"/>
      <c r="AD911" s="909"/>
    </row>
    <row r="912" s="141" customFormat="1" customHeight="1" spans="1:30">
      <c r="A912" s="900"/>
      <c r="B912" s="900"/>
      <c r="C912" s="900"/>
      <c r="D912" s="901"/>
      <c r="E912" s="901"/>
      <c r="F912" s="902"/>
      <c r="G912" s="902"/>
      <c r="H912" s="903"/>
      <c r="I912" s="900"/>
      <c r="J912" s="900"/>
      <c r="K912" s="902"/>
      <c r="L912" s="904"/>
      <c r="M912" s="904"/>
      <c r="N912" s="905"/>
      <c r="O912" s="905"/>
      <c r="P912" s="906"/>
      <c r="Q912" s="906"/>
      <c r="R912" s="907"/>
      <c r="S912" s="908"/>
      <c r="T912" s="901"/>
      <c r="U912" s="902"/>
      <c r="V912" s="909"/>
      <c r="W912" s="909"/>
      <c r="X912" s="909"/>
      <c r="Y912" s="909"/>
      <c r="Z912" s="909"/>
      <c r="AA912" s="909"/>
      <c r="AB912" s="909"/>
      <c r="AC912" s="909"/>
      <c r="AD912" s="909"/>
    </row>
    <row r="913" s="141" customFormat="1" customHeight="1" spans="1:30">
      <c r="A913" s="900"/>
      <c r="B913" s="900"/>
      <c r="C913" s="900"/>
      <c r="D913" s="901"/>
      <c r="E913" s="901"/>
      <c r="F913" s="902"/>
      <c r="G913" s="902"/>
      <c r="H913" s="903"/>
      <c r="I913" s="900"/>
      <c r="J913" s="900"/>
      <c r="K913" s="902"/>
      <c r="L913" s="904"/>
      <c r="M913" s="904"/>
      <c r="N913" s="905"/>
      <c r="O913" s="905"/>
      <c r="P913" s="906"/>
      <c r="Q913" s="906"/>
      <c r="R913" s="907"/>
      <c r="S913" s="908"/>
      <c r="T913" s="901"/>
      <c r="U913" s="902"/>
      <c r="V913" s="909"/>
      <c r="W913" s="909"/>
      <c r="X913" s="909"/>
      <c r="Y913" s="909"/>
      <c r="Z913" s="909"/>
      <c r="AA913" s="909"/>
      <c r="AB913" s="909"/>
      <c r="AC913" s="909"/>
      <c r="AD913" s="909"/>
    </row>
    <row r="914" s="141" customFormat="1" customHeight="1" spans="1:30">
      <c r="A914" s="900"/>
      <c r="B914" s="900"/>
      <c r="C914" s="900"/>
      <c r="D914" s="901"/>
      <c r="E914" s="901"/>
      <c r="F914" s="902"/>
      <c r="G914" s="902"/>
      <c r="H914" s="903"/>
      <c r="I914" s="900"/>
      <c r="J914" s="900"/>
      <c r="K914" s="902"/>
      <c r="L914" s="904"/>
      <c r="M914" s="904"/>
      <c r="N914" s="905"/>
      <c r="O914" s="905"/>
      <c r="P914" s="906"/>
      <c r="Q914" s="906"/>
      <c r="R914" s="907"/>
      <c r="S914" s="908"/>
      <c r="T914" s="901"/>
      <c r="U914" s="902"/>
      <c r="V914" s="909"/>
      <c r="W914" s="909"/>
      <c r="X914" s="909"/>
      <c r="Y914" s="909"/>
      <c r="Z914" s="909"/>
      <c r="AA914" s="909"/>
      <c r="AB914" s="909"/>
      <c r="AC914" s="909"/>
      <c r="AD914" s="909"/>
    </row>
    <row r="915" s="141" customFormat="1" customHeight="1" spans="1:30">
      <c r="A915" s="900"/>
      <c r="B915" s="900"/>
      <c r="C915" s="900"/>
      <c r="D915" s="901"/>
      <c r="E915" s="901"/>
      <c r="F915" s="902"/>
      <c r="G915" s="902"/>
      <c r="H915" s="903"/>
      <c r="I915" s="900"/>
      <c r="J915" s="900"/>
      <c r="K915" s="902"/>
      <c r="L915" s="904"/>
      <c r="M915" s="904"/>
      <c r="N915" s="905"/>
      <c r="O915" s="905"/>
      <c r="P915" s="906"/>
      <c r="Q915" s="906"/>
      <c r="R915" s="907"/>
      <c r="S915" s="908"/>
      <c r="T915" s="901"/>
      <c r="U915" s="902"/>
      <c r="V915" s="909"/>
      <c r="W915" s="909"/>
      <c r="X915" s="909"/>
      <c r="Y915" s="909"/>
      <c r="Z915" s="909"/>
      <c r="AA915" s="909"/>
      <c r="AB915" s="909"/>
      <c r="AC915" s="909"/>
      <c r="AD915" s="909"/>
    </row>
    <row r="916" s="141" customFormat="1" customHeight="1" spans="1:30">
      <c r="A916" s="900"/>
      <c r="B916" s="900"/>
      <c r="C916" s="900"/>
      <c r="D916" s="901"/>
      <c r="E916" s="901"/>
      <c r="F916" s="902"/>
      <c r="G916" s="902"/>
      <c r="H916" s="903"/>
      <c r="I916" s="900"/>
      <c r="J916" s="900"/>
      <c r="K916" s="902"/>
      <c r="L916" s="904"/>
      <c r="M916" s="904"/>
      <c r="N916" s="905"/>
      <c r="O916" s="905"/>
      <c r="P916" s="906"/>
      <c r="Q916" s="906"/>
      <c r="R916" s="907"/>
      <c r="S916" s="908"/>
      <c r="T916" s="901"/>
      <c r="U916" s="902"/>
      <c r="V916" s="909"/>
      <c r="W916" s="909"/>
      <c r="X916" s="909"/>
      <c r="Y916" s="909"/>
      <c r="Z916" s="909"/>
      <c r="AA916" s="909"/>
      <c r="AB916" s="909"/>
      <c r="AC916" s="909"/>
      <c r="AD916" s="909"/>
    </row>
    <row r="917" s="141" customFormat="1" customHeight="1" spans="1:30">
      <c r="A917" s="900"/>
      <c r="B917" s="900"/>
      <c r="C917" s="900"/>
      <c r="D917" s="901"/>
      <c r="E917" s="901"/>
      <c r="F917" s="902"/>
      <c r="G917" s="902"/>
      <c r="H917" s="903"/>
      <c r="I917" s="900"/>
      <c r="J917" s="900"/>
      <c r="K917" s="902"/>
      <c r="L917" s="904"/>
      <c r="M917" s="904"/>
      <c r="N917" s="905"/>
      <c r="O917" s="905"/>
      <c r="P917" s="906"/>
      <c r="Q917" s="906"/>
      <c r="R917" s="907"/>
      <c r="S917" s="908"/>
      <c r="T917" s="901"/>
      <c r="U917" s="902"/>
      <c r="V917" s="909"/>
      <c r="W917" s="909"/>
      <c r="X917" s="909"/>
      <c r="Y917" s="909"/>
      <c r="Z917" s="909"/>
      <c r="AA917" s="909"/>
      <c r="AB917" s="909"/>
      <c r="AC917" s="909"/>
      <c r="AD917" s="909"/>
    </row>
    <row r="918" s="141" customFormat="1" customHeight="1" spans="1:30">
      <c r="A918" s="900"/>
      <c r="B918" s="900"/>
      <c r="C918" s="900"/>
      <c r="D918" s="901"/>
      <c r="E918" s="901"/>
      <c r="F918" s="902"/>
      <c r="G918" s="902"/>
      <c r="H918" s="903"/>
      <c r="I918" s="900"/>
      <c r="J918" s="900"/>
      <c r="K918" s="902"/>
      <c r="L918" s="904"/>
      <c r="M918" s="904"/>
      <c r="N918" s="905"/>
      <c r="O918" s="905"/>
      <c r="P918" s="906"/>
      <c r="Q918" s="906"/>
      <c r="R918" s="907"/>
      <c r="S918" s="908"/>
      <c r="T918" s="901"/>
      <c r="U918" s="902"/>
      <c r="V918" s="909"/>
      <c r="W918" s="909"/>
      <c r="X918" s="909"/>
      <c r="Y918" s="909"/>
      <c r="Z918" s="909"/>
      <c r="AA918" s="909"/>
      <c r="AB918" s="909"/>
      <c r="AC918" s="909"/>
      <c r="AD918" s="909"/>
    </row>
    <row r="919" s="141" customFormat="1" customHeight="1" spans="1:30">
      <c r="A919" s="900"/>
      <c r="B919" s="900"/>
      <c r="C919" s="900"/>
      <c r="D919" s="901"/>
      <c r="E919" s="901"/>
      <c r="F919" s="902"/>
      <c r="G919" s="902"/>
      <c r="H919" s="903"/>
      <c r="I919" s="900"/>
      <c r="J919" s="900"/>
      <c r="K919" s="902"/>
      <c r="L919" s="904"/>
      <c r="M919" s="904"/>
      <c r="N919" s="905"/>
      <c r="O919" s="905"/>
      <c r="P919" s="906"/>
      <c r="Q919" s="906"/>
      <c r="R919" s="907"/>
      <c r="S919" s="908"/>
      <c r="T919" s="901"/>
      <c r="U919" s="902"/>
      <c r="V919" s="909"/>
      <c r="W919" s="909"/>
      <c r="X919" s="909"/>
      <c r="Y919" s="909"/>
      <c r="Z919" s="909"/>
      <c r="AA919" s="909"/>
      <c r="AB919" s="909"/>
      <c r="AC919" s="909"/>
      <c r="AD919" s="909"/>
    </row>
    <row r="920" s="141" customFormat="1" customHeight="1" spans="1:30">
      <c r="A920" s="900"/>
      <c r="B920" s="900"/>
      <c r="C920" s="900"/>
      <c r="D920" s="901"/>
      <c r="E920" s="901"/>
      <c r="F920" s="902"/>
      <c r="G920" s="902"/>
      <c r="H920" s="903"/>
      <c r="I920" s="900"/>
      <c r="J920" s="900"/>
      <c r="K920" s="902"/>
      <c r="L920" s="904"/>
      <c r="M920" s="904"/>
      <c r="N920" s="905"/>
      <c r="O920" s="905"/>
      <c r="P920" s="906"/>
      <c r="Q920" s="906"/>
      <c r="R920" s="907"/>
      <c r="S920" s="908"/>
      <c r="T920" s="901"/>
      <c r="U920" s="902"/>
      <c r="V920" s="909"/>
      <c r="W920" s="909"/>
      <c r="X920" s="909"/>
      <c r="Y920" s="909"/>
      <c r="Z920" s="909"/>
      <c r="AA920" s="909"/>
      <c r="AB920" s="909"/>
      <c r="AC920" s="909"/>
      <c r="AD920" s="909"/>
    </row>
    <row r="921" s="141" customFormat="1" customHeight="1" spans="1:30">
      <c r="A921" s="900"/>
      <c r="B921" s="900"/>
      <c r="C921" s="900"/>
      <c r="D921" s="901"/>
      <c r="E921" s="901"/>
      <c r="F921" s="902"/>
      <c r="G921" s="902"/>
      <c r="H921" s="903"/>
      <c r="I921" s="900"/>
      <c r="J921" s="900"/>
      <c r="K921" s="902"/>
      <c r="L921" s="904"/>
      <c r="M921" s="904"/>
      <c r="N921" s="905"/>
      <c r="O921" s="905"/>
      <c r="P921" s="906"/>
      <c r="Q921" s="906"/>
      <c r="R921" s="907"/>
      <c r="S921" s="908"/>
      <c r="T921" s="901"/>
      <c r="U921" s="902"/>
      <c r="V921" s="909"/>
      <c r="W921" s="909"/>
      <c r="X921" s="909"/>
      <c r="Y921" s="909"/>
      <c r="Z921" s="909"/>
      <c r="AA921" s="909"/>
      <c r="AB921" s="909"/>
      <c r="AC921" s="909"/>
      <c r="AD921" s="909"/>
    </row>
    <row r="922" s="141" customFormat="1" customHeight="1" spans="1:30">
      <c r="A922" s="900"/>
      <c r="B922" s="900"/>
      <c r="C922" s="900"/>
      <c r="D922" s="901"/>
      <c r="E922" s="901"/>
      <c r="F922" s="902"/>
      <c r="G922" s="902"/>
      <c r="H922" s="903"/>
      <c r="I922" s="900"/>
      <c r="J922" s="900"/>
      <c r="K922" s="902"/>
      <c r="L922" s="904"/>
      <c r="M922" s="904"/>
      <c r="N922" s="905"/>
      <c r="O922" s="905"/>
      <c r="P922" s="906"/>
      <c r="Q922" s="906"/>
      <c r="R922" s="907"/>
      <c r="S922" s="908"/>
      <c r="T922" s="901"/>
      <c r="U922" s="902"/>
      <c r="V922" s="909"/>
      <c r="W922" s="909"/>
      <c r="X922" s="909"/>
      <c r="Y922" s="909"/>
      <c r="Z922" s="909"/>
      <c r="AA922" s="909"/>
      <c r="AB922" s="909"/>
      <c r="AC922" s="909"/>
      <c r="AD922" s="909"/>
    </row>
    <row r="923" s="141" customFormat="1" customHeight="1" spans="1:30">
      <c r="A923" s="900"/>
      <c r="B923" s="900"/>
      <c r="C923" s="900"/>
      <c r="D923" s="901"/>
      <c r="E923" s="901"/>
      <c r="F923" s="902"/>
      <c r="G923" s="902"/>
      <c r="H923" s="903"/>
      <c r="I923" s="900"/>
      <c r="J923" s="900"/>
      <c r="K923" s="902"/>
      <c r="L923" s="904"/>
      <c r="M923" s="904"/>
      <c r="N923" s="905"/>
      <c r="O923" s="905"/>
      <c r="P923" s="906"/>
      <c r="Q923" s="906"/>
      <c r="R923" s="907"/>
      <c r="S923" s="908"/>
      <c r="T923" s="901"/>
      <c r="U923" s="902"/>
      <c r="V923" s="909"/>
      <c r="W923" s="909"/>
      <c r="X923" s="909"/>
      <c r="Y923" s="909"/>
      <c r="Z923" s="909"/>
      <c r="AA923" s="909"/>
      <c r="AB923" s="909"/>
      <c r="AC923" s="909"/>
      <c r="AD923" s="909"/>
    </row>
    <row r="924" s="141" customFormat="1" customHeight="1" spans="1:30">
      <c r="A924" s="900"/>
      <c r="B924" s="900"/>
      <c r="C924" s="900"/>
      <c r="D924" s="901"/>
      <c r="E924" s="901"/>
      <c r="F924" s="902"/>
      <c r="G924" s="902"/>
      <c r="H924" s="903"/>
      <c r="I924" s="900"/>
      <c r="J924" s="900"/>
      <c r="K924" s="902"/>
      <c r="L924" s="904"/>
      <c r="M924" s="904"/>
      <c r="N924" s="905"/>
      <c r="O924" s="905"/>
      <c r="P924" s="906"/>
      <c r="Q924" s="906"/>
      <c r="R924" s="907"/>
      <c r="S924" s="908"/>
      <c r="T924" s="901"/>
      <c r="U924" s="902"/>
      <c r="V924" s="909"/>
      <c r="W924" s="909"/>
      <c r="X924" s="909"/>
      <c r="Y924" s="909"/>
      <c r="Z924" s="909"/>
      <c r="AA924" s="909"/>
      <c r="AB924" s="909"/>
      <c r="AC924" s="909"/>
      <c r="AD924" s="909"/>
    </row>
    <row r="925" s="141" customFormat="1" customHeight="1" spans="1:30">
      <c r="A925" s="900"/>
      <c r="B925" s="900"/>
      <c r="C925" s="900"/>
      <c r="D925" s="901"/>
      <c r="E925" s="901"/>
      <c r="F925" s="902"/>
      <c r="G925" s="902"/>
      <c r="H925" s="903"/>
      <c r="I925" s="900"/>
      <c r="J925" s="900"/>
      <c r="K925" s="902"/>
      <c r="L925" s="904"/>
      <c r="M925" s="904"/>
      <c r="N925" s="905"/>
      <c r="O925" s="905"/>
      <c r="P925" s="906"/>
      <c r="Q925" s="906"/>
      <c r="R925" s="907"/>
      <c r="S925" s="908"/>
      <c r="T925" s="901"/>
      <c r="U925" s="902"/>
      <c r="V925" s="909"/>
      <c r="W925" s="909"/>
      <c r="X925" s="909"/>
      <c r="Y925" s="909"/>
      <c r="Z925" s="909"/>
      <c r="AA925" s="909"/>
      <c r="AB925" s="909"/>
      <c r="AC925" s="909"/>
      <c r="AD925" s="909"/>
    </row>
    <row r="926" s="141" customFormat="1" customHeight="1" spans="1:30">
      <c r="A926" s="900"/>
      <c r="B926" s="900"/>
      <c r="C926" s="900"/>
      <c r="D926" s="901"/>
      <c r="E926" s="901"/>
      <c r="F926" s="902"/>
      <c r="G926" s="902"/>
      <c r="H926" s="903"/>
      <c r="I926" s="900"/>
      <c r="J926" s="900"/>
      <c r="K926" s="902"/>
      <c r="L926" s="904"/>
      <c r="M926" s="904"/>
      <c r="N926" s="905"/>
      <c r="O926" s="905"/>
      <c r="P926" s="906"/>
      <c r="Q926" s="906"/>
      <c r="R926" s="907"/>
      <c r="S926" s="908"/>
      <c r="T926" s="901"/>
      <c r="U926" s="902"/>
      <c r="V926" s="909"/>
      <c r="W926" s="909"/>
      <c r="X926" s="909"/>
      <c r="Y926" s="909"/>
      <c r="Z926" s="909"/>
      <c r="AA926" s="909"/>
      <c r="AB926" s="909"/>
      <c r="AC926" s="909"/>
      <c r="AD926" s="909"/>
    </row>
    <row r="927" s="141" customFormat="1" customHeight="1" spans="1:30">
      <c r="A927" s="900"/>
      <c r="B927" s="900"/>
      <c r="C927" s="900"/>
      <c r="D927" s="901"/>
      <c r="E927" s="901"/>
      <c r="F927" s="902"/>
      <c r="G927" s="902"/>
      <c r="H927" s="903"/>
      <c r="I927" s="900"/>
      <c r="J927" s="900"/>
      <c r="K927" s="902"/>
      <c r="L927" s="904"/>
      <c r="M927" s="904"/>
      <c r="N927" s="905"/>
      <c r="O927" s="905"/>
      <c r="P927" s="906"/>
      <c r="Q927" s="906"/>
      <c r="R927" s="907"/>
      <c r="S927" s="908"/>
      <c r="T927" s="901"/>
      <c r="U927" s="902"/>
      <c r="V927" s="909"/>
      <c r="W927" s="909"/>
      <c r="X927" s="909"/>
      <c r="Y927" s="909"/>
      <c r="Z927" s="909"/>
      <c r="AA927" s="909"/>
      <c r="AB927" s="909"/>
      <c r="AC927" s="909"/>
      <c r="AD927" s="909"/>
    </row>
    <row r="928" s="141" customFormat="1" customHeight="1" spans="1:30">
      <c r="A928" s="900"/>
      <c r="B928" s="900"/>
      <c r="C928" s="900"/>
      <c r="D928" s="901"/>
      <c r="E928" s="901"/>
      <c r="F928" s="902"/>
      <c r="G928" s="902"/>
      <c r="H928" s="903"/>
      <c r="I928" s="900"/>
      <c r="J928" s="900"/>
      <c r="K928" s="902"/>
      <c r="L928" s="904"/>
      <c r="M928" s="904"/>
      <c r="N928" s="905"/>
      <c r="O928" s="905"/>
      <c r="P928" s="906"/>
      <c r="Q928" s="906"/>
      <c r="R928" s="907"/>
      <c r="S928" s="908"/>
      <c r="T928" s="901"/>
      <c r="U928" s="902"/>
      <c r="V928" s="909"/>
      <c r="W928" s="909"/>
      <c r="X928" s="909"/>
      <c r="Y928" s="909"/>
      <c r="Z928" s="909"/>
      <c r="AA928" s="909"/>
      <c r="AB928" s="909"/>
      <c r="AC928" s="909"/>
      <c r="AD928" s="909"/>
    </row>
    <row r="929" s="141" customFormat="1" customHeight="1" spans="1:30">
      <c r="A929" s="900"/>
      <c r="B929" s="900"/>
      <c r="C929" s="900"/>
      <c r="D929" s="901"/>
      <c r="E929" s="901"/>
      <c r="F929" s="902"/>
      <c r="G929" s="902"/>
      <c r="H929" s="903"/>
      <c r="I929" s="900"/>
      <c r="J929" s="900"/>
      <c r="K929" s="902"/>
      <c r="L929" s="904"/>
      <c r="M929" s="904"/>
      <c r="N929" s="905"/>
      <c r="O929" s="905"/>
      <c r="P929" s="906"/>
      <c r="Q929" s="906"/>
      <c r="R929" s="907"/>
      <c r="S929" s="908"/>
      <c r="T929" s="901"/>
      <c r="U929" s="902"/>
      <c r="V929" s="909"/>
      <c r="W929" s="909"/>
      <c r="X929" s="909"/>
      <c r="Y929" s="909"/>
      <c r="Z929" s="909"/>
      <c r="AA929" s="909"/>
      <c r="AB929" s="909"/>
      <c r="AC929" s="909"/>
      <c r="AD929" s="909"/>
    </row>
    <row r="930" s="141" customFormat="1" customHeight="1" spans="1:30">
      <c r="A930" s="900"/>
      <c r="B930" s="900"/>
      <c r="C930" s="900"/>
      <c r="D930" s="901"/>
      <c r="E930" s="901"/>
      <c r="F930" s="902"/>
      <c r="G930" s="902"/>
      <c r="H930" s="903"/>
      <c r="I930" s="900"/>
      <c r="J930" s="900"/>
      <c r="K930" s="902"/>
      <c r="L930" s="904"/>
      <c r="M930" s="904"/>
      <c r="N930" s="905"/>
      <c r="O930" s="905"/>
      <c r="P930" s="906"/>
      <c r="Q930" s="906"/>
      <c r="R930" s="907"/>
      <c r="S930" s="908"/>
      <c r="T930" s="901"/>
      <c r="U930" s="902"/>
      <c r="V930" s="909"/>
      <c r="W930" s="909"/>
      <c r="X930" s="909"/>
      <c r="Y930" s="909"/>
      <c r="Z930" s="909"/>
      <c r="AA930" s="909"/>
      <c r="AB930" s="909"/>
      <c r="AC930" s="909"/>
      <c r="AD930" s="909"/>
    </row>
    <row r="931" s="141" customFormat="1" customHeight="1" spans="1:30">
      <c r="A931" s="900"/>
      <c r="B931" s="900"/>
      <c r="C931" s="900"/>
      <c r="D931" s="901"/>
      <c r="E931" s="901"/>
      <c r="F931" s="902"/>
      <c r="G931" s="902"/>
      <c r="H931" s="903"/>
      <c r="I931" s="900"/>
      <c r="J931" s="900"/>
      <c r="K931" s="902"/>
      <c r="L931" s="904"/>
      <c r="M931" s="904"/>
      <c r="N931" s="905"/>
      <c r="O931" s="905"/>
      <c r="P931" s="906"/>
      <c r="Q931" s="906"/>
      <c r="R931" s="907"/>
      <c r="S931" s="908"/>
      <c r="T931" s="901"/>
      <c r="U931" s="902"/>
      <c r="V931" s="909"/>
      <c r="W931" s="909"/>
      <c r="X931" s="909"/>
      <c r="Y931" s="909"/>
      <c r="Z931" s="909"/>
      <c r="AA931" s="909"/>
      <c r="AB931" s="909"/>
      <c r="AC931" s="909"/>
      <c r="AD931" s="909"/>
    </row>
    <row r="932" s="141" customFormat="1" customHeight="1" spans="1:30">
      <c r="A932" s="900"/>
      <c r="B932" s="900"/>
      <c r="C932" s="900"/>
      <c r="D932" s="901"/>
      <c r="E932" s="901"/>
      <c r="F932" s="902"/>
      <c r="G932" s="902"/>
      <c r="H932" s="903"/>
      <c r="I932" s="900"/>
      <c r="J932" s="900"/>
      <c r="K932" s="902"/>
      <c r="L932" s="904"/>
      <c r="M932" s="904"/>
      <c r="N932" s="905"/>
      <c r="O932" s="905"/>
      <c r="P932" s="906"/>
      <c r="Q932" s="906"/>
      <c r="R932" s="907"/>
      <c r="S932" s="908"/>
      <c r="T932" s="901"/>
      <c r="U932" s="902"/>
      <c r="V932" s="909"/>
      <c r="W932" s="909"/>
      <c r="X932" s="909"/>
      <c r="Y932" s="909"/>
      <c r="Z932" s="909"/>
      <c r="AA932" s="909"/>
      <c r="AB932" s="909"/>
      <c r="AC932" s="909"/>
      <c r="AD932" s="909"/>
    </row>
    <row r="933" s="141" customFormat="1" customHeight="1" spans="1:30">
      <c r="A933" s="900"/>
      <c r="B933" s="900"/>
      <c r="C933" s="900"/>
      <c r="D933" s="901"/>
      <c r="E933" s="901"/>
      <c r="F933" s="902"/>
      <c r="G933" s="902"/>
      <c r="H933" s="903"/>
      <c r="I933" s="900"/>
      <c r="J933" s="900"/>
      <c r="K933" s="902"/>
      <c r="L933" s="904"/>
      <c r="M933" s="904"/>
      <c r="N933" s="905"/>
      <c r="O933" s="905"/>
      <c r="P933" s="906"/>
      <c r="Q933" s="906"/>
      <c r="R933" s="907"/>
      <c r="S933" s="908"/>
      <c r="T933" s="901"/>
      <c r="U933" s="902"/>
      <c r="V933" s="909"/>
      <c r="W933" s="909"/>
      <c r="X933" s="909"/>
      <c r="Y933" s="909"/>
      <c r="Z933" s="909"/>
      <c r="AA933" s="909"/>
      <c r="AB933" s="909"/>
      <c r="AC933" s="909"/>
      <c r="AD933" s="909"/>
    </row>
    <row r="934" s="141" customFormat="1" customHeight="1" spans="1:30">
      <c r="A934" s="900"/>
      <c r="B934" s="900"/>
      <c r="C934" s="900"/>
      <c r="D934" s="901"/>
      <c r="E934" s="901"/>
      <c r="F934" s="902"/>
      <c r="G934" s="902"/>
      <c r="H934" s="903"/>
      <c r="I934" s="900"/>
      <c r="J934" s="900"/>
      <c r="K934" s="902"/>
      <c r="L934" s="904"/>
      <c r="M934" s="904"/>
      <c r="N934" s="905"/>
      <c r="O934" s="905"/>
      <c r="P934" s="906"/>
      <c r="Q934" s="906"/>
      <c r="R934" s="907"/>
      <c r="S934" s="908"/>
      <c r="T934" s="901"/>
      <c r="U934" s="902"/>
      <c r="V934" s="909"/>
      <c r="W934" s="909"/>
      <c r="X934" s="909"/>
      <c r="Y934" s="909"/>
      <c r="Z934" s="909"/>
      <c r="AA934" s="909"/>
      <c r="AB934" s="909"/>
      <c r="AC934" s="909"/>
      <c r="AD934" s="909"/>
    </row>
    <row r="935" s="141" customFormat="1" customHeight="1" spans="1:30">
      <c r="A935" s="900"/>
      <c r="B935" s="900"/>
      <c r="C935" s="900"/>
      <c r="D935" s="901"/>
      <c r="E935" s="901"/>
      <c r="F935" s="902"/>
      <c r="G935" s="902"/>
      <c r="H935" s="903"/>
      <c r="I935" s="900"/>
      <c r="J935" s="900"/>
      <c r="K935" s="902"/>
      <c r="L935" s="904"/>
      <c r="M935" s="904"/>
      <c r="N935" s="905"/>
      <c r="O935" s="905"/>
      <c r="P935" s="906"/>
      <c r="Q935" s="906"/>
      <c r="R935" s="907"/>
      <c r="S935" s="908"/>
      <c r="T935" s="901"/>
      <c r="U935" s="902"/>
      <c r="V935" s="909"/>
      <c r="W935" s="909"/>
      <c r="X935" s="909"/>
      <c r="Y935" s="909"/>
      <c r="Z935" s="909"/>
      <c r="AA935" s="909"/>
      <c r="AB935" s="909"/>
      <c r="AC935" s="909"/>
      <c r="AD935" s="909"/>
    </row>
    <row r="936" s="141" customFormat="1" customHeight="1" spans="1:30">
      <c r="A936" s="900"/>
      <c r="B936" s="900"/>
      <c r="C936" s="900"/>
      <c r="D936" s="901"/>
      <c r="E936" s="901"/>
      <c r="F936" s="902"/>
      <c r="G936" s="902"/>
      <c r="H936" s="903"/>
      <c r="I936" s="900"/>
      <c r="J936" s="900"/>
      <c r="K936" s="902"/>
      <c r="L936" s="904"/>
      <c r="M936" s="904"/>
      <c r="N936" s="905"/>
      <c r="O936" s="905"/>
      <c r="P936" s="906"/>
      <c r="Q936" s="906"/>
      <c r="R936" s="907"/>
      <c r="S936" s="908"/>
      <c r="T936" s="901"/>
      <c r="U936" s="902"/>
      <c r="V936" s="909"/>
      <c r="W936" s="909"/>
      <c r="X936" s="909"/>
      <c r="Y936" s="909"/>
      <c r="Z936" s="909"/>
      <c r="AA936" s="909"/>
      <c r="AB936" s="909"/>
      <c r="AC936" s="909"/>
      <c r="AD936" s="909"/>
    </row>
    <row r="937" s="141" customFormat="1" customHeight="1" spans="1:30">
      <c r="A937" s="900"/>
      <c r="B937" s="900"/>
      <c r="C937" s="900"/>
      <c r="D937" s="901"/>
      <c r="E937" s="901"/>
      <c r="F937" s="902"/>
      <c r="G937" s="902"/>
      <c r="H937" s="903"/>
      <c r="I937" s="900"/>
      <c r="J937" s="900"/>
      <c r="K937" s="902"/>
      <c r="L937" s="904"/>
      <c r="M937" s="904"/>
      <c r="N937" s="905"/>
      <c r="O937" s="905"/>
      <c r="P937" s="906"/>
      <c r="Q937" s="906"/>
      <c r="R937" s="907"/>
      <c r="S937" s="908"/>
      <c r="T937" s="901"/>
      <c r="U937" s="902"/>
      <c r="V937" s="909"/>
      <c r="W937" s="909"/>
      <c r="X937" s="909"/>
      <c r="Y937" s="909"/>
      <c r="Z937" s="909"/>
      <c r="AA937" s="909"/>
      <c r="AB937" s="909"/>
      <c r="AC937" s="909"/>
      <c r="AD937" s="909"/>
    </row>
    <row r="938" s="141" customFormat="1" customHeight="1" spans="1:30">
      <c r="A938" s="900"/>
      <c r="B938" s="900"/>
      <c r="C938" s="900"/>
      <c r="D938" s="901"/>
      <c r="E938" s="901"/>
      <c r="F938" s="902"/>
      <c r="G938" s="902"/>
      <c r="H938" s="903"/>
      <c r="I938" s="900"/>
      <c r="J938" s="900"/>
      <c r="K938" s="902"/>
      <c r="L938" s="904"/>
      <c r="M938" s="904"/>
      <c r="N938" s="905"/>
      <c r="O938" s="905"/>
      <c r="P938" s="906"/>
      <c r="Q938" s="906"/>
      <c r="R938" s="907"/>
      <c r="S938" s="908"/>
      <c r="T938" s="901"/>
      <c r="U938" s="902"/>
      <c r="V938" s="909"/>
      <c r="W938" s="909"/>
      <c r="X938" s="909"/>
      <c r="Y938" s="909"/>
      <c r="Z938" s="909"/>
      <c r="AA938" s="909"/>
      <c r="AB938" s="909"/>
      <c r="AC938" s="909"/>
      <c r="AD938" s="909"/>
    </row>
    <row r="939" s="141" customFormat="1" customHeight="1" spans="1:30">
      <c r="A939" s="900"/>
      <c r="B939" s="900"/>
      <c r="C939" s="900"/>
      <c r="D939" s="901"/>
      <c r="E939" s="901"/>
      <c r="F939" s="902"/>
      <c r="G939" s="902"/>
      <c r="H939" s="903"/>
      <c r="I939" s="900"/>
      <c r="J939" s="900"/>
      <c r="K939" s="902"/>
      <c r="L939" s="904"/>
      <c r="M939" s="904"/>
      <c r="N939" s="905"/>
      <c r="O939" s="905"/>
      <c r="P939" s="906"/>
      <c r="Q939" s="906"/>
      <c r="R939" s="907"/>
      <c r="S939" s="908"/>
      <c r="T939" s="901"/>
      <c r="U939" s="902"/>
      <c r="V939" s="909"/>
      <c r="W939" s="909"/>
      <c r="X939" s="909"/>
      <c r="Y939" s="909"/>
      <c r="Z939" s="909"/>
      <c r="AA939" s="909"/>
      <c r="AB939" s="909"/>
      <c r="AC939" s="909"/>
      <c r="AD939" s="909"/>
    </row>
    <row r="940" s="141" customFormat="1" customHeight="1" spans="1:30">
      <c r="A940" s="900"/>
      <c r="B940" s="900"/>
      <c r="C940" s="900"/>
      <c r="D940" s="901"/>
      <c r="E940" s="901"/>
      <c r="F940" s="902"/>
      <c r="G940" s="902"/>
      <c r="H940" s="903"/>
      <c r="I940" s="900"/>
      <c r="J940" s="900"/>
      <c r="K940" s="902"/>
      <c r="L940" s="904"/>
      <c r="M940" s="904"/>
      <c r="N940" s="905"/>
      <c r="O940" s="905"/>
      <c r="P940" s="906"/>
      <c r="Q940" s="906"/>
      <c r="R940" s="907"/>
      <c r="S940" s="908"/>
      <c r="T940" s="901"/>
      <c r="U940" s="902"/>
      <c r="V940" s="909"/>
      <c r="W940" s="909"/>
      <c r="X940" s="909"/>
      <c r="Y940" s="909"/>
      <c r="Z940" s="909"/>
      <c r="AA940" s="909"/>
      <c r="AB940" s="909"/>
      <c r="AC940" s="909"/>
      <c r="AD940" s="909"/>
    </row>
    <row r="941" s="141" customFormat="1" customHeight="1" spans="1:30">
      <c r="A941" s="900"/>
      <c r="B941" s="900"/>
      <c r="C941" s="900"/>
      <c r="D941" s="901"/>
      <c r="E941" s="901"/>
      <c r="F941" s="902"/>
      <c r="G941" s="902"/>
      <c r="H941" s="903"/>
      <c r="I941" s="900"/>
      <c r="J941" s="900"/>
      <c r="K941" s="902"/>
      <c r="L941" s="904"/>
      <c r="M941" s="904"/>
      <c r="N941" s="905"/>
      <c r="O941" s="905"/>
      <c r="P941" s="906"/>
      <c r="Q941" s="906"/>
      <c r="R941" s="907"/>
      <c r="S941" s="908"/>
      <c r="T941" s="901"/>
      <c r="U941" s="902"/>
      <c r="V941" s="909"/>
      <c r="W941" s="909"/>
      <c r="X941" s="909"/>
      <c r="Y941" s="909"/>
      <c r="Z941" s="909"/>
      <c r="AA941" s="909"/>
      <c r="AB941" s="909"/>
      <c r="AC941" s="909"/>
      <c r="AD941" s="909"/>
    </row>
    <row r="942" s="141" customFormat="1" customHeight="1" spans="1:30">
      <c r="A942" s="900"/>
      <c r="B942" s="900"/>
      <c r="C942" s="900"/>
      <c r="D942" s="901"/>
      <c r="E942" s="901"/>
      <c r="F942" s="902"/>
      <c r="G942" s="902"/>
      <c r="H942" s="903"/>
      <c r="I942" s="900"/>
      <c r="J942" s="900"/>
      <c r="K942" s="902"/>
      <c r="L942" s="904"/>
      <c r="M942" s="904"/>
      <c r="N942" s="905"/>
      <c r="O942" s="905"/>
      <c r="P942" s="906"/>
      <c r="Q942" s="906"/>
      <c r="R942" s="907"/>
      <c r="S942" s="908"/>
      <c r="T942" s="901"/>
      <c r="U942" s="902"/>
      <c r="V942" s="909"/>
      <c r="W942" s="909"/>
      <c r="X942" s="909"/>
      <c r="Y942" s="909"/>
      <c r="Z942" s="909"/>
      <c r="AA942" s="909"/>
      <c r="AB942" s="909"/>
      <c r="AC942" s="909"/>
      <c r="AD942" s="909"/>
    </row>
    <row r="943" s="141" customFormat="1" customHeight="1" spans="1:30">
      <c r="A943" s="900"/>
      <c r="B943" s="900"/>
      <c r="C943" s="900"/>
      <c r="D943" s="901"/>
      <c r="E943" s="901"/>
      <c r="F943" s="902"/>
      <c r="G943" s="902"/>
      <c r="H943" s="903"/>
      <c r="I943" s="900"/>
      <c r="J943" s="900"/>
      <c r="K943" s="902"/>
      <c r="L943" s="904"/>
      <c r="M943" s="904"/>
      <c r="N943" s="905"/>
      <c r="O943" s="905"/>
      <c r="P943" s="906"/>
      <c r="Q943" s="906"/>
      <c r="R943" s="907"/>
      <c r="S943" s="908"/>
      <c r="T943" s="901"/>
      <c r="U943" s="902"/>
      <c r="V943" s="909"/>
      <c r="W943" s="909"/>
      <c r="X943" s="909"/>
      <c r="Y943" s="909"/>
      <c r="Z943" s="909"/>
      <c r="AA943" s="909"/>
      <c r="AB943" s="909"/>
      <c r="AC943" s="909"/>
      <c r="AD943" s="909"/>
    </row>
    <row r="944" s="141" customFormat="1" customHeight="1" spans="1:30">
      <c r="A944" s="900"/>
      <c r="B944" s="900"/>
      <c r="C944" s="900"/>
      <c r="D944" s="901"/>
      <c r="E944" s="901"/>
      <c r="F944" s="902"/>
      <c r="G944" s="902"/>
      <c r="H944" s="903"/>
      <c r="I944" s="900"/>
      <c r="J944" s="900"/>
      <c r="K944" s="902"/>
      <c r="L944" s="904"/>
      <c r="M944" s="904"/>
      <c r="N944" s="905"/>
      <c r="O944" s="905"/>
      <c r="P944" s="906"/>
      <c r="Q944" s="906"/>
      <c r="R944" s="907"/>
      <c r="S944" s="908"/>
      <c r="T944" s="901"/>
      <c r="U944" s="902"/>
      <c r="V944" s="909"/>
      <c r="W944" s="909"/>
      <c r="X944" s="909"/>
      <c r="Y944" s="909"/>
      <c r="Z944" s="909"/>
      <c r="AA944" s="909"/>
      <c r="AB944" s="909"/>
      <c r="AC944" s="909"/>
      <c r="AD944" s="909"/>
    </row>
    <row r="945" s="141" customFormat="1" customHeight="1" spans="1:30">
      <c r="A945" s="900"/>
      <c r="B945" s="900"/>
      <c r="C945" s="900"/>
      <c r="D945" s="901"/>
      <c r="E945" s="901"/>
      <c r="F945" s="902"/>
      <c r="G945" s="902"/>
      <c r="H945" s="903"/>
      <c r="I945" s="900"/>
      <c r="J945" s="900"/>
      <c r="K945" s="902"/>
      <c r="L945" s="904"/>
      <c r="M945" s="904"/>
      <c r="N945" s="905"/>
      <c r="O945" s="905"/>
      <c r="P945" s="906"/>
      <c r="Q945" s="906"/>
      <c r="R945" s="907"/>
      <c r="S945" s="908"/>
      <c r="T945" s="901"/>
      <c r="U945" s="902"/>
      <c r="V945" s="909"/>
      <c r="W945" s="909"/>
      <c r="X945" s="909"/>
      <c r="Y945" s="909"/>
      <c r="Z945" s="909"/>
      <c r="AA945" s="909"/>
      <c r="AB945" s="909"/>
      <c r="AC945" s="909"/>
      <c r="AD945" s="909"/>
    </row>
    <row r="946" s="141" customFormat="1" customHeight="1" spans="1:30">
      <c r="A946" s="900"/>
      <c r="B946" s="900"/>
      <c r="C946" s="900"/>
      <c r="D946" s="901"/>
      <c r="E946" s="901"/>
      <c r="F946" s="902"/>
      <c r="G946" s="902"/>
      <c r="H946" s="903"/>
      <c r="I946" s="900"/>
      <c r="J946" s="900"/>
      <c r="K946" s="902"/>
      <c r="L946" s="904"/>
      <c r="M946" s="904"/>
      <c r="N946" s="905"/>
      <c r="O946" s="905"/>
      <c r="P946" s="906"/>
      <c r="Q946" s="906"/>
      <c r="R946" s="907"/>
      <c r="S946" s="908"/>
      <c r="T946" s="901"/>
      <c r="U946" s="902"/>
      <c r="V946" s="909"/>
      <c r="W946" s="909"/>
      <c r="X946" s="909"/>
      <c r="Y946" s="909"/>
      <c r="Z946" s="909"/>
      <c r="AA946" s="909"/>
      <c r="AB946" s="909"/>
      <c r="AC946" s="909"/>
      <c r="AD946" s="909"/>
    </row>
  </sheetData>
  <sortState ref="A2:AE946">
    <sortCondition ref="F2" descending="1"/>
  </sortState>
  <mergeCells count="14">
    <mergeCell ref="AG14:AG41"/>
    <mergeCell ref="AG50:AG62"/>
    <mergeCell ref="AI3:AI8"/>
    <mergeCell ref="AI9:AI16"/>
    <mergeCell ref="AI17:AI24"/>
    <mergeCell ref="AI27:AI36"/>
    <mergeCell ref="AI1:AS2"/>
    <mergeCell ref="AJ3:AQ8"/>
    <mergeCell ref="AJ9:AQ16"/>
    <mergeCell ref="AR3:AS8"/>
    <mergeCell ref="AR9:AS16"/>
    <mergeCell ref="AR17:AS24"/>
    <mergeCell ref="AJ27:AS36"/>
    <mergeCell ref="AJ17:AQ24"/>
  </mergeCells>
  <conditionalFormatting sqref="P2:P130">
    <cfRule type="colorScale" priority="5">
      <colorScale>
        <cfvo type="min"/>
        <cfvo type="percentile" val="50"/>
        <cfvo type="max"/>
        <color rgb="FFF8696B"/>
        <color rgb="FFFFEB84"/>
        <color rgb="FF63BE7B"/>
      </colorScale>
    </cfRule>
    <cfRule type="colorScale" priority="2">
      <colorScale>
        <cfvo type="min"/>
        <cfvo type="max"/>
        <color rgb="FF63BE7B"/>
        <color rgb="FFFCFCFF"/>
      </colorScale>
    </cfRule>
    <cfRule type="dataBar" priority="3">
      <dataBar>
        <cfvo type="min"/>
        <cfvo type="max"/>
        <color rgb="FF638EC6"/>
      </dataBar>
      <extLst>
        <ext xmlns:x14="http://schemas.microsoft.com/office/spreadsheetml/2009/9/main" uri="{B025F937-C7B1-47D3-B67F-A62EFF666E3E}">
          <x14:id>{dfff8bb9-dfa0-4fb8-969c-45ae995fec79}</x14:id>
        </ext>
      </extLst>
    </cfRule>
  </conditionalFormatting>
  <conditionalFormatting sqref="AG2:AG12">
    <cfRule type="colorScale" priority="1">
      <colorScale>
        <cfvo type="min"/>
        <cfvo type="percentile" val="50"/>
        <cfvo type="max"/>
        <color rgb="FFF8696B"/>
        <color rgb="FFFFEB84"/>
        <color rgb="FF63BE7B"/>
      </colorScale>
    </cfRule>
  </conditionalFormatting>
  <conditionalFormatting sqref="W$1:X$1048576">
    <cfRule type="colorScale" priority="9">
      <colorScale>
        <cfvo type="min"/>
        <cfvo type="percentile" val="50"/>
        <cfvo type="max"/>
        <color rgb="FFF8696B"/>
        <color rgb="FFFFEB84"/>
        <color rgb="FF63BE7B"/>
      </colorScale>
    </cfRule>
  </conditionalFormatting>
  <conditionalFormatting sqref="Z$1:AA$1048576">
    <cfRule type="colorScale" priority="8">
      <colorScale>
        <cfvo type="min"/>
        <cfvo type="percentile" val="50"/>
        <cfvo type="max"/>
        <color rgb="FFF8696B"/>
        <color rgb="FFFFEB84"/>
        <color rgb="FF63BE7B"/>
      </colorScale>
    </cfRule>
  </conditionalFormatting>
  <conditionalFormatting sqref="AC$1:AD$1048576">
    <cfRule type="colorScale" priority="7">
      <colorScale>
        <cfvo type="min"/>
        <cfvo type="percentile" val="50"/>
        <cfvo type="max"/>
        <color rgb="FFF8696B"/>
        <color rgb="FFFFEB84"/>
        <color rgb="FF63BE7B"/>
      </colorScale>
    </cfRule>
  </conditionalFormatting>
  <hyperlinks>
    <hyperlink ref="V2" r:id="rId1" display="B07FDJMC9Q"/>
    <hyperlink ref="Y2" r:id="rId2" display="B08YS3WCVY"/>
    <hyperlink ref="AB2" r:id="rId3" display="B085W3GN5J"/>
    <hyperlink ref="V7" r:id="rId1" display="B07FDJMC9Q"/>
    <hyperlink ref="Y7" r:id="rId3" display="B085W3GN5J"/>
    <hyperlink ref="AB7" r:id="rId2" display="B08YS3WCVY"/>
    <hyperlink ref="V4" r:id="rId1" display="B07FDJMC9Q"/>
    <hyperlink ref="Y4" r:id="rId2" display="B08YS3WCVY"/>
    <hyperlink ref="AB4" r:id="rId3" display="B085W3GN5J"/>
    <hyperlink ref="V60" r:id="rId2" display="B08YS3WCVY"/>
    <hyperlink ref="Y60" r:id="rId1" display="B07FDJMC9Q"/>
    <hyperlink ref="AB60" r:id="rId3" display="B085W3GN5J"/>
    <hyperlink ref="V11" r:id="rId1" display="B07FDJMC9Q"/>
    <hyperlink ref="Y11" r:id="rId2" display="B08YS3WCVY"/>
    <hyperlink ref="AB11" r:id="rId3" display="B085W3GN5J"/>
    <hyperlink ref="V63" r:id="rId1" display="B07FDJMC9Q"/>
    <hyperlink ref="Y63" r:id="rId4" display="B0936FGLQS"/>
    <hyperlink ref="AB63" r:id="rId5" display="B08YS614RJ"/>
    <hyperlink ref="V20" r:id="rId2" display="B08YS3WCVY"/>
    <hyperlink ref="Y20" r:id="rId6" display="B08R6KMBQT"/>
    <hyperlink ref="AB20" r:id="rId7" display="B07NBQX8HS"/>
    <hyperlink ref="V5" r:id="rId3" display="B085W3GN5J"/>
    <hyperlink ref="Y5" r:id="rId8" display="B0BD4BYR11"/>
    <hyperlink ref="AB5" r:id="rId9" display="B0BPY841P6"/>
    <hyperlink ref="V9" r:id="rId1" display="B07FDJMC9Q"/>
    <hyperlink ref="Y9" r:id="rId2" display="B08YS3WCVY"/>
    <hyperlink ref="AB9" r:id="rId3" display="B085W3GN5J"/>
    <hyperlink ref="V21" r:id="rId1" display="B07FDJMC9Q"/>
    <hyperlink ref="Y21" r:id="rId10" display="B0978M8136"/>
    <hyperlink ref="AB21" r:id="rId3" display="B085W3GN5J"/>
    <hyperlink ref="V10" r:id="rId11" display="B0BGM4JY9G"/>
    <hyperlink ref="Y10" r:id="rId12" display="B07VM28XTR"/>
    <hyperlink ref="AB10" r:id="rId13" display="B07LBZGD97"/>
    <hyperlink ref="V59" r:id="rId1" display="B07FDJMC9Q"/>
    <hyperlink ref="Y59" r:id="rId2" display="B08YS3WCVY"/>
    <hyperlink ref="AB59" r:id="rId3" display="B085W3GN5J"/>
    <hyperlink ref="V49" r:id="rId1" display="B07FDJMC9Q"/>
    <hyperlink ref="Y49" r:id="rId2" display="B08YS3WCVY"/>
    <hyperlink ref="AB49" r:id="rId3" display="B085W3GN5J"/>
    <hyperlink ref="V46" r:id="rId1" display="B07FDJMC9Q"/>
    <hyperlink ref="Y46" r:id="rId4" display="B0936FGLQS"/>
    <hyperlink ref="AB46" r:id="rId14" display="B085LT31HP"/>
    <hyperlink ref="V64" r:id="rId1" display="B07FDJMC9Q"/>
    <hyperlink ref="Y64" r:id="rId3" display="B085W3GN5J"/>
    <hyperlink ref="AB64" r:id="rId2" display="B08YS3WCVY"/>
    <hyperlink ref="V50" r:id="rId1" display="B07FDJMC9Q"/>
    <hyperlink ref="Y50" r:id="rId15" display="B075X3287P"/>
    <hyperlink ref="AB50" r:id="rId7" display="B07NBQX8HS"/>
    <hyperlink ref="V76" r:id="rId1" display="B07FDJMC9Q"/>
    <hyperlink ref="Y76" r:id="rId3" display="B085W3GN5J"/>
    <hyperlink ref="AB76" r:id="rId2" display="B08YS3WCVY"/>
    <hyperlink ref="V17" r:id="rId14" display="B085LT31HP"/>
    <hyperlink ref="Y17" r:id="rId12" display="B07VM28XTR"/>
    <hyperlink ref="AB17" r:id="rId16" display="B0B5B54DNF"/>
    <hyperlink ref="V14" r:id="rId2" display="B08YS3WCVY"/>
    <hyperlink ref="Y14" r:id="rId7" display="B07NBQX8HS"/>
    <hyperlink ref="AB14" r:id="rId17" display="B0815KPZVB"/>
    <hyperlink ref="V72" r:id="rId3" display="B085W3GN5J"/>
    <hyperlink ref="Y72" r:id="rId1" display="B07FDJMC9Q"/>
    <hyperlink ref="AB72" r:id="rId2" display="B08YS3WCVY"/>
    <hyperlink ref="V28" r:id="rId1" display="B07FDJMC9Q"/>
    <hyperlink ref="Y28" r:id="rId2" display="B08YS3WCVY"/>
    <hyperlink ref="AB28" r:id="rId3" display="B085W3GN5J"/>
    <hyperlink ref="V112" r:id="rId1" display="B07FDJMC9Q"/>
    <hyperlink ref="Y112" r:id="rId18"/>
    <hyperlink ref="AB112" r:id="rId18"/>
    <hyperlink ref="V43" r:id="rId1" display="B07FDJMC9Q"/>
    <hyperlink ref="Y43" r:id="rId2" display="B08YS3WCVY"/>
    <hyperlink ref="AB43" r:id="rId12" display="B07VM28XTR"/>
    <hyperlink ref="V62" r:id="rId1" display="B07FDJMC9Q"/>
    <hyperlink ref="Y62" r:id="rId3" display="B085W3GN5J"/>
    <hyperlink ref="AB62" r:id="rId2" display="B08YS3WCVY"/>
    <hyperlink ref="V23" r:id="rId2" display="B08YS3WCVY"/>
    <hyperlink ref="Y23" r:id="rId7" display="B07NBQX8HS"/>
    <hyperlink ref="AB23" r:id="rId17" display="B0815KPZVB"/>
    <hyperlink ref="V79" r:id="rId1" display="B07FDJMC9Q"/>
    <hyperlink ref="Y79" r:id="rId3" display="B085W3GN5J"/>
    <hyperlink ref="AB79" r:id="rId2" display="B08YS3WCVY"/>
    <hyperlink ref="V108" r:id="rId1" display="B07FDJMC9Q"/>
    <hyperlink ref="Y108" r:id="rId19" display="B07VM1FT8W"/>
    <hyperlink ref="AB108" r:id="rId3" display="B085W3GN5J"/>
    <hyperlink ref="V56" r:id="rId1" display="B07FDJMC9Q"/>
    <hyperlink ref="Y56" r:id="rId2" display="B08YS3WCVY"/>
    <hyperlink ref="AB56" r:id="rId20" display="B089TQWJKK"/>
    <hyperlink ref="V22" r:id="rId1" display="B07FDJMC9Q"/>
    <hyperlink ref="Y22" r:id="rId3" display="B085W3GN5J"/>
    <hyperlink ref="AB22" r:id="rId2" display="B08YS3WCVY"/>
    <hyperlink ref="V113" r:id="rId1" display="B07FDJMC9Q"/>
    <hyperlink ref="Y113" r:id="rId21" display="B07GJBBGHG"/>
    <hyperlink ref="AB113" r:id="rId18"/>
    <hyperlink ref="V51" r:id="rId12" display="B07VM28XTR"/>
    <hyperlink ref="Y51" r:id="rId14" display="B085LT31HP"/>
    <hyperlink ref="AB51" r:id="rId16" display="B0B5B54DNF"/>
    <hyperlink ref="V103" r:id="rId1" display="B07FDJMC9Q"/>
    <hyperlink ref="Y103" r:id="rId15" display="B075X3287P"/>
    <hyperlink ref="AB103" r:id="rId3" display="B085W3GN5J"/>
    <hyperlink ref="V114" r:id="rId1" display="B07FDJMC9Q"/>
    <hyperlink ref="Y114" r:id="rId22" display="B085GN68LC"/>
    <hyperlink ref="AB114" r:id="rId21" display="B07GJBBGHG"/>
    <hyperlink ref="V73" r:id="rId2" display="B08YS3WCVY"/>
    <hyperlink ref="Y73" r:id="rId5" display="B08YS614RJ"/>
    <hyperlink ref="AB73" r:id="rId1" display="B07FDJMC9Q"/>
    <hyperlink ref="V104" r:id="rId1" display="B07FDJMC9Q"/>
    <hyperlink ref="Y104" r:id="rId15" display="B075X3287P"/>
    <hyperlink ref="AB104" r:id="rId12" display="B07VM28XTR"/>
    <hyperlink ref="V92" r:id="rId23" display="B08GNZJ4R1"/>
    <hyperlink ref="Y92" r:id="rId24" display="B0B1J6SB7C"/>
    <hyperlink ref="AB92" r:id="rId15" display="B075X3287P"/>
    <hyperlink ref="V12" r:id="rId25" display="B08WCLJ7JG"/>
    <hyperlink ref="Y12" r:id="rId12" display="B07VM28XTR"/>
    <hyperlink ref="AB12" r:id="rId19" display="B07VM1FT8W"/>
    <hyperlink ref="V48" r:id="rId2" display="B08YS3WCVY"/>
    <hyperlink ref="Y48" r:id="rId3" display="B085W3GN5J"/>
    <hyperlink ref="AB48" r:id="rId1" display="B07FDJMC9Q"/>
    <hyperlink ref="V115" r:id="rId1" display="B07FDJMC9Q"/>
    <hyperlink ref="Y115" r:id="rId21" display="B07GJBBGHG"/>
    <hyperlink ref="AB115" r:id="rId12" display="B07VM28XTR"/>
    <hyperlink ref="V54" r:id="rId14" display="B085LT31HP"/>
    <hyperlink ref="Y54" r:id="rId16" display="B0B5B54DNF"/>
    <hyperlink ref="AB54" r:id="rId26" display="B09871GCN1"/>
    <hyperlink ref="V42" r:id="rId14" display="B085LT31HP"/>
    <hyperlink ref="Y42" r:id="rId16" display="B0B5B54DNF"/>
    <hyperlink ref="AB42" r:id="rId20" display="B089TQWJKK"/>
    <hyperlink ref="V99" r:id="rId1" display="B07FDJMC9Q"/>
    <hyperlink ref="Y99" r:id="rId3" display="B085W3GN5J"/>
    <hyperlink ref="AB99" r:id="rId27" display="B09BJHB2BD"/>
    <hyperlink ref="V94" r:id="rId3" display="B085W3GN5J"/>
    <hyperlink ref="Y94" r:id="rId8" display="B0BD4BYR11"/>
    <hyperlink ref="AB94" r:id="rId28" display="B09MS2RQGL"/>
    <hyperlink ref="V105" r:id="rId28" display="B09MS2RQGL"/>
    <hyperlink ref="Y105" r:id="rId8" display="B0BD4BYR11"/>
    <hyperlink ref="AB105" r:id="rId29" display="B0B5G788P2"/>
    <hyperlink ref="V96" r:id="rId15" display="B075X3287P"/>
    <hyperlink ref="Y96" r:id="rId1" display="B07FDJMC9Q"/>
    <hyperlink ref="AB96" r:id="rId30" display="B0777RJG6D"/>
    <hyperlink ref="V93" r:id="rId7" display="B07NBQX8HS"/>
    <hyperlink ref="Y93" r:id="rId2" display="B08YS3WCVY"/>
    <hyperlink ref="AB93" r:id="rId5" display="B08YS614RJ"/>
    <hyperlink ref="V116" r:id="rId1" display="B07FDJMC9Q"/>
    <hyperlink ref="Y116" r:id="rId31" display="B09DYPNPV4"/>
    <hyperlink ref="AB116" r:id="rId32" display="B07N9786PZ"/>
    <hyperlink ref="V18" r:id="rId33" display="B0B7CBQM87"/>
    <hyperlink ref="Y18" r:id="rId16" display="B0B5B54DNF"/>
    <hyperlink ref="AB18" r:id="rId34" display="B07S6529ZZ"/>
    <hyperlink ref="V27" r:id="rId12" display="B07VM28XTR"/>
    <hyperlink ref="Y27" r:id="rId2" display="B08YS3WCVY"/>
    <hyperlink ref="AB27" r:id="rId35" display="B08V5DPMM5"/>
    <hyperlink ref="V74" r:id="rId1" display="B07FDJMC9Q"/>
    <hyperlink ref="Y74" r:id="rId2" display="B08YS3WCVY"/>
    <hyperlink ref="AB74" r:id="rId3" display="B085W3GN5J"/>
    <hyperlink ref="V53" r:id="rId30" display="B0777RJG6D"/>
    <hyperlink ref="Y53" r:id="rId15" display="B075X3287P"/>
    <hyperlink ref="AB53" r:id="rId36" display="B08QQRH2Z9"/>
    <hyperlink ref="V117" r:id="rId37" display="B09DYL88HF"/>
    <hyperlink ref="Y117" r:id="rId38" display="B09BNH854T"/>
    <hyperlink ref="AB117" r:id="rId39" display="B095HCR6NM"/>
    <hyperlink ref="V109" r:id="rId40" display="B0BFCV16X3"/>
    <hyperlink ref="Y109" r:id="rId41" display="B0B7MSDCH4"/>
    <hyperlink ref="AB109" r:id="rId42" display="B0BNH66GKX"/>
    <hyperlink ref="V26" r:id="rId2" display="B08YS3WCVY"/>
    <hyperlink ref="Y26" r:id="rId7" display="B07NBQX8HS"/>
    <hyperlink ref="AB26" r:id="rId43" display="B08YS2ZZ97"/>
    <hyperlink ref="V118" r:id="rId21" display="B07GJBBGHG"/>
    <hyperlink ref="Y118" r:id="rId44" display="B09X5BK8TF"/>
    <hyperlink ref="AB118" r:id="rId45" display="B07FF117K7"/>
    <hyperlink ref="V52" r:id="rId1" display="B07FDJMC9Q"/>
    <hyperlink ref="Y52" r:id="rId14" display="B085LT31HP"/>
    <hyperlink ref="AB52" r:id="rId15" display="B075X3287P"/>
    <hyperlink ref="V35" r:id="rId46" display="B08FMVM61C"/>
    <hyperlink ref="Y35" r:id="rId47" display="B01M036C6E"/>
    <hyperlink ref="AB35" r:id="rId16" display="B0B5B54DNF"/>
    <hyperlink ref="V101" r:id="rId2" display="B08YS3WCVY"/>
    <hyperlink ref="Y101" r:id="rId3" display="B085W3GN5J"/>
    <hyperlink ref="AB101" r:id="rId1" display="B07FDJMC9Q"/>
    <hyperlink ref="V91" r:id="rId1" display="B07FDJMC9Q"/>
    <hyperlink ref="Y91" r:id="rId14" display="B085LT31HP"/>
    <hyperlink ref="AB91" r:id="rId30" display="B0777RJG6D"/>
    <hyperlink ref="V33" r:id="rId13" display="B07LBZGD97"/>
    <hyperlink ref="Y33" r:id="rId48" display="B08K8T3W2V"/>
    <hyperlink ref="AB33" r:id="rId2" display="B08YS3WCVY"/>
    <hyperlink ref="V119" r:id="rId49" display="B09P15M6XR"/>
    <hyperlink ref="Y119" r:id="rId50" display="B0815KJCM1"/>
    <hyperlink ref="AB119" r:id="rId51" display="B09C8NVNK2"/>
    <hyperlink ref="V65" r:id="rId7" display="B07NBQX8HS"/>
    <hyperlink ref="Y65" r:id="rId17" display="B0815KPZVB"/>
    <hyperlink ref="AB65" r:id="rId2" display="B08YS3WCVY"/>
    <hyperlink ref="V82" r:id="rId52" display="B0BRKSXZJH"/>
    <hyperlink ref="Y82" r:id="rId17" display="B0815KPZVB"/>
    <hyperlink ref="AB82" r:id="rId2" display="B08YS3WCVY"/>
    <hyperlink ref="V3" r:id="rId1" display="B07FDJMC9Q"/>
    <hyperlink ref="Y3" r:id="rId16" display="B0B5B54DNF"/>
    <hyperlink ref="AB3" r:id="rId53" display="B07S76WBGF"/>
    <hyperlink ref="V75" r:id="rId54" display="B07FYXBHJ9"/>
    <hyperlink ref="Y75" r:id="rId3" display="B085W3GN5J"/>
    <hyperlink ref="AB75" r:id="rId55" display="B08CY6ZPCW"/>
    <hyperlink ref="V25" r:id="rId2" display="B08YS3WCVY"/>
    <hyperlink ref="Y25" r:id="rId15" display="B075X3287P"/>
    <hyperlink ref="AB25" r:id="rId30" display="B0777RJG6D"/>
    <hyperlink ref="V120" r:id="rId21" display="B07GJBBGHG"/>
    <hyperlink ref="Y120" r:id="rId56" display="B07256H8D2"/>
    <hyperlink ref="AB120" r:id="rId57" display="B01NAFY0W9"/>
    <hyperlink ref="V121" r:id="rId58" display="B0993H43N3"/>
    <hyperlink ref="Y121" r:id="rId18"/>
    <hyperlink ref="AB121" r:id="rId18"/>
    <hyperlink ref="V80" r:id="rId7" display="B07NBQX8HS"/>
    <hyperlink ref="Y80" r:id="rId59" display="B0B1G5M31V"/>
    <hyperlink ref="AB80" r:id="rId60" display="B096N3FTZP"/>
    <hyperlink ref="V122" r:id="rId61" display="B01L7TOZJO"/>
    <hyperlink ref="Y122" r:id="rId62" display="B07LBGDTCQ"/>
    <hyperlink ref="AB122" r:id="rId63" display="B07Z1R5D26"/>
    <hyperlink ref="V29" r:id="rId3" display="B085W3GN5J"/>
    <hyperlink ref="Y29" r:id="rId8" display="B0BD4BYR11"/>
    <hyperlink ref="AB29" r:id="rId28" display="B09MS2RQGL"/>
    <hyperlink ref="V70" r:id="rId7" display="B07NBQX8HS"/>
    <hyperlink ref="Y70" r:id="rId30" display="B0777RJG6D"/>
    <hyperlink ref="AB70" r:id="rId1" display="B07FDJMC9Q"/>
    <hyperlink ref="V111" r:id="rId64" display="B07Z3GF36Y"/>
    <hyperlink ref="Y111" r:id="rId65" display="B08DPXDRVX"/>
    <hyperlink ref="AB111" r:id="rId18"/>
    <hyperlink ref="V40" r:id="rId2" display="B08YS3WCVY"/>
    <hyperlink ref="Y40" r:id="rId7" display="B07NBQX8HS"/>
    <hyperlink ref="AB40" r:id="rId17" display="B0815KPZVB"/>
    <hyperlink ref="V88" r:id="rId1" display="B07FDJMC9Q"/>
    <hyperlink ref="Y88" r:id="rId3" display="B085W3GN5J"/>
    <hyperlink ref="AB88" r:id="rId2" display="B08YS3WCVY"/>
    <hyperlink ref="V13" r:id="rId46" display="B08FMVM61C"/>
    <hyperlink ref="Y13" r:id="rId66" display="B086K1T4JJ"/>
    <hyperlink ref="AB13" r:id="rId67" display="B0769Y1JVN"/>
    <hyperlink ref="V123" r:id="rId68" display="B07NLHMYH4"/>
    <hyperlink ref="Y123" r:id="rId69" display="B095Y6S7Z9"/>
    <hyperlink ref="AB123" r:id="rId70" display="B09ZTTF9DD"/>
    <hyperlink ref="V30" r:id="rId16" display="B0B5B54DNF"/>
    <hyperlink ref="Y30" r:id="rId14" display="B085LT31HP"/>
    <hyperlink ref="AB30" r:id="rId71" display="B07PPD1H64"/>
    <hyperlink ref="V107" r:id="rId72" display="B08JCG9YW4"/>
    <hyperlink ref="Y107" r:id="rId18"/>
    <hyperlink ref="AB107" r:id="rId18"/>
    <hyperlink ref="V37" r:id="rId12" display="B07VM28XTR"/>
    <hyperlink ref="Y37" r:id="rId2" display="B08YS3WCVY"/>
    <hyperlink ref="AB37" r:id="rId60" display="B096N3FTZP"/>
    <hyperlink ref="V57" r:id="rId73" display="B0B4BLJL1C"/>
    <hyperlink ref="Y57" r:id="rId74" display="B08SHFYQMV"/>
    <hyperlink ref="AB57" r:id="rId75" display="B08PNHBCTL"/>
    <hyperlink ref="V41" r:id="rId27" display="B09BJHB2BD"/>
    <hyperlink ref="Y41" r:id="rId3" display="B085W3GN5J"/>
    <hyperlink ref="AB41" r:id="rId28" display="B09MS2RQGL"/>
    <hyperlink ref="V98" r:id="rId1" display="B07FDJMC9Q"/>
    <hyperlink ref="Y98" r:id="rId2" display="B08YS3WCVY"/>
    <hyperlink ref="AB98" r:id="rId14" display="B085LT31HP"/>
    <hyperlink ref="V39" r:id="rId30" display="B0777RJG6D"/>
    <hyperlink ref="Y39" r:id="rId7" display="B07NBQX8HS"/>
    <hyperlink ref="AB39" r:id="rId1" display="B07FDJMC9Q"/>
    <hyperlink ref="V69" r:id="rId76" display="B08YDQSG55"/>
    <hyperlink ref="Y69" r:id="rId77" display="B07QDSNFS2"/>
    <hyperlink ref="AB69" r:id="rId78" display="B07QDSHKV1"/>
    <hyperlink ref="V124" r:id="rId45" display="B07FF117K7"/>
    <hyperlink ref="Y124" r:id="rId79" display="B096X9LGJ1"/>
    <hyperlink ref="AB124" r:id="rId21" display="B07GJBBGHG"/>
    <hyperlink ref="V44" r:id="rId80" display="B081SYTG63"/>
    <hyperlink ref="Y44" r:id="rId81" display="B07X1VXQMS"/>
    <hyperlink ref="AB44" r:id="rId45" display="B07FF117K7"/>
    <hyperlink ref="V125" r:id="rId1" display="B07FDJMC9Q"/>
    <hyperlink ref="Y125" r:id="rId20" display="B089TQWJKK"/>
    <hyperlink ref="AB125" r:id="rId34" display="B07S6529ZZ"/>
    <hyperlink ref="V19" r:id="rId1" display="B07FDJMC9Q"/>
    <hyperlink ref="Y19" r:id="rId3" display="B085W3GN5J"/>
    <hyperlink ref="AB19" r:id="rId15" display="B075X3287P"/>
    <hyperlink ref="V102" r:id="rId82" display="B076FPT78K"/>
    <hyperlink ref="Y102" r:id="rId80" display="B081SYTG63"/>
    <hyperlink ref="AB102" r:id="rId83" display="B08DL8WH9V"/>
    <hyperlink ref="V95" r:id="rId1" display="B07FDJMC9Q"/>
    <hyperlink ref="Y95" r:id="rId3" display="B085W3GN5J"/>
    <hyperlink ref="AB95" r:id="rId83" display="B08DL8WH9V"/>
    <hyperlink ref="V6" r:id="rId11" display="B0BGM4JY9G"/>
    <hyperlink ref="Y6" r:id="rId84" display="B07J2PWRFJ"/>
    <hyperlink ref="AB6" r:id="rId85" display="B07SCGY2H6"/>
    <hyperlink ref="V55" r:id="rId86" display="B086GWG6BG"/>
    <hyperlink ref="Y55" r:id="rId87" display="B087T8LKNC"/>
    <hyperlink ref="AB55" r:id="rId2" display="B08YS3WCVY"/>
    <hyperlink ref="V47" r:id="rId1" display="B07FDJMC9Q"/>
    <hyperlink ref="Y47" r:id="rId16" display="B0B5B54DNF"/>
    <hyperlink ref="AB47" r:id="rId20" display="B089TQWJKK"/>
    <hyperlink ref="V110" r:id="rId1" display="B07FDJMC9Q"/>
    <hyperlink ref="Y110" r:id="rId14" display="B085LT31HP"/>
    <hyperlink ref="AB110" r:id="rId2" display="B08YS3WCVY"/>
    <hyperlink ref="V15" r:id="rId2" display="B08YS3WCVY"/>
    <hyperlink ref="Y15" r:id="rId87" display="B087T8LKNC"/>
    <hyperlink ref="AB15" r:id="rId86" display="B086GWG6BG"/>
    <hyperlink ref="V66" r:id="rId33" display="B0B7CBQM87"/>
    <hyperlink ref="Y66" r:id="rId34" display="B07S6529ZZ"/>
    <hyperlink ref="AB66" r:id="rId88" display="B08QKTXT1N"/>
    <hyperlink ref="V8" r:id="rId11" display="B0BGM4JY9G"/>
    <hyperlink ref="Y8" r:id="rId84" display="B07J2PWRFJ"/>
    <hyperlink ref="AB8" r:id="rId89" display="B08CW95ZFR"/>
    <hyperlink ref="V84" r:id="rId1" display="B07FDJMC9Q"/>
    <hyperlink ref="Y84" r:id="rId30" display="B0777RJG6D"/>
    <hyperlink ref="AB84" r:id="rId2" display="B08YS3WCVY"/>
    <hyperlink ref="V16" r:id="rId11" display="B0BGM4JY9G"/>
    <hyperlink ref="Y16" r:id="rId2" display="B08YS3WCVY"/>
    <hyperlink ref="AB16" r:id="rId90" display="B0B7C5ZY9S"/>
    <hyperlink ref="V126" r:id="rId45" display="B07FF117K7"/>
    <hyperlink ref="Y126" r:id="rId43" display="B08YS2ZZ97"/>
    <hyperlink ref="AB126" r:id="rId4" display="B0936FGLQS"/>
    <hyperlink ref="V100" r:id="rId14" display="B085LT31HP"/>
    <hyperlink ref="Y100" r:id="rId15" display="B075X3287P"/>
    <hyperlink ref="AB100" r:id="rId16" display="B0B5B54DNF"/>
    <hyperlink ref="V68" r:id="rId15" display="B075X3287P"/>
    <hyperlink ref="Y68" r:id="rId63" display="B07Z1R5D26"/>
    <hyperlink ref="AB68" r:id="rId19" display="B07VM1FT8W"/>
    <hyperlink ref="V86" r:id="rId1" display="B07FDJMC9Q"/>
    <hyperlink ref="Y86" r:id="rId91" display="B08YNDYG71"/>
    <hyperlink ref="AB86" r:id="rId4" display="B0936FGLQS"/>
    <hyperlink ref="V90" r:id="rId30" display="B0777RJG6D"/>
    <hyperlink ref="Y90" r:id="rId2" display="B08YS3WCVY"/>
    <hyperlink ref="AB90" r:id="rId86" display="B086GWG6BG"/>
    <hyperlink ref="V34" r:id="rId92" display="B09B7SB46R"/>
    <hyperlink ref="Y34" r:id="rId68" display="B07NLHMYH4"/>
    <hyperlink ref="AB34" r:id="rId93" display="B0872DQV7Z"/>
    <hyperlink ref="V85" r:id="rId94" display="B07RX9JQGN"/>
    <hyperlink ref="Y85" r:id="rId95" display="B07MR3KWSL"/>
    <hyperlink ref="AB85" r:id="rId2" display="B08YS3WCVY"/>
    <hyperlink ref="V24" r:id="rId57" display="B01NAFY0W9"/>
    <hyperlink ref="Y24" r:id="rId96" display="B06W55WL7Q"/>
    <hyperlink ref="AB24" r:id="rId97" display="B0B3S8Y8SM"/>
    <hyperlink ref="V78" r:id="rId14" display="B085LT31HP"/>
    <hyperlink ref="Y78" r:id="rId16" display="B0B5B54DNF"/>
    <hyperlink ref="AB78" r:id="rId12" display="B07VM28XTR"/>
    <hyperlink ref="V38" r:id="rId68" display="B07NLHMYH4"/>
    <hyperlink ref="Y38" r:id="rId92" display="B09B7SB46R"/>
    <hyperlink ref="AB38" r:id="rId98" display="B07Z9HNYQ9"/>
    <hyperlink ref="V81" r:id="rId19" display="B07VM1FT8W"/>
    <hyperlink ref="Y81" r:id="rId63" display="B07Z1R5D26"/>
    <hyperlink ref="AB81" r:id="rId80" display="B081SYTG63"/>
    <hyperlink ref="V127" r:id="rId1" display="B07FDJMC9Q"/>
    <hyperlink ref="Y127" r:id="rId14" display="B085LT31HP"/>
    <hyperlink ref="AB127" r:id="rId99" display="B09K6MK5VN"/>
    <hyperlink ref="V128" r:id="rId45" display="B07FF117K7"/>
    <hyperlink ref="Y128" r:id="rId21" display="B07GJBBGHG"/>
    <hyperlink ref="AB128" r:id="rId100" display="B08GPPMK8W"/>
    <hyperlink ref="V58" r:id="rId1" display="B07FDJMC9Q"/>
    <hyperlink ref="Y58" r:id="rId2" display="B08YS3WCVY"/>
    <hyperlink ref="AB58" r:id="rId101" display="B00IXBMS6M"/>
    <hyperlink ref="V67" r:id="rId12" display="B07VM28XTR"/>
    <hyperlink ref="Y67" r:id="rId35" display="B08V5DPMM5"/>
    <hyperlink ref="AB67" r:id="rId2" display="B08YS3WCVY"/>
    <hyperlink ref="V71" r:id="rId67" display="B0769Y1JVN"/>
    <hyperlink ref="Y71" r:id="rId102" display="B07CFW48ND"/>
    <hyperlink ref="AB71" r:id="rId103" display="B07YGVC4LX"/>
    <hyperlink ref="V106" r:id="rId1" display="B07FDJMC9Q"/>
    <hyperlink ref="Y106" r:id="rId68" display="B07NLHMYH4"/>
    <hyperlink ref="AB106" r:id="rId36" display="B08QQRH2Z9"/>
    <hyperlink ref="V89" r:id="rId101" display="B00IXBMS6M"/>
    <hyperlink ref="Y89" r:id="rId104" display="B08BXXQ37X"/>
    <hyperlink ref="AB89" r:id="rId62" display="B07LBGDTCQ"/>
    <hyperlink ref="V129" r:id="rId105" display="B01K0W8LTE"/>
    <hyperlink ref="Y129" r:id="rId106" display="B07PH44BJS"/>
    <hyperlink ref="AB129" r:id="rId93" display="B0872DQV7Z"/>
    <hyperlink ref="V130" r:id="rId107" display="B08HYLZBHT"/>
    <hyperlink ref="Y130" r:id="rId108" display="B07VS447SB"/>
    <hyperlink ref="AB130" r:id="rId18"/>
    <hyperlink ref="V36" r:id="rId16" display="B0B5B54DNF"/>
    <hyperlink ref="Y36" r:id="rId20" display="B089TQWJKK"/>
    <hyperlink ref="AB36" r:id="rId44" display="B09X5BK8TF"/>
    <hyperlink ref="V77" r:id="rId7" display="B07NBQX8HS"/>
    <hyperlink ref="Y77" r:id="rId87" display="B087T8LKNC"/>
    <hyperlink ref="AB77" r:id="rId109" display="B08NCHMH1L"/>
    <hyperlink ref="V83" r:id="rId1" display="B07FDJMC9Q"/>
    <hyperlink ref="Y83" r:id="rId7" display="B07NBQX8HS"/>
    <hyperlink ref="AB83" r:id="rId83" display="B08DL8WH9V"/>
    <hyperlink ref="V32" r:id="rId110" display="B08DVVY1SW"/>
    <hyperlink ref="Y32" r:id="rId111" display="B08SHYP66H"/>
    <hyperlink ref="AB32" r:id="rId112" display="B08P27TNL6"/>
    <hyperlink ref="V87" r:id="rId1" display="B07FDJMC9Q"/>
    <hyperlink ref="Y87" r:id="rId3" display="B085W3GN5J"/>
    <hyperlink ref="AB87" r:id="rId10" display="B0978M8136"/>
    <hyperlink ref="V45" r:id="rId33" display="B0B7CBQM87"/>
    <hyperlink ref="Y45" r:id="rId113" display="B08BXX69K4"/>
    <hyperlink ref="AB45" r:id="rId114" display="B089TQ82WT"/>
    <hyperlink ref="V61" r:id="rId12" display="B07VM28XTR"/>
    <hyperlink ref="Y61" r:id="rId2" display="B08YS3WCVY"/>
    <hyperlink ref="AB61" r:id="rId115" display="B096N28SZP"/>
    <hyperlink ref="V97" r:id="rId1" display="B07FDJMC9Q"/>
    <hyperlink ref="Y97" r:id="rId81" display="B07X1VXQMS"/>
    <hyperlink ref="AB97" r:id="rId20" display="B089TQWJKK"/>
    <hyperlink ref="V31" r:id="rId93" display="B0872DQV7Z"/>
    <hyperlink ref="Y31" r:id="rId116" display="B09CR5S18P"/>
    <hyperlink ref="AB31" r:id="rId117" display="B097YYKC1H"/>
  </hyperlinks>
  <pageMargins left="0.75" right="0.75" top="1" bottom="1" header="0.5" footer="0.5"/>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dfff8bb9-dfa0-4fb8-969c-45ae995fec79}">
            <x14:dataBar minLength="0" maxLength="100" border="1" negativeBarBorderColorSameAsPositive="0">
              <x14:cfvo type="autoMin"/>
              <x14:cfvo type="autoMax"/>
              <x14:borderColor rgb="FF638EC6"/>
              <x14:negativeFillColor rgb="FFFF0000"/>
              <x14:negativeBorderColor rgb="FFFF0000"/>
              <x14:axisColor rgb="FF000000"/>
            </x14:dataBar>
          </x14:cfRule>
          <xm:sqref>P2:P130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01"/>
  <sheetViews>
    <sheetView topLeftCell="U1" workbookViewId="0">
      <pane ySplit="1" topLeftCell="A27" activePane="bottomLeft" state="frozen"/>
      <selection/>
      <selection pane="bottomLeft" activeCell="J15" sqref="J15"/>
    </sheetView>
  </sheetViews>
  <sheetFormatPr defaultColWidth="9" defaultRowHeight="13.5"/>
  <cols>
    <col min="1" max="1" width="8" style="695" customWidth="1"/>
    <col min="2" max="6" width="14" style="695" customWidth="1"/>
    <col min="7" max="7" width="13" style="695" customWidth="1"/>
    <col min="8" max="9" width="35" style="695" customWidth="1"/>
    <col min="10" max="10" width="14" style="695" customWidth="1"/>
    <col min="11" max="12" width="20" style="695" customWidth="1"/>
    <col min="13" max="13" width="12" style="888" customWidth="1"/>
    <col min="14" max="14" width="25" style="695" customWidth="1"/>
    <col min="15" max="15" width="12" style="888" customWidth="1"/>
    <col min="16" max="16" width="13" style="888" customWidth="1"/>
    <col min="17" max="17" width="15" style="888" customWidth="1"/>
    <col min="18" max="18" width="10" style="896" customWidth="1"/>
    <col min="19" max="19" width="10" style="897" customWidth="1"/>
    <col min="20" max="20" width="10" style="896" customWidth="1"/>
    <col min="21" max="21" width="10" style="898" customWidth="1"/>
    <col min="22" max="22" width="10" style="888" customWidth="1"/>
    <col min="23" max="23" width="10" style="899" customWidth="1"/>
    <col min="24" max="26" width="10" style="888" customWidth="1"/>
    <col min="27" max="27" width="18" style="695" customWidth="1"/>
    <col min="28" max="28" width="12" style="888" customWidth="1"/>
    <col min="29" max="30" width="10" style="888" customWidth="1"/>
    <col min="31" max="31" width="18" style="695" customWidth="1"/>
    <col min="32" max="32" width="13" style="695" customWidth="1"/>
    <col min="33" max="33" width="37" style="695" customWidth="1"/>
    <col min="34" max="34" width="10" style="695" customWidth="1"/>
    <col min="35" max="35" width="18" style="695" customWidth="1"/>
    <col min="36" max="36" width="21" style="695" customWidth="1"/>
    <col min="37" max="16384" width="9" style="1"/>
  </cols>
  <sheetData>
    <row r="1" s="1" customFormat="1" ht="27" customHeight="1" spans="1:36">
      <c r="A1" s="2" t="s">
        <v>809</v>
      </c>
      <c r="B1" s="2" t="s">
        <v>810</v>
      </c>
      <c r="C1" s="2" t="s">
        <v>811</v>
      </c>
      <c r="D1" s="2" t="s">
        <v>812</v>
      </c>
      <c r="E1" s="2" t="s">
        <v>813</v>
      </c>
      <c r="F1" s="2" t="s">
        <v>814</v>
      </c>
      <c r="G1" s="2" t="s">
        <v>815</v>
      </c>
      <c r="H1" s="2" t="s">
        <v>816</v>
      </c>
      <c r="I1" s="2" t="s">
        <v>817</v>
      </c>
      <c r="J1" s="2" t="s">
        <v>818</v>
      </c>
      <c r="K1" s="2" t="s">
        <v>819</v>
      </c>
      <c r="L1" s="2" t="s">
        <v>820</v>
      </c>
      <c r="M1" s="3" t="s">
        <v>821</v>
      </c>
      <c r="N1" s="2" t="s">
        <v>822</v>
      </c>
      <c r="O1" s="3" t="s">
        <v>823</v>
      </c>
      <c r="P1" s="3" t="s">
        <v>824</v>
      </c>
      <c r="Q1" s="3" t="s">
        <v>825</v>
      </c>
      <c r="R1" s="5" t="s">
        <v>826</v>
      </c>
      <c r="S1" s="6" t="s">
        <v>827</v>
      </c>
      <c r="T1" s="5" t="s">
        <v>828</v>
      </c>
      <c r="U1" s="7" t="s">
        <v>829</v>
      </c>
      <c r="V1" s="3" t="s">
        <v>48</v>
      </c>
      <c r="W1" s="8" t="s">
        <v>830</v>
      </c>
      <c r="X1" s="3" t="s">
        <v>831</v>
      </c>
      <c r="Y1" s="3" t="s">
        <v>832</v>
      </c>
      <c r="Z1" s="2" t="s">
        <v>833</v>
      </c>
      <c r="AA1" s="2" t="s">
        <v>834</v>
      </c>
      <c r="AB1" s="3" t="s">
        <v>835</v>
      </c>
      <c r="AC1" s="3" t="s">
        <v>836</v>
      </c>
      <c r="AD1" s="3" t="s">
        <v>837</v>
      </c>
      <c r="AE1" s="2" t="s">
        <v>838</v>
      </c>
      <c r="AF1" s="2" t="s">
        <v>839</v>
      </c>
      <c r="AG1" s="2" t="s">
        <v>840</v>
      </c>
      <c r="AH1" s="2" t="s">
        <v>841</v>
      </c>
      <c r="AI1" s="2" t="s">
        <v>842</v>
      </c>
      <c r="AJ1" s="2" t="s">
        <v>843</v>
      </c>
    </row>
    <row r="2" s="1" customFormat="1" ht="24" customHeight="1" spans="1:36">
      <c r="A2" s="15" t="s">
        <v>65</v>
      </c>
      <c r="B2" s="14" t="s">
        <v>70</v>
      </c>
      <c r="C2" s="14" t="s">
        <v>70</v>
      </c>
      <c r="D2" s="14" t="s">
        <v>65</v>
      </c>
      <c r="E2" s="14" t="s">
        <v>844</v>
      </c>
      <c r="F2" s="14" t="s">
        <v>845</v>
      </c>
      <c r="G2" s="14" t="s">
        <v>846</v>
      </c>
      <c r="H2" s="14" t="s">
        <v>847</v>
      </c>
      <c r="I2" s="14" t="s">
        <v>848</v>
      </c>
      <c r="J2" s="15" t="s">
        <v>849</v>
      </c>
      <c r="K2" s="14" t="s">
        <v>850</v>
      </c>
      <c r="L2" s="14" t="s">
        <v>851</v>
      </c>
      <c r="M2" s="879">
        <v>16</v>
      </c>
      <c r="N2" s="880" t="s">
        <v>852</v>
      </c>
      <c r="O2" s="881" t="s">
        <v>853</v>
      </c>
      <c r="P2" s="879">
        <v>32023</v>
      </c>
      <c r="Q2" s="879">
        <v>2880468.8</v>
      </c>
      <c r="R2" s="884">
        <v>89.95</v>
      </c>
      <c r="S2" s="885">
        <v>0.6578</v>
      </c>
      <c r="T2" s="884">
        <v>17.29</v>
      </c>
      <c r="U2" s="886">
        <v>4.8</v>
      </c>
      <c r="V2" s="879">
        <v>48820</v>
      </c>
      <c r="W2" s="887">
        <v>0.1977</v>
      </c>
      <c r="X2" s="879">
        <v>6330</v>
      </c>
      <c r="Y2" s="888"/>
      <c r="Z2" s="15" t="s">
        <v>854</v>
      </c>
      <c r="AA2" s="15" t="s">
        <v>855</v>
      </c>
      <c r="AB2" s="889">
        <v>1687</v>
      </c>
      <c r="AC2" s="889">
        <v>1</v>
      </c>
      <c r="AD2" s="889">
        <v>12</v>
      </c>
      <c r="AE2" s="14" t="s">
        <v>65</v>
      </c>
      <c r="AF2" s="15" t="s">
        <v>65</v>
      </c>
      <c r="AG2" s="14" t="s">
        <v>65</v>
      </c>
      <c r="AH2" s="15" t="s">
        <v>856</v>
      </c>
      <c r="AI2" s="890" t="s">
        <v>857</v>
      </c>
      <c r="AJ2" s="890" t="s">
        <v>858</v>
      </c>
    </row>
    <row r="3" s="1" customFormat="1" ht="24" customHeight="1" spans="1:36">
      <c r="A3" s="15" t="s">
        <v>65</v>
      </c>
      <c r="B3" s="14" t="s">
        <v>366</v>
      </c>
      <c r="C3" s="14" t="s">
        <v>366</v>
      </c>
      <c r="D3" s="14" t="s">
        <v>65</v>
      </c>
      <c r="E3" s="14" t="s">
        <v>859</v>
      </c>
      <c r="F3" s="14" t="s">
        <v>860</v>
      </c>
      <c r="G3" s="14" t="s">
        <v>861</v>
      </c>
      <c r="H3" s="14" t="s">
        <v>862</v>
      </c>
      <c r="I3" s="14" t="s">
        <v>863</v>
      </c>
      <c r="J3" s="15" t="s">
        <v>864</v>
      </c>
      <c r="K3" s="14" t="s">
        <v>850</v>
      </c>
      <c r="L3" s="14" t="s">
        <v>851</v>
      </c>
      <c r="M3" s="879">
        <v>131</v>
      </c>
      <c r="N3" s="880" t="s">
        <v>852</v>
      </c>
      <c r="O3" s="881" t="s">
        <v>865</v>
      </c>
      <c r="P3" s="879">
        <v>23043</v>
      </c>
      <c r="Q3" s="879">
        <v>1842979.2</v>
      </c>
      <c r="R3" s="884">
        <v>99.99</v>
      </c>
      <c r="S3" s="885">
        <v>0.6128</v>
      </c>
      <c r="T3" s="884">
        <v>18.97</v>
      </c>
      <c r="U3" s="886">
        <v>4.7</v>
      </c>
      <c r="V3" s="879">
        <v>15150</v>
      </c>
      <c r="W3" s="887">
        <v>0</v>
      </c>
      <c r="X3" s="879">
        <v>0</v>
      </c>
      <c r="Y3" s="888"/>
      <c r="Z3" s="15" t="s">
        <v>854</v>
      </c>
      <c r="AA3" s="15" t="s">
        <v>866</v>
      </c>
      <c r="AB3" s="889">
        <v>582</v>
      </c>
      <c r="AC3" s="889">
        <v>1</v>
      </c>
      <c r="AD3" s="889">
        <v>1</v>
      </c>
      <c r="AE3" s="14" t="s">
        <v>867</v>
      </c>
      <c r="AF3" s="15" t="s">
        <v>65</v>
      </c>
      <c r="AG3" s="14" t="s">
        <v>65</v>
      </c>
      <c r="AH3" s="15" t="s">
        <v>856</v>
      </c>
      <c r="AI3" s="890" t="s">
        <v>868</v>
      </c>
      <c r="AJ3" s="890" t="s">
        <v>869</v>
      </c>
    </row>
    <row r="4" s="1" customFormat="1" ht="24" customHeight="1" spans="1:36">
      <c r="A4" s="15" t="s">
        <v>65</v>
      </c>
      <c r="B4" s="14" t="s">
        <v>129</v>
      </c>
      <c r="C4" s="14" t="s">
        <v>129</v>
      </c>
      <c r="D4" s="14" t="s">
        <v>65</v>
      </c>
      <c r="E4" s="14" t="s">
        <v>870</v>
      </c>
      <c r="F4" s="14" t="s">
        <v>871</v>
      </c>
      <c r="G4" s="14" t="s">
        <v>872</v>
      </c>
      <c r="H4" s="14" t="s">
        <v>873</v>
      </c>
      <c r="I4" s="14" t="s">
        <v>874</v>
      </c>
      <c r="J4" s="15" t="s">
        <v>864</v>
      </c>
      <c r="K4" s="14" t="s">
        <v>850</v>
      </c>
      <c r="L4" s="14" t="s">
        <v>851</v>
      </c>
      <c r="M4" s="879">
        <v>192</v>
      </c>
      <c r="N4" s="880" t="s">
        <v>852</v>
      </c>
      <c r="O4" s="881" t="s">
        <v>875</v>
      </c>
      <c r="P4" s="879">
        <v>11952</v>
      </c>
      <c r="Q4" s="879">
        <v>1314122.4</v>
      </c>
      <c r="R4" s="884">
        <v>109.95</v>
      </c>
      <c r="S4" s="885">
        <v>0.6431</v>
      </c>
      <c r="T4" s="884">
        <v>22.75</v>
      </c>
      <c r="U4" s="886">
        <v>4.6</v>
      </c>
      <c r="V4" s="879">
        <v>59811</v>
      </c>
      <c r="W4" s="887">
        <v>0.0664</v>
      </c>
      <c r="X4" s="879">
        <v>794</v>
      </c>
      <c r="Y4" s="888"/>
      <c r="Z4" s="15" t="s">
        <v>876</v>
      </c>
      <c r="AA4" s="15" t="s">
        <v>877</v>
      </c>
      <c r="AB4" s="889">
        <v>1315</v>
      </c>
      <c r="AC4" s="889">
        <v>1</v>
      </c>
      <c r="AD4" s="889">
        <v>1</v>
      </c>
      <c r="AE4" s="14" t="s">
        <v>867</v>
      </c>
      <c r="AF4" s="15" t="s">
        <v>65</v>
      </c>
      <c r="AG4" s="14" t="s">
        <v>65</v>
      </c>
      <c r="AH4" s="15" t="s">
        <v>856</v>
      </c>
      <c r="AI4" s="890" t="s">
        <v>878</v>
      </c>
      <c r="AJ4" s="890" t="s">
        <v>879</v>
      </c>
    </row>
    <row r="5" s="1" customFormat="1" ht="24" customHeight="1" spans="1:36">
      <c r="A5" s="15" t="s">
        <v>65</v>
      </c>
      <c r="B5" s="14" t="s">
        <v>312</v>
      </c>
      <c r="C5" s="14" t="s">
        <v>312</v>
      </c>
      <c r="D5" s="14" t="s">
        <v>65</v>
      </c>
      <c r="E5" s="14" t="s">
        <v>880</v>
      </c>
      <c r="F5" s="14" t="s">
        <v>881</v>
      </c>
      <c r="G5" s="14" t="s">
        <v>872</v>
      </c>
      <c r="H5" s="14" t="s">
        <v>882</v>
      </c>
      <c r="I5" s="14" t="s">
        <v>883</v>
      </c>
      <c r="J5" s="15" t="s">
        <v>864</v>
      </c>
      <c r="K5" s="14" t="s">
        <v>850</v>
      </c>
      <c r="L5" s="14" t="s">
        <v>851</v>
      </c>
      <c r="M5" s="879">
        <v>176</v>
      </c>
      <c r="N5" s="880" t="s">
        <v>884</v>
      </c>
      <c r="O5" s="881" t="s">
        <v>885</v>
      </c>
      <c r="P5" s="879">
        <v>9323</v>
      </c>
      <c r="Q5" s="879">
        <v>1025063.8</v>
      </c>
      <c r="R5" s="884">
        <v>109.95</v>
      </c>
      <c r="S5" s="885">
        <v>0.6698</v>
      </c>
      <c r="T5" s="884">
        <v>19.81</v>
      </c>
      <c r="U5" s="886">
        <v>4.7</v>
      </c>
      <c r="V5" s="879">
        <v>13752</v>
      </c>
      <c r="W5" s="887">
        <v>0.0452</v>
      </c>
      <c r="X5" s="879">
        <v>421</v>
      </c>
      <c r="Y5" s="888"/>
      <c r="Z5" s="15" t="s">
        <v>876</v>
      </c>
      <c r="AA5" s="15" t="s">
        <v>886</v>
      </c>
      <c r="AB5" s="889">
        <v>661</v>
      </c>
      <c r="AC5" s="889">
        <v>1</v>
      </c>
      <c r="AD5" s="889">
        <v>5</v>
      </c>
      <c r="AE5" s="14" t="s">
        <v>867</v>
      </c>
      <c r="AF5" s="15" t="s">
        <v>65</v>
      </c>
      <c r="AG5" s="14" t="s">
        <v>65</v>
      </c>
      <c r="AH5" s="15" t="s">
        <v>856</v>
      </c>
      <c r="AI5" s="890" t="s">
        <v>887</v>
      </c>
      <c r="AJ5" s="890" t="s">
        <v>888</v>
      </c>
    </row>
    <row r="6" s="1" customFormat="1" ht="24" customHeight="1" spans="1:36">
      <c r="A6" s="15" t="s">
        <v>65</v>
      </c>
      <c r="B6" s="14" t="s">
        <v>72</v>
      </c>
      <c r="C6" s="14" t="s">
        <v>72</v>
      </c>
      <c r="D6" s="14" t="s">
        <v>65</v>
      </c>
      <c r="E6" s="14" t="s">
        <v>889</v>
      </c>
      <c r="F6" s="14" t="s">
        <v>890</v>
      </c>
      <c r="G6" s="14" t="s">
        <v>861</v>
      </c>
      <c r="H6" s="14" t="s">
        <v>891</v>
      </c>
      <c r="I6" s="14" t="s">
        <v>892</v>
      </c>
      <c r="J6" s="15" t="s">
        <v>893</v>
      </c>
      <c r="K6" s="14" t="s">
        <v>894</v>
      </c>
      <c r="L6" s="14" t="s">
        <v>851</v>
      </c>
      <c r="M6" s="879">
        <v>193</v>
      </c>
      <c r="N6" s="880" t="s">
        <v>895</v>
      </c>
      <c r="O6" s="881" t="s">
        <v>896</v>
      </c>
      <c r="P6" s="879">
        <v>20869</v>
      </c>
      <c r="Q6" s="879">
        <v>2294964</v>
      </c>
      <c r="R6" s="884">
        <v>109.97</v>
      </c>
      <c r="S6" s="885">
        <v>0.666</v>
      </c>
      <c r="T6" s="884">
        <v>20.23</v>
      </c>
      <c r="U6" s="886">
        <v>4.7</v>
      </c>
      <c r="V6" s="879">
        <v>12358</v>
      </c>
      <c r="W6" s="887">
        <v>0</v>
      </c>
      <c r="X6" s="879">
        <v>0</v>
      </c>
      <c r="Y6" s="888"/>
      <c r="Z6" s="15" t="s">
        <v>854</v>
      </c>
      <c r="AA6" s="15" t="s">
        <v>897</v>
      </c>
      <c r="AB6" s="889">
        <v>1035</v>
      </c>
      <c r="AC6" s="889">
        <v>1</v>
      </c>
      <c r="AD6" s="889">
        <v>3</v>
      </c>
      <c r="AE6" s="14" t="s">
        <v>867</v>
      </c>
      <c r="AF6" s="15" t="s">
        <v>65</v>
      </c>
      <c r="AG6" s="14" t="s">
        <v>65</v>
      </c>
      <c r="AH6" s="15" t="s">
        <v>856</v>
      </c>
      <c r="AI6" s="890" t="s">
        <v>898</v>
      </c>
      <c r="AJ6" s="890" t="s">
        <v>899</v>
      </c>
    </row>
    <row r="7" s="1" customFormat="1" ht="24" customHeight="1" spans="1:36">
      <c r="A7" s="15" t="s">
        <v>65</v>
      </c>
      <c r="B7" s="14" t="s">
        <v>200</v>
      </c>
      <c r="C7" s="14" t="s">
        <v>200</v>
      </c>
      <c r="D7" s="14" t="s">
        <v>65</v>
      </c>
      <c r="E7" s="14" t="s">
        <v>900</v>
      </c>
      <c r="F7" s="14" t="s">
        <v>901</v>
      </c>
      <c r="G7" s="14" t="s">
        <v>872</v>
      </c>
      <c r="H7" s="14" t="s">
        <v>902</v>
      </c>
      <c r="I7" s="14" t="s">
        <v>903</v>
      </c>
      <c r="J7" s="15" t="s">
        <v>893</v>
      </c>
      <c r="K7" s="14" t="s">
        <v>850</v>
      </c>
      <c r="L7" s="14" t="s">
        <v>851</v>
      </c>
      <c r="M7" s="879">
        <v>277</v>
      </c>
      <c r="N7" s="880" t="s">
        <v>904</v>
      </c>
      <c r="O7" s="881" t="s">
        <v>905</v>
      </c>
      <c r="P7" s="879">
        <v>21741</v>
      </c>
      <c r="Q7" s="879">
        <v>1956472.5</v>
      </c>
      <c r="R7" s="884">
        <v>89.99</v>
      </c>
      <c r="S7" s="885">
        <v>0.6672</v>
      </c>
      <c r="T7" s="884">
        <v>16.45</v>
      </c>
      <c r="U7" s="886">
        <v>4.7</v>
      </c>
      <c r="V7" s="879">
        <v>18755</v>
      </c>
      <c r="W7" s="887">
        <v>0.0319</v>
      </c>
      <c r="X7" s="879">
        <v>693</v>
      </c>
      <c r="Y7" s="888"/>
      <c r="Z7" s="15" t="s">
        <v>876</v>
      </c>
      <c r="AA7" s="15" t="s">
        <v>906</v>
      </c>
      <c r="AB7" s="889">
        <v>988</v>
      </c>
      <c r="AC7" s="889">
        <v>1</v>
      </c>
      <c r="AD7" s="889">
        <v>4</v>
      </c>
      <c r="AE7" s="14" t="s">
        <v>867</v>
      </c>
      <c r="AF7" s="15" t="s">
        <v>65</v>
      </c>
      <c r="AG7" s="14" t="s">
        <v>65</v>
      </c>
      <c r="AH7" s="15" t="s">
        <v>856</v>
      </c>
      <c r="AI7" s="890" t="s">
        <v>907</v>
      </c>
      <c r="AJ7" s="890" t="s">
        <v>908</v>
      </c>
    </row>
    <row r="8" s="1" customFormat="1" ht="24" customHeight="1" spans="1:36">
      <c r="A8" s="15" t="s">
        <v>65</v>
      </c>
      <c r="B8" s="14" t="s">
        <v>772</v>
      </c>
      <c r="C8" s="14" t="s">
        <v>772</v>
      </c>
      <c r="D8" s="14" t="s">
        <v>65</v>
      </c>
      <c r="E8" s="14" t="s">
        <v>909</v>
      </c>
      <c r="F8" s="14" t="s">
        <v>910</v>
      </c>
      <c r="G8" s="14" t="s">
        <v>846</v>
      </c>
      <c r="H8" s="14" t="s">
        <v>911</v>
      </c>
      <c r="I8" s="14" t="s">
        <v>912</v>
      </c>
      <c r="J8" s="15" t="s">
        <v>864</v>
      </c>
      <c r="K8" s="14" t="s">
        <v>850</v>
      </c>
      <c r="L8" s="14" t="s">
        <v>851</v>
      </c>
      <c r="M8" s="879">
        <v>320</v>
      </c>
      <c r="N8" s="880" t="s">
        <v>852</v>
      </c>
      <c r="O8" s="881" t="s">
        <v>913</v>
      </c>
      <c r="P8" s="879">
        <v>11474</v>
      </c>
      <c r="Q8" s="879">
        <v>2294685.2</v>
      </c>
      <c r="R8" s="884">
        <v>225</v>
      </c>
      <c r="S8" s="885">
        <v>0.7194</v>
      </c>
      <c r="T8" s="884">
        <v>26.11</v>
      </c>
      <c r="U8" s="886">
        <v>4.8</v>
      </c>
      <c r="V8" s="879">
        <v>5424</v>
      </c>
      <c r="W8" s="887">
        <v>0.0295</v>
      </c>
      <c r="X8" s="879">
        <v>338</v>
      </c>
      <c r="Y8" s="888"/>
      <c r="Z8" s="15" t="s">
        <v>854</v>
      </c>
      <c r="AA8" s="15" t="s">
        <v>914</v>
      </c>
      <c r="AB8" s="889">
        <v>605</v>
      </c>
      <c r="AC8" s="889">
        <v>1</v>
      </c>
      <c r="AD8" s="889">
        <v>12</v>
      </c>
      <c r="AE8" s="14" t="s">
        <v>867</v>
      </c>
      <c r="AF8" s="15" t="s">
        <v>65</v>
      </c>
      <c r="AG8" s="14" t="s">
        <v>65</v>
      </c>
      <c r="AH8" s="15" t="s">
        <v>856</v>
      </c>
      <c r="AI8" s="890" t="s">
        <v>915</v>
      </c>
      <c r="AJ8" s="890" t="s">
        <v>916</v>
      </c>
    </row>
    <row r="9" s="1" customFormat="1" ht="24" customHeight="1" spans="1:36">
      <c r="A9" s="15" t="s">
        <v>65</v>
      </c>
      <c r="B9" s="14" t="s">
        <v>917</v>
      </c>
      <c r="C9" s="14" t="s">
        <v>917</v>
      </c>
      <c r="D9" s="14" t="s">
        <v>65</v>
      </c>
      <c r="E9" s="14" t="s">
        <v>918</v>
      </c>
      <c r="F9" s="14" t="s">
        <v>919</v>
      </c>
      <c r="G9" s="14" t="s">
        <v>920</v>
      </c>
      <c r="H9" s="14" t="s">
        <v>921</v>
      </c>
      <c r="I9" s="14" t="s">
        <v>922</v>
      </c>
      <c r="J9" s="15" t="s">
        <v>923</v>
      </c>
      <c r="K9" s="14" t="s">
        <v>924</v>
      </c>
      <c r="L9" s="14" t="s">
        <v>69</v>
      </c>
      <c r="M9" s="879">
        <v>1510</v>
      </c>
      <c r="N9" s="880" t="s">
        <v>925</v>
      </c>
      <c r="O9" s="881" t="s">
        <v>865</v>
      </c>
      <c r="P9" s="879">
        <v>12860</v>
      </c>
      <c r="Q9" s="879">
        <v>231094.19</v>
      </c>
      <c r="R9" s="884">
        <v>17.97</v>
      </c>
      <c r="S9" s="885">
        <v>0.6608</v>
      </c>
      <c r="T9" s="884">
        <v>3.4</v>
      </c>
      <c r="U9" s="886">
        <v>4.7</v>
      </c>
      <c r="V9" s="879">
        <v>129</v>
      </c>
      <c r="W9" s="887">
        <v>0.054</v>
      </c>
      <c r="X9" s="879">
        <v>694</v>
      </c>
      <c r="Y9" s="888"/>
      <c r="Z9" s="15" t="s">
        <v>65</v>
      </c>
      <c r="AA9" s="15" t="s">
        <v>926</v>
      </c>
      <c r="AB9" s="889">
        <v>739</v>
      </c>
      <c r="AC9" s="889">
        <v>1</v>
      </c>
      <c r="AD9" s="889">
        <v>1</v>
      </c>
      <c r="AE9" s="14" t="s">
        <v>65</v>
      </c>
      <c r="AF9" s="15" t="s">
        <v>65</v>
      </c>
      <c r="AG9" s="14" t="s">
        <v>65</v>
      </c>
      <c r="AH9" s="15" t="s">
        <v>856</v>
      </c>
      <c r="AI9" s="890" t="s">
        <v>927</v>
      </c>
      <c r="AJ9" s="890" t="s">
        <v>928</v>
      </c>
    </row>
    <row r="10" s="1" customFormat="1" ht="24" customHeight="1" spans="1:36">
      <c r="A10" s="15" t="s">
        <v>65</v>
      </c>
      <c r="B10" s="14" t="s">
        <v>738</v>
      </c>
      <c r="C10" s="14" t="s">
        <v>738</v>
      </c>
      <c r="D10" s="14" t="s">
        <v>65</v>
      </c>
      <c r="E10" s="14" t="s">
        <v>929</v>
      </c>
      <c r="F10" s="14" t="s">
        <v>930</v>
      </c>
      <c r="G10" s="14" t="s">
        <v>931</v>
      </c>
      <c r="H10" s="14" t="s">
        <v>932</v>
      </c>
      <c r="I10" s="14" t="s">
        <v>933</v>
      </c>
      <c r="J10" s="15" t="s">
        <v>934</v>
      </c>
      <c r="K10" s="14" t="s">
        <v>850</v>
      </c>
      <c r="L10" s="14" t="s">
        <v>851</v>
      </c>
      <c r="M10" s="879">
        <v>494</v>
      </c>
      <c r="N10" s="880" t="s">
        <v>852</v>
      </c>
      <c r="O10" s="881" t="s">
        <v>935</v>
      </c>
      <c r="P10" s="879">
        <v>5301</v>
      </c>
      <c r="Q10" s="879">
        <v>211987</v>
      </c>
      <c r="R10" s="884">
        <v>39.99</v>
      </c>
      <c r="S10" s="885">
        <v>0.5017</v>
      </c>
      <c r="T10" s="884">
        <v>13.93</v>
      </c>
      <c r="U10" s="886">
        <v>4.5</v>
      </c>
      <c r="V10" s="879">
        <v>29723</v>
      </c>
      <c r="W10" s="887">
        <v>0.0681</v>
      </c>
      <c r="X10" s="879">
        <v>361</v>
      </c>
      <c r="Y10" s="888"/>
      <c r="Z10" s="15" t="s">
        <v>876</v>
      </c>
      <c r="AA10" s="15" t="s">
        <v>936</v>
      </c>
      <c r="AB10" s="889">
        <v>1236</v>
      </c>
      <c r="AC10" s="889">
        <v>1</v>
      </c>
      <c r="AD10" s="889">
        <v>2</v>
      </c>
      <c r="AE10" s="14" t="s">
        <v>867</v>
      </c>
      <c r="AF10" s="15" t="s">
        <v>65</v>
      </c>
      <c r="AG10" s="14" t="s">
        <v>65</v>
      </c>
      <c r="AH10" s="15" t="s">
        <v>856</v>
      </c>
      <c r="AI10" s="890" t="s">
        <v>937</v>
      </c>
      <c r="AJ10" s="890" t="s">
        <v>938</v>
      </c>
    </row>
    <row r="11" s="1" customFormat="1" ht="24" customHeight="1" spans="1:36">
      <c r="A11" s="15" t="s">
        <v>65</v>
      </c>
      <c r="B11" s="14" t="s">
        <v>939</v>
      </c>
      <c r="C11" s="14" t="s">
        <v>939</v>
      </c>
      <c r="D11" s="14" t="s">
        <v>65</v>
      </c>
      <c r="E11" s="14" t="s">
        <v>940</v>
      </c>
      <c r="F11" s="14" t="s">
        <v>941</v>
      </c>
      <c r="G11" s="14" t="s">
        <v>942</v>
      </c>
      <c r="H11" s="14" t="s">
        <v>943</v>
      </c>
      <c r="I11" s="14" t="s">
        <v>944</v>
      </c>
      <c r="J11" s="15" t="s">
        <v>934</v>
      </c>
      <c r="K11" s="14" t="s">
        <v>850</v>
      </c>
      <c r="L11" s="14" t="s">
        <v>851</v>
      </c>
      <c r="M11" s="879">
        <v>486</v>
      </c>
      <c r="N11" s="880" t="s">
        <v>945</v>
      </c>
      <c r="O11" s="881" t="s">
        <v>946</v>
      </c>
      <c r="P11" s="879">
        <v>9144</v>
      </c>
      <c r="Q11" s="879">
        <v>269656.56</v>
      </c>
      <c r="R11" s="884">
        <v>29.49</v>
      </c>
      <c r="S11" s="885">
        <v>0.596</v>
      </c>
      <c r="T11" s="884">
        <v>7.49</v>
      </c>
      <c r="U11" s="886">
        <v>4.5</v>
      </c>
      <c r="V11" s="879">
        <v>8622</v>
      </c>
      <c r="W11" s="887">
        <v>0.0434</v>
      </c>
      <c r="X11" s="879">
        <v>397</v>
      </c>
      <c r="Y11" s="879">
        <v>186</v>
      </c>
      <c r="Z11" s="15" t="s">
        <v>947</v>
      </c>
      <c r="AA11" s="15" t="s">
        <v>948</v>
      </c>
      <c r="AB11" s="889">
        <v>2208</v>
      </c>
      <c r="AC11" s="889">
        <v>1</v>
      </c>
      <c r="AD11" s="889">
        <v>4</v>
      </c>
      <c r="AE11" s="14" t="s">
        <v>867</v>
      </c>
      <c r="AF11" s="15" t="s">
        <v>65</v>
      </c>
      <c r="AG11" s="14" t="s">
        <v>65</v>
      </c>
      <c r="AH11" s="15" t="s">
        <v>856</v>
      </c>
      <c r="AI11" s="890" t="s">
        <v>949</v>
      </c>
      <c r="AJ11" s="890" t="s">
        <v>950</v>
      </c>
    </row>
    <row r="12" s="1" customFormat="1" ht="24" customHeight="1" spans="1:36">
      <c r="A12" s="15" t="s">
        <v>65</v>
      </c>
      <c r="B12" s="14" t="s">
        <v>951</v>
      </c>
      <c r="C12" s="14" t="s">
        <v>951</v>
      </c>
      <c r="D12" s="14" t="s">
        <v>65</v>
      </c>
      <c r="E12" s="14" t="s">
        <v>952</v>
      </c>
      <c r="F12" s="14" t="s">
        <v>953</v>
      </c>
      <c r="G12" s="14" t="s">
        <v>954</v>
      </c>
      <c r="H12" s="14" t="s">
        <v>955</v>
      </c>
      <c r="I12" s="14" t="s">
        <v>956</v>
      </c>
      <c r="J12" s="15" t="s">
        <v>934</v>
      </c>
      <c r="K12" s="14" t="s">
        <v>850</v>
      </c>
      <c r="L12" s="14" t="s">
        <v>851</v>
      </c>
      <c r="M12" s="879">
        <v>603</v>
      </c>
      <c r="N12" s="880" t="s">
        <v>852</v>
      </c>
      <c r="O12" s="881" t="s">
        <v>957</v>
      </c>
      <c r="P12" s="879">
        <v>8734</v>
      </c>
      <c r="Q12" s="879">
        <v>521681.8</v>
      </c>
      <c r="R12" s="884">
        <v>59.77</v>
      </c>
      <c r="S12" s="885">
        <v>0.5535</v>
      </c>
      <c r="T12" s="884">
        <v>17.71</v>
      </c>
      <c r="U12" s="886">
        <v>4.6</v>
      </c>
      <c r="V12" s="879">
        <v>875</v>
      </c>
      <c r="W12" s="887">
        <v>0.0071</v>
      </c>
      <c r="X12" s="879">
        <v>62</v>
      </c>
      <c r="Y12" s="888"/>
      <c r="Z12" s="15" t="s">
        <v>854</v>
      </c>
      <c r="AA12" s="15" t="s">
        <v>958</v>
      </c>
      <c r="AB12" s="889">
        <v>483</v>
      </c>
      <c r="AC12" s="889">
        <v>1</v>
      </c>
      <c r="AD12" s="889">
        <v>7</v>
      </c>
      <c r="AE12" s="14" t="s">
        <v>867</v>
      </c>
      <c r="AF12" s="15" t="s">
        <v>65</v>
      </c>
      <c r="AG12" s="14" t="s">
        <v>65</v>
      </c>
      <c r="AH12" s="15" t="s">
        <v>856</v>
      </c>
      <c r="AI12" s="890" t="s">
        <v>959</v>
      </c>
      <c r="AJ12" s="890" t="s">
        <v>960</v>
      </c>
    </row>
    <row r="13" s="1" customFormat="1" ht="24" customHeight="1" spans="1:36">
      <c r="A13" s="15" t="s">
        <v>65</v>
      </c>
      <c r="B13" s="14" t="s">
        <v>304</v>
      </c>
      <c r="C13" s="14" t="s">
        <v>304</v>
      </c>
      <c r="D13" s="14" t="s">
        <v>65</v>
      </c>
      <c r="E13" s="14" t="s">
        <v>961</v>
      </c>
      <c r="F13" s="14" t="s">
        <v>962</v>
      </c>
      <c r="G13" s="14" t="s">
        <v>846</v>
      </c>
      <c r="H13" s="14" t="s">
        <v>963</v>
      </c>
      <c r="I13" s="14" t="s">
        <v>964</v>
      </c>
      <c r="J13" s="15" t="s">
        <v>864</v>
      </c>
      <c r="K13" s="14" t="s">
        <v>850</v>
      </c>
      <c r="L13" s="14" t="s">
        <v>851</v>
      </c>
      <c r="M13" s="879">
        <v>958</v>
      </c>
      <c r="N13" s="880" t="s">
        <v>852</v>
      </c>
      <c r="O13" s="881" t="s">
        <v>965</v>
      </c>
      <c r="P13" s="879">
        <v>6319</v>
      </c>
      <c r="Q13" s="879">
        <v>1263484</v>
      </c>
      <c r="R13" s="884">
        <v>199.95</v>
      </c>
      <c r="S13" s="885">
        <v>0.7341</v>
      </c>
      <c r="T13" s="884">
        <v>23.17</v>
      </c>
      <c r="U13" s="886">
        <v>4.8</v>
      </c>
      <c r="V13" s="879">
        <v>18050</v>
      </c>
      <c r="W13" s="887">
        <v>0.0745</v>
      </c>
      <c r="X13" s="879">
        <v>471</v>
      </c>
      <c r="Y13" s="888"/>
      <c r="Z13" s="15" t="s">
        <v>876</v>
      </c>
      <c r="AA13" s="15" t="s">
        <v>966</v>
      </c>
      <c r="AB13" s="889">
        <v>937</v>
      </c>
      <c r="AC13" s="889">
        <v>1</v>
      </c>
      <c r="AD13" s="889">
        <v>10</v>
      </c>
      <c r="AE13" s="14" t="s">
        <v>867</v>
      </c>
      <c r="AF13" s="15" t="s">
        <v>65</v>
      </c>
      <c r="AG13" s="14" t="s">
        <v>65</v>
      </c>
      <c r="AH13" s="15" t="s">
        <v>856</v>
      </c>
      <c r="AI13" s="890" t="s">
        <v>967</v>
      </c>
      <c r="AJ13" s="890" t="s">
        <v>968</v>
      </c>
    </row>
    <row r="14" s="1" customFormat="1" ht="24" customHeight="1" spans="1:36">
      <c r="A14" s="15" t="s">
        <v>65</v>
      </c>
      <c r="B14" s="14" t="s">
        <v>193</v>
      </c>
      <c r="C14" s="14" t="s">
        <v>193</v>
      </c>
      <c r="D14" s="14" t="s">
        <v>65</v>
      </c>
      <c r="E14" s="14" t="s">
        <v>969</v>
      </c>
      <c r="F14" s="14" t="s">
        <v>970</v>
      </c>
      <c r="G14" s="14" t="s">
        <v>971</v>
      </c>
      <c r="H14" s="14" t="s">
        <v>972</v>
      </c>
      <c r="I14" s="14" t="s">
        <v>973</v>
      </c>
      <c r="J14" s="15" t="s">
        <v>974</v>
      </c>
      <c r="K14" s="14" t="s">
        <v>850</v>
      </c>
      <c r="L14" s="14" t="s">
        <v>851</v>
      </c>
      <c r="M14" s="879">
        <v>1189</v>
      </c>
      <c r="N14" s="880" t="s">
        <v>852</v>
      </c>
      <c r="O14" s="881" t="s">
        <v>975</v>
      </c>
      <c r="P14" s="879">
        <v>5498</v>
      </c>
      <c r="Q14" s="879">
        <v>489816.8</v>
      </c>
      <c r="R14" s="884">
        <v>89.09</v>
      </c>
      <c r="S14" s="885">
        <v>0.6229</v>
      </c>
      <c r="T14" s="884">
        <v>20.23</v>
      </c>
      <c r="U14" s="886">
        <v>4.5</v>
      </c>
      <c r="V14" s="879">
        <v>8480</v>
      </c>
      <c r="W14" s="887">
        <v>0.0349</v>
      </c>
      <c r="X14" s="879">
        <v>192</v>
      </c>
      <c r="Y14" s="888"/>
      <c r="Z14" s="15" t="s">
        <v>947</v>
      </c>
      <c r="AA14" s="15" t="s">
        <v>976</v>
      </c>
      <c r="AB14" s="889">
        <v>2009</v>
      </c>
      <c r="AC14" s="889">
        <v>1</v>
      </c>
      <c r="AD14" s="889">
        <v>5</v>
      </c>
      <c r="AE14" s="14" t="s">
        <v>867</v>
      </c>
      <c r="AF14" s="15" t="s">
        <v>65</v>
      </c>
      <c r="AG14" s="14" t="s">
        <v>65</v>
      </c>
      <c r="AH14" s="15" t="s">
        <v>856</v>
      </c>
      <c r="AI14" s="890" t="s">
        <v>977</v>
      </c>
      <c r="AJ14" s="890" t="s">
        <v>978</v>
      </c>
    </row>
    <row r="15" s="1" customFormat="1" ht="24" customHeight="1" spans="1:36">
      <c r="A15" s="15" t="s">
        <v>65</v>
      </c>
      <c r="B15" s="14" t="s">
        <v>105</v>
      </c>
      <c r="C15" s="14" t="s">
        <v>105</v>
      </c>
      <c r="D15" s="14" t="s">
        <v>65</v>
      </c>
      <c r="E15" s="14" t="s">
        <v>979</v>
      </c>
      <c r="F15" s="14" t="s">
        <v>980</v>
      </c>
      <c r="G15" s="14" t="s">
        <v>846</v>
      </c>
      <c r="H15" s="14" t="s">
        <v>981</v>
      </c>
      <c r="I15" s="14" t="s">
        <v>982</v>
      </c>
      <c r="J15" s="15" t="s">
        <v>65</v>
      </c>
      <c r="K15" s="14" t="s">
        <v>850</v>
      </c>
      <c r="L15" s="14" t="s">
        <v>851</v>
      </c>
      <c r="M15" s="879">
        <v>1009</v>
      </c>
      <c r="N15" s="880" t="s">
        <v>852</v>
      </c>
      <c r="O15" s="881" t="s">
        <v>965</v>
      </c>
      <c r="P15" s="879">
        <v>9972</v>
      </c>
      <c r="Q15" s="879">
        <v>1994300.4</v>
      </c>
      <c r="R15" s="884">
        <v>187</v>
      </c>
      <c r="S15" s="885">
        <v>0.7362</v>
      </c>
      <c r="T15" s="884">
        <v>22.75</v>
      </c>
      <c r="U15" s="886">
        <v>4.6</v>
      </c>
      <c r="V15" s="879">
        <v>24097</v>
      </c>
      <c r="W15" s="887">
        <v>0.0355</v>
      </c>
      <c r="X15" s="879">
        <v>354</v>
      </c>
      <c r="Y15" s="888"/>
      <c r="Z15" s="15" t="s">
        <v>854</v>
      </c>
      <c r="AA15" s="15" t="s">
        <v>983</v>
      </c>
      <c r="AB15" s="889">
        <v>1341</v>
      </c>
      <c r="AC15" s="889">
        <v>1</v>
      </c>
      <c r="AD15" s="889">
        <v>16</v>
      </c>
      <c r="AE15" s="14" t="s">
        <v>65</v>
      </c>
      <c r="AF15" s="15" t="s">
        <v>65</v>
      </c>
      <c r="AG15" s="14" t="s">
        <v>65</v>
      </c>
      <c r="AH15" s="15" t="s">
        <v>856</v>
      </c>
      <c r="AI15" s="890" t="s">
        <v>984</v>
      </c>
      <c r="AJ15" s="890" t="s">
        <v>985</v>
      </c>
    </row>
    <row r="16" s="1" customFormat="1" ht="24" customHeight="1" spans="1:36">
      <c r="A16" s="15" t="s">
        <v>65</v>
      </c>
      <c r="B16" s="14" t="s">
        <v>986</v>
      </c>
      <c r="C16" s="14" t="s">
        <v>987</v>
      </c>
      <c r="D16" s="14" t="s">
        <v>988</v>
      </c>
      <c r="E16" s="14" t="s">
        <v>989</v>
      </c>
      <c r="F16" s="14" t="s">
        <v>990</v>
      </c>
      <c r="G16" s="14" t="s">
        <v>991</v>
      </c>
      <c r="H16" s="14" t="s">
        <v>992</v>
      </c>
      <c r="I16" s="14" t="s">
        <v>993</v>
      </c>
      <c r="J16" s="15" t="s">
        <v>934</v>
      </c>
      <c r="K16" s="14" t="s">
        <v>850</v>
      </c>
      <c r="L16" s="14" t="s">
        <v>851</v>
      </c>
      <c r="M16" s="879">
        <v>1488</v>
      </c>
      <c r="N16" s="880" t="s">
        <v>852</v>
      </c>
      <c r="O16" s="881" t="s">
        <v>994</v>
      </c>
      <c r="P16" s="879">
        <v>4279</v>
      </c>
      <c r="Q16" s="879">
        <v>342277.2</v>
      </c>
      <c r="R16" s="884">
        <v>67.99</v>
      </c>
      <c r="S16" s="885">
        <v>0.6391</v>
      </c>
      <c r="T16" s="884">
        <v>16.87</v>
      </c>
      <c r="U16" s="886">
        <v>4.4</v>
      </c>
      <c r="V16" s="879">
        <v>382</v>
      </c>
      <c r="W16" s="887">
        <v>0.0327</v>
      </c>
      <c r="X16" s="879">
        <v>140</v>
      </c>
      <c r="Y16" s="888"/>
      <c r="Z16" s="15" t="s">
        <v>876</v>
      </c>
      <c r="AA16" s="15" t="s">
        <v>995</v>
      </c>
      <c r="AB16" s="889">
        <v>291</v>
      </c>
      <c r="AC16" s="889">
        <v>5</v>
      </c>
      <c r="AD16" s="889">
        <v>2</v>
      </c>
      <c r="AE16" s="14" t="s">
        <v>996</v>
      </c>
      <c r="AF16" s="15" t="s">
        <v>65</v>
      </c>
      <c r="AG16" s="14" t="s">
        <v>65</v>
      </c>
      <c r="AH16" s="15" t="s">
        <v>997</v>
      </c>
      <c r="AI16" s="890" t="s">
        <v>907</v>
      </c>
      <c r="AJ16" s="890" t="s">
        <v>998</v>
      </c>
    </row>
    <row r="17" s="1" customFormat="1" ht="24" customHeight="1" spans="1:36">
      <c r="A17" s="15" t="s">
        <v>65</v>
      </c>
      <c r="B17" s="14" t="s">
        <v>187</v>
      </c>
      <c r="C17" s="14" t="s">
        <v>187</v>
      </c>
      <c r="D17" s="14" t="s">
        <v>65</v>
      </c>
      <c r="E17" s="14" t="s">
        <v>999</v>
      </c>
      <c r="F17" s="14" t="s">
        <v>1000</v>
      </c>
      <c r="G17" s="14" t="s">
        <v>846</v>
      </c>
      <c r="H17" s="14" t="s">
        <v>1001</v>
      </c>
      <c r="I17" s="14" t="s">
        <v>1002</v>
      </c>
      <c r="J17" s="15" t="s">
        <v>1003</v>
      </c>
      <c r="K17" s="14" t="s">
        <v>850</v>
      </c>
      <c r="L17" s="14" t="s">
        <v>851</v>
      </c>
      <c r="M17" s="879">
        <v>1041</v>
      </c>
      <c r="N17" s="880" t="s">
        <v>852</v>
      </c>
      <c r="O17" s="881" t="s">
        <v>975</v>
      </c>
      <c r="P17" s="879">
        <v>7579</v>
      </c>
      <c r="Q17" s="879">
        <v>1136774.2</v>
      </c>
      <c r="R17" s="884">
        <v>149.99</v>
      </c>
      <c r="S17" s="885">
        <v>0.7179</v>
      </c>
      <c r="T17" s="884">
        <v>19.81</v>
      </c>
      <c r="U17" s="886">
        <v>4.7</v>
      </c>
      <c r="V17" s="879">
        <v>16093</v>
      </c>
      <c r="W17" s="887">
        <v>0.0289</v>
      </c>
      <c r="X17" s="879">
        <v>219</v>
      </c>
      <c r="Y17" s="888"/>
      <c r="Z17" s="15" t="s">
        <v>854</v>
      </c>
      <c r="AA17" s="15" t="s">
        <v>1004</v>
      </c>
      <c r="AB17" s="889">
        <v>1361</v>
      </c>
      <c r="AC17" s="889">
        <v>1</v>
      </c>
      <c r="AD17" s="889">
        <v>8</v>
      </c>
      <c r="AE17" s="14" t="s">
        <v>65</v>
      </c>
      <c r="AF17" s="15" t="s">
        <v>65</v>
      </c>
      <c r="AG17" s="14" t="s">
        <v>65</v>
      </c>
      <c r="AH17" s="15" t="s">
        <v>856</v>
      </c>
      <c r="AI17" s="890" t="s">
        <v>1005</v>
      </c>
      <c r="AJ17" s="890" t="s">
        <v>1006</v>
      </c>
    </row>
    <row r="18" s="1" customFormat="1" ht="24" customHeight="1" spans="1:36">
      <c r="A18" s="15" t="s">
        <v>65</v>
      </c>
      <c r="B18" s="14" t="s">
        <v>1007</v>
      </c>
      <c r="C18" s="14" t="s">
        <v>1007</v>
      </c>
      <c r="D18" s="14" t="s">
        <v>65</v>
      </c>
      <c r="E18" s="14" t="s">
        <v>1008</v>
      </c>
      <c r="F18" s="14" t="s">
        <v>1009</v>
      </c>
      <c r="G18" s="14" t="s">
        <v>861</v>
      </c>
      <c r="H18" s="14" t="s">
        <v>1010</v>
      </c>
      <c r="I18" s="14" t="s">
        <v>1011</v>
      </c>
      <c r="J18" s="15" t="s">
        <v>1012</v>
      </c>
      <c r="K18" s="14" t="s">
        <v>850</v>
      </c>
      <c r="L18" s="14" t="s">
        <v>851</v>
      </c>
      <c r="M18" s="879">
        <v>1367</v>
      </c>
      <c r="N18" s="880" t="s">
        <v>852</v>
      </c>
      <c r="O18" s="881" t="s">
        <v>1013</v>
      </c>
      <c r="P18" s="879">
        <v>1372</v>
      </c>
      <c r="Q18" s="879">
        <v>150892.56</v>
      </c>
      <c r="R18" s="884">
        <v>109.98</v>
      </c>
      <c r="S18" s="885">
        <v>0.6431</v>
      </c>
      <c r="T18" s="884">
        <v>22.75</v>
      </c>
      <c r="U18" s="886">
        <v>4.7</v>
      </c>
      <c r="V18" s="879">
        <v>4736</v>
      </c>
      <c r="W18" s="887">
        <v>0</v>
      </c>
      <c r="X18" s="879">
        <v>3055</v>
      </c>
      <c r="Y18" s="888"/>
      <c r="Z18" s="15" t="s">
        <v>947</v>
      </c>
      <c r="AA18" s="15" t="s">
        <v>1014</v>
      </c>
      <c r="AB18" s="889">
        <v>251</v>
      </c>
      <c r="AC18" s="889">
        <v>1</v>
      </c>
      <c r="AD18" s="889">
        <v>1</v>
      </c>
      <c r="AE18" s="14" t="s">
        <v>867</v>
      </c>
      <c r="AF18" s="15" t="s">
        <v>65</v>
      </c>
      <c r="AG18" s="14" t="s">
        <v>65</v>
      </c>
      <c r="AH18" s="15" t="s">
        <v>856</v>
      </c>
      <c r="AI18" s="890" t="s">
        <v>1015</v>
      </c>
      <c r="AJ18" s="890" t="s">
        <v>1016</v>
      </c>
    </row>
    <row r="19" s="1" customFormat="1" ht="24" customHeight="1" spans="1:36">
      <c r="A19" s="15" t="s">
        <v>65</v>
      </c>
      <c r="B19" s="14" t="s">
        <v>439</v>
      </c>
      <c r="C19" s="14" t="s">
        <v>439</v>
      </c>
      <c r="D19" s="14" t="s">
        <v>65</v>
      </c>
      <c r="E19" s="14" t="s">
        <v>1017</v>
      </c>
      <c r="F19" s="14" t="s">
        <v>1018</v>
      </c>
      <c r="G19" s="14" t="s">
        <v>872</v>
      </c>
      <c r="H19" s="14" t="s">
        <v>1019</v>
      </c>
      <c r="I19" s="14" t="s">
        <v>1020</v>
      </c>
      <c r="J19" s="15" t="s">
        <v>974</v>
      </c>
      <c r="K19" s="14" t="s">
        <v>850</v>
      </c>
      <c r="L19" s="14" t="s">
        <v>851</v>
      </c>
      <c r="M19" s="879">
        <v>1263</v>
      </c>
      <c r="N19" s="880" t="s">
        <v>852</v>
      </c>
      <c r="O19" s="881" t="s">
        <v>1021</v>
      </c>
      <c r="P19" s="879">
        <v>5320</v>
      </c>
      <c r="Q19" s="879">
        <v>850934</v>
      </c>
      <c r="R19" s="884">
        <v>159.95</v>
      </c>
      <c r="S19" s="885">
        <v>0.7262</v>
      </c>
      <c r="T19" s="884">
        <v>19.81</v>
      </c>
      <c r="U19" s="886">
        <v>4.5</v>
      </c>
      <c r="V19" s="879">
        <v>18506</v>
      </c>
      <c r="W19" s="887">
        <v>0.0596</v>
      </c>
      <c r="X19" s="879">
        <v>317</v>
      </c>
      <c r="Y19" s="888"/>
      <c r="Z19" s="15" t="s">
        <v>876</v>
      </c>
      <c r="AA19" s="15" t="s">
        <v>886</v>
      </c>
      <c r="AB19" s="889">
        <v>661</v>
      </c>
      <c r="AC19" s="889">
        <v>1</v>
      </c>
      <c r="AD19" s="889">
        <v>4</v>
      </c>
      <c r="AE19" s="14" t="s">
        <v>867</v>
      </c>
      <c r="AF19" s="15" t="s">
        <v>65</v>
      </c>
      <c r="AG19" s="14" t="s">
        <v>65</v>
      </c>
      <c r="AH19" s="15" t="s">
        <v>856</v>
      </c>
      <c r="AI19" s="890" t="s">
        <v>1022</v>
      </c>
      <c r="AJ19" s="890" t="s">
        <v>1023</v>
      </c>
    </row>
    <row r="20" s="1" customFormat="1" ht="24" customHeight="1" spans="1:36">
      <c r="A20" s="15" t="s">
        <v>65</v>
      </c>
      <c r="B20" s="14" t="s">
        <v>291</v>
      </c>
      <c r="C20" s="14" t="s">
        <v>291</v>
      </c>
      <c r="D20" s="14" t="s">
        <v>65</v>
      </c>
      <c r="E20" s="14" t="s">
        <v>1024</v>
      </c>
      <c r="F20" s="14" t="s">
        <v>1025</v>
      </c>
      <c r="G20" s="14" t="s">
        <v>1026</v>
      </c>
      <c r="H20" s="14" t="s">
        <v>1027</v>
      </c>
      <c r="I20" s="14" t="s">
        <v>1028</v>
      </c>
      <c r="J20" s="15" t="s">
        <v>893</v>
      </c>
      <c r="K20" s="14" t="s">
        <v>850</v>
      </c>
      <c r="L20" s="14" t="s">
        <v>851</v>
      </c>
      <c r="M20" s="879">
        <v>1974</v>
      </c>
      <c r="N20" s="880" t="s">
        <v>1029</v>
      </c>
      <c r="O20" s="881" t="s">
        <v>1030</v>
      </c>
      <c r="P20" s="879">
        <v>2970</v>
      </c>
      <c r="Q20" s="879">
        <v>858330</v>
      </c>
      <c r="R20" s="884">
        <v>289</v>
      </c>
      <c r="S20" s="885">
        <v>0.7451</v>
      </c>
      <c r="T20" s="884">
        <v>30.31</v>
      </c>
      <c r="U20" s="886">
        <v>4.6</v>
      </c>
      <c r="V20" s="879">
        <v>2118</v>
      </c>
      <c r="W20" s="887">
        <v>0.0572</v>
      </c>
      <c r="X20" s="879">
        <v>170</v>
      </c>
      <c r="Y20" s="888"/>
      <c r="Z20" s="15" t="s">
        <v>854</v>
      </c>
      <c r="AA20" s="15" t="s">
        <v>1031</v>
      </c>
      <c r="AB20" s="889">
        <v>609</v>
      </c>
      <c r="AC20" s="889">
        <v>1</v>
      </c>
      <c r="AD20" s="889">
        <v>14</v>
      </c>
      <c r="AE20" s="14" t="s">
        <v>1032</v>
      </c>
      <c r="AF20" s="15" t="s">
        <v>65</v>
      </c>
      <c r="AG20" s="14" t="s">
        <v>1033</v>
      </c>
      <c r="AH20" s="15" t="s">
        <v>856</v>
      </c>
      <c r="AI20" s="890" t="s">
        <v>1034</v>
      </c>
      <c r="AJ20" s="890" t="s">
        <v>1035</v>
      </c>
    </row>
    <row r="21" s="1" customFormat="1" ht="24" customHeight="1" spans="1:36">
      <c r="A21" s="15" t="s">
        <v>65</v>
      </c>
      <c r="B21" s="14" t="s">
        <v>1036</v>
      </c>
      <c r="C21" s="14" t="s">
        <v>1036</v>
      </c>
      <c r="D21" s="14" t="s">
        <v>65</v>
      </c>
      <c r="E21" s="14" t="s">
        <v>1037</v>
      </c>
      <c r="F21" s="14" t="s">
        <v>1038</v>
      </c>
      <c r="G21" s="14" t="s">
        <v>1039</v>
      </c>
      <c r="H21" s="14" t="s">
        <v>1040</v>
      </c>
      <c r="I21" s="14" t="s">
        <v>1041</v>
      </c>
      <c r="J21" s="15" t="s">
        <v>1042</v>
      </c>
      <c r="K21" s="14" t="s">
        <v>850</v>
      </c>
      <c r="L21" s="14" t="s">
        <v>851</v>
      </c>
      <c r="M21" s="879">
        <v>2043</v>
      </c>
      <c r="N21" s="880" t="s">
        <v>852</v>
      </c>
      <c r="O21" s="881" t="s">
        <v>1043</v>
      </c>
      <c r="P21" s="879">
        <v>2392</v>
      </c>
      <c r="Q21" s="879">
        <v>35856.08</v>
      </c>
      <c r="R21" s="884">
        <v>14.99</v>
      </c>
      <c r="S21" s="885">
        <v>0.5332</v>
      </c>
      <c r="T21" s="884">
        <v>4.75</v>
      </c>
      <c r="U21" s="886">
        <v>4.2</v>
      </c>
      <c r="V21" s="879">
        <v>346</v>
      </c>
      <c r="W21" s="887">
        <v>0.0594</v>
      </c>
      <c r="X21" s="879">
        <v>142</v>
      </c>
      <c r="Y21" s="888"/>
      <c r="Z21" s="15" t="s">
        <v>947</v>
      </c>
      <c r="AA21" s="15" t="s">
        <v>1044</v>
      </c>
      <c r="AB21" s="889">
        <v>201</v>
      </c>
      <c r="AC21" s="889">
        <v>1</v>
      </c>
      <c r="AD21" s="889">
        <v>1</v>
      </c>
      <c r="AE21" s="14" t="s">
        <v>65</v>
      </c>
      <c r="AF21" s="15" t="s">
        <v>65</v>
      </c>
      <c r="AG21" s="14" t="s">
        <v>65</v>
      </c>
      <c r="AH21" s="15" t="s">
        <v>856</v>
      </c>
      <c r="AI21" s="890" t="s">
        <v>1045</v>
      </c>
      <c r="AJ21" s="890" t="s">
        <v>1046</v>
      </c>
    </row>
    <row r="22" s="1" customFormat="1" ht="24" customHeight="1" spans="1:36">
      <c r="A22" s="15" t="s">
        <v>65</v>
      </c>
      <c r="B22" s="14" t="s">
        <v>103</v>
      </c>
      <c r="C22" s="14" t="s">
        <v>103</v>
      </c>
      <c r="D22" s="14" t="s">
        <v>65</v>
      </c>
      <c r="E22" s="14" t="s">
        <v>1047</v>
      </c>
      <c r="F22" s="14" t="s">
        <v>1048</v>
      </c>
      <c r="G22" s="14" t="s">
        <v>861</v>
      </c>
      <c r="H22" s="14" t="s">
        <v>1049</v>
      </c>
      <c r="I22" s="14" t="s">
        <v>1050</v>
      </c>
      <c r="J22" s="15" t="s">
        <v>1012</v>
      </c>
      <c r="K22" s="14" t="s">
        <v>850</v>
      </c>
      <c r="L22" s="14" t="s">
        <v>851</v>
      </c>
      <c r="M22" s="879">
        <v>1787</v>
      </c>
      <c r="N22" s="880" t="s">
        <v>1051</v>
      </c>
      <c r="O22" s="881" t="s">
        <v>1052</v>
      </c>
      <c r="P22" s="879">
        <v>4224</v>
      </c>
      <c r="Q22" s="879">
        <v>675797.8</v>
      </c>
      <c r="R22" s="884">
        <v>159.99</v>
      </c>
      <c r="S22" s="885">
        <v>0.6684</v>
      </c>
      <c r="T22" s="884">
        <v>29.05</v>
      </c>
      <c r="U22" s="886">
        <v>4.5</v>
      </c>
      <c r="V22" s="879">
        <v>2434</v>
      </c>
      <c r="W22" s="887">
        <v>0</v>
      </c>
      <c r="X22" s="879">
        <v>0</v>
      </c>
      <c r="Y22" s="879">
        <v>427</v>
      </c>
      <c r="Z22" s="15" t="s">
        <v>947</v>
      </c>
      <c r="AA22" s="15" t="s">
        <v>1053</v>
      </c>
      <c r="AB22" s="889">
        <v>755</v>
      </c>
      <c r="AC22" s="889">
        <v>1</v>
      </c>
      <c r="AD22" s="889">
        <v>1</v>
      </c>
      <c r="AE22" s="14" t="s">
        <v>867</v>
      </c>
      <c r="AF22" s="15" t="s">
        <v>65</v>
      </c>
      <c r="AG22" s="14" t="s">
        <v>65</v>
      </c>
      <c r="AH22" s="15" t="s">
        <v>856</v>
      </c>
      <c r="AI22" s="890" t="s">
        <v>1054</v>
      </c>
      <c r="AJ22" s="890" t="s">
        <v>1055</v>
      </c>
    </row>
    <row r="23" s="1" customFormat="1" ht="24" customHeight="1" spans="1:36">
      <c r="A23" s="15" t="s">
        <v>65</v>
      </c>
      <c r="B23" s="14" t="s">
        <v>1056</v>
      </c>
      <c r="C23" s="14" t="s">
        <v>1056</v>
      </c>
      <c r="D23" s="14" t="s">
        <v>65</v>
      </c>
      <c r="E23" s="14" t="s">
        <v>1057</v>
      </c>
      <c r="F23" s="14" t="s">
        <v>1058</v>
      </c>
      <c r="G23" s="14" t="s">
        <v>1059</v>
      </c>
      <c r="H23" s="14" t="s">
        <v>1060</v>
      </c>
      <c r="I23" s="14" t="s">
        <v>1061</v>
      </c>
      <c r="J23" s="15" t="s">
        <v>974</v>
      </c>
      <c r="K23" s="14" t="s">
        <v>850</v>
      </c>
      <c r="L23" s="14" t="s">
        <v>851</v>
      </c>
      <c r="M23" s="879">
        <v>2031</v>
      </c>
      <c r="N23" s="880" t="s">
        <v>852</v>
      </c>
      <c r="O23" s="881" t="s">
        <v>1062</v>
      </c>
      <c r="P23" s="879">
        <v>2980</v>
      </c>
      <c r="Q23" s="879">
        <v>297970.2</v>
      </c>
      <c r="R23" s="884">
        <v>99.99</v>
      </c>
      <c r="S23" s="885">
        <v>0.6435</v>
      </c>
      <c r="T23" s="884">
        <v>20.65</v>
      </c>
      <c r="U23" s="886">
        <v>4.6</v>
      </c>
      <c r="V23" s="879">
        <v>7320</v>
      </c>
      <c r="W23" s="887">
        <v>0.0725</v>
      </c>
      <c r="X23" s="879">
        <v>216</v>
      </c>
      <c r="Y23" s="888"/>
      <c r="Z23" s="15" t="s">
        <v>854</v>
      </c>
      <c r="AA23" s="15" t="s">
        <v>1063</v>
      </c>
      <c r="AB23" s="889">
        <v>949</v>
      </c>
      <c r="AC23" s="889">
        <v>1</v>
      </c>
      <c r="AD23" s="889">
        <v>3</v>
      </c>
      <c r="AE23" s="14" t="s">
        <v>867</v>
      </c>
      <c r="AF23" s="15" t="s">
        <v>65</v>
      </c>
      <c r="AG23" s="14" t="s">
        <v>65</v>
      </c>
      <c r="AH23" s="15" t="s">
        <v>856</v>
      </c>
      <c r="AI23" s="890" t="s">
        <v>1064</v>
      </c>
      <c r="AJ23" s="890" t="s">
        <v>1065</v>
      </c>
    </row>
    <row r="24" s="1" customFormat="1" ht="24" customHeight="1" spans="1:36">
      <c r="A24" s="15" t="s">
        <v>65</v>
      </c>
      <c r="B24" s="14" t="s">
        <v>1066</v>
      </c>
      <c r="C24" s="14" t="s">
        <v>1066</v>
      </c>
      <c r="D24" s="14" t="s">
        <v>65</v>
      </c>
      <c r="E24" s="14" t="s">
        <v>1067</v>
      </c>
      <c r="F24" s="14" t="s">
        <v>1068</v>
      </c>
      <c r="G24" s="14" t="s">
        <v>1069</v>
      </c>
      <c r="H24" s="14" t="s">
        <v>1070</v>
      </c>
      <c r="I24" s="14" t="s">
        <v>1071</v>
      </c>
      <c r="J24" s="15" t="s">
        <v>864</v>
      </c>
      <c r="K24" s="14" t="s">
        <v>850</v>
      </c>
      <c r="L24" s="14" t="s">
        <v>851</v>
      </c>
      <c r="M24" s="879">
        <v>2398</v>
      </c>
      <c r="N24" s="880" t="s">
        <v>852</v>
      </c>
      <c r="O24" s="881" t="s">
        <v>1072</v>
      </c>
      <c r="P24" s="879">
        <v>1574</v>
      </c>
      <c r="Q24" s="879">
        <v>62409.1</v>
      </c>
      <c r="R24" s="884">
        <v>39.65</v>
      </c>
      <c r="S24" s="885">
        <v>0.5093</v>
      </c>
      <c r="T24" s="884">
        <v>13.51</v>
      </c>
      <c r="U24" s="886">
        <v>4.5</v>
      </c>
      <c r="V24" s="879">
        <v>5147</v>
      </c>
      <c r="W24" s="887">
        <v>0.2255</v>
      </c>
      <c r="X24" s="879">
        <v>355</v>
      </c>
      <c r="Y24" s="888"/>
      <c r="Z24" s="15" t="s">
        <v>876</v>
      </c>
      <c r="AA24" s="15" t="s">
        <v>1073</v>
      </c>
      <c r="AB24" s="889">
        <v>1204</v>
      </c>
      <c r="AC24" s="889">
        <v>1</v>
      </c>
      <c r="AD24" s="889">
        <v>5</v>
      </c>
      <c r="AE24" s="14" t="s">
        <v>867</v>
      </c>
      <c r="AF24" s="15" t="s">
        <v>65</v>
      </c>
      <c r="AG24" s="14" t="s">
        <v>65</v>
      </c>
      <c r="AH24" s="15" t="s">
        <v>856</v>
      </c>
      <c r="AI24" s="890" t="s">
        <v>1074</v>
      </c>
      <c r="AJ24" s="890" t="s">
        <v>1075</v>
      </c>
    </row>
    <row r="25" s="1" customFormat="1" ht="24" customHeight="1" spans="1:36">
      <c r="A25" s="15" t="s">
        <v>65</v>
      </c>
      <c r="B25" s="14" t="s">
        <v>550</v>
      </c>
      <c r="C25" s="14" t="s">
        <v>550</v>
      </c>
      <c r="D25" s="14" t="s">
        <v>65</v>
      </c>
      <c r="E25" s="14" t="s">
        <v>1076</v>
      </c>
      <c r="F25" s="14" t="s">
        <v>1077</v>
      </c>
      <c r="G25" s="14" t="s">
        <v>1059</v>
      </c>
      <c r="H25" s="14" t="s">
        <v>1078</v>
      </c>
      <c r="I25" s="14" t="s">
        <v>1079</v>
      </c>
      <c r="J25" s="15" t="s">
        <v>974</v>
      </c>
      <c r="K25" s="14" t="s">
        <v>850</v>
      </c>
      <c r="L25" s="14" t="s">
        <v>851</v>
      </c>
      <c r="M25" s="879">
        <v>2256</v>
      </c>
      <c r="N25" s="880" t="s">
        <v>852</v>
      </c>
      <c r="O25" s="881" t="s">
        <v>1062</v>
      </c>
      <c r="P25" s="879">
        <v>3245</v>
      </c>
      <c r="Q25" s="879">
        <v>389367.53</v>
      </c>
      <c r="R25" s="884">
        <v>119.99</v>
      </c>
      <c r="S25" s="885">
        <v>0.6744</v>
      </c>
      <c r="T25" s="884">
        <v>21.07</v>
      </c>
      <c r="U25" s="886">
        <v>4.3</v>
      </c>
      <c r="V25" s="879">
        <v>10832</v>
      </c>
      <c r="W25" s="887">
        <v>0.0961</v>
      </c>
      <c r="X25" s="879">
        <v>312</v>
      </c>
      <c r="Y25" s="879">
        <v>26</v>
      </c>
      <c r="Z25" s="15" t="s">
        <v>854</v>
      </c>
      <c r="AA25" s="15" t="s">
        <v>1063</v>
      </c>
      <c r="AB25" s="889">
        <v>949</v>
      </c>
      <c r="AC25" s="889">
        <v>1</v>
      </c>
      <c r="AD25" s="889">
        <v>8</v>
      </c>
      <c r="AE25" s="14" t="s">
        <v>867</v>
      </c>
      <c r="AF25" s="15" t="s">
        <v>65</v>
      </c>
      <c r="AG25" s="14" t="s">
        <v>65</v>
      </c>
      <c r="AH25" s="15" t="s">
        <v>856</v>
      </c>
      <c r="AI25" s="890" t="s">
        <v>1080</v>
      </c>
      <c r="AJ25" s="890" t="s">
        <v>1081</v>
      </c>
    </row>
    <row r="26" s="1" customFormat="1" ht="24" customHeight="1" spans="1:36">
      <c r="A26" s="15" t="s">
        <v>65</v>
      </c>
      <c r="B26" s="14" t="s">
        <v>1082</v>
      </c>
      <c r="C26" s="14" t="s">
        <v>1082</v>
      </c>
      <c r="D26" s="14" t="s">
        <v>65</v>
      </c>
      <c r="E26" s="14" t="s">
        <v>1083</v>
      </c>
      <c r="F26" s="14" t="s">
        <v>1084</v>
      </c>
      <c r="G26" s="14" t="s">
        <v>846</v>
      </c>
      <c r="H26" s="14" t="s">
        <v>1085</v>
      </c>
      <c r="I26" s="14" t="s">
        <v>1086</v>
      </c>
      <c r="J26" s="15" t="s">
        <v>974</v>
      </c>
      <c r="K26" s="14" t="s">
        <v>850</v>
      </c>
      <c r="L26" s="14" t="s">
        <v>851</v>
      </c>
      <c r="M26" s="879">
        <v>2635</v>
      </c>
      <c r="N26" s="880" t="s">
        <v>852</v>
      </c>
      <c r="O26" s="881" t="s">
        <v>1087</v>
      </c>
      <c r="P26" s="879">
        <v>3280</v>
      </c>
      <c r="Q26" s="879">
        <v>721436</v>
      </c>
      <c r="R26" s="884">
        <v>219.95</v>
      </c>
      <c r="S26" s="885">
        <v>0.716</v>
      </c>
      <c r="T26" s="884">
        <v>29.47</v>
      </c>
      <c r="U26" s="886">
        <v>4.8</v>
      </c>
      <c r="V26" s="879">
        <v>33409</v>
      </c>
      <c r="W26" s="887">
        <v>0.0518</v>
      </c>
      <c r="X26" s="879">
        <v>170</v>
      </c>
      <c r="Y26" s="888"/>
      <c r="Z26" s="15" t="s">
        <v>876</v>
      </c>
      <c r="AA26" s="15" t="s">
        <v>1088</v>
      </c>
      <c r="AB26" s="889">
        <v>1340</v>
      </c>
      <c r="AC26" s="889">
        <v>1</v>
      </c>
      <c r="AD26" s="889">
        <v>9</v>
      </c>
      <c r="AE26" s="14" t="s">
        <v>867</v>
      </c>
      <c r="AF26" s="15" t="s">
        <v>65</v>
      </c>
      <c r="AG26" s="14" t="s">
        <v>65</v>
      </c>
      <c r="AH26" s="15" t="s">
        <v>856</v>
      </c>
      <c r="AI26" s="890" t="s">
        <v>1089</v>
      </c>
      <c r="AJ26" s="890" t="s">
        <v>1090</v>
      </c>
    </row>
    <row r="27" s="1" customFormat="1" ht="24" customHeight="1" spans="1:36">
      <c r="A27" s="15" t="s">
        <v>65</v>
      </c>
      <c r="B27" s="14" t="s">
        <v>1091</v>
      </c>
      <c r="C27" s="14" t="s">
        <v>1091</v>
      </c>
      <c r="D27" s="14" t="s">
        <v>65</v>
      </c>
      <c r="E27" s="14" t="s">
        <v>1092</v>
      </c>
      <c r="F27" s="14" t="s">
        <v>1093</v>
      </c>
      <c r="G27" s="14" t="s">
        <v>1094</v>
      </c>
      <c r="H27" s="14" t="s">
        <v>1095</v>
      </c>
      <c r="I27" s="14" t="s">
        <v>1096</v>
      </c>
      <c r="J27" s="15" t="s">
        <v>974</v>
      </c>
      <c r="K27" s="14" t="s">
        <v>850</v>
      </c>
      <c r="L27" s="14" t="s">
        <v>851</v>
      </c>
      <c r="M27" s="879">
        <v>2469</v>
      </c>
      <c r="N27" s="880" t="s">
        <v>852</v>
      </c>
      <c r="O27" s="881" t="s">
        <v>1097</v>
      </c>
      <c r="P27" s="879">
        <v>2153</v>
      </c>
      <c r="Q27" s="879">
        <v>516698.47</v>
      </c>
      <c r="R27" s="884">
        <v>329.99</v>
      </c>
      <c r="S27" s="885">
        <v>0.7342</v>
      </c>
      <c r="T27" s="884">
        <v>27.79</v>
      </c>
      <c r="U27" s="886">
        <v>4.3</v>
      </c>
      <c r="V27" s="879">
        <v>764</v>
      </c>
      <c r="W27" s="887">
        <v>0.0446</v>
      </c>
      <c r="X27" s="879">
        <v>96</v>
      </c>
      <c r="Y27" s="879">
        <v>163</v>
      </c>
      <c r="Z27" s="15" t="s">
        <v>1098</v>
      </c>
      <c r="AA27" s="15" t="s">
        <v>1099</v>
      </c>
      <c r="AB27" s="889">
        <v>535</v>
      </c>
      <c r="AC27" s="889">
        <v>1</v>
      </c>
      <c r="AD27" s="889">
        <v>4</v>
      </c>
      <c r="AE27" s="14" t="s">
        <v>65</v>
      </c>
      <c r="AF27" s="15" t="s">
        <v>65</v>
      </c>
      <c r="AG27" s="14" t="s">
        <v>65</v>
      </c>
      <c r="AH27" s="15" t="s">
        <v>856</v>
      </c>
      <c r="AI27" s="890" t="s">
        <v>1100</v>
      </c>
      <c r="AJ27" s="890" t="s">
        <v>1101</v>
      </c>
    </row>
    <row r="28" s="1" customFormat="1" ht="24" customHeight="1" spans="1:36">
      <c r="A28" s="15" t="s">
        <v>65</v>
      </c>
      <c r="B28" s="14" t="s">
        <v>292</v>
      </c>
      <c r="C28" s="14" t="s">
        <v>292</v>
      </c>
      <c r="D28" s="14" t="s">
        <v>65</v>
      </c>
      <c r="E28" s="14" t="s">
        <v>1102</v>
      </c>
      <c r="F28" s="14" t="s">
        <v>1103</v>
      </c>
      <c r="G28" s="14" t="s">
        <v>1104</v>
      </c>
      <c r="H28" s="14" t="s">
        <v>1105</v>
      </c>
      <c r="I28" s="14" t="s">
        <v>1106</v>
      </c>
      <c r="J28" s="15" t="s">
        <v>934</v>
      </c>
      <c r="K28" s="14" t="s">
        <v>850</v>
      </c>
      <c r="L28" s="14" t="s">
        <v>851</v>
      </c>
      <c r="M28" s="879">
        <v>3010</v>
      </c>
      <c r="N28" s="880" t="s">
        <v>852</v>
      </c>
      <c r="O28" s="881" t="s">
        <v>1107</v>
      </c>
      <c r="P28" s="879">
        <v>2205</v>
      </c>
      <c r="Q28" s="879">
        <v>352777.97</v>
      </c>
      <c r="R28" s="884">
        <v>163</v>
      </c>
      <c r="S28" s="885">
        <v>0.6973</v>
      </c>
      <c r="T28" s="884">
        <v>24.43</v>
      </c>
      <c r="U28" s="886">
        <v>4.5</v>
      </c>
      <c r="V28" s="879">
        <v>13970</v>
      </c>
      <c r="W28" s="887">
        <v>0.0807</v>
      </c>
      <c r="X28" s="879">
        <v>178</v>
      </c>
      <c r="Y28" s="879">
        <v>965</v>
      </c>
      <c r="Z28" s="15" t="s">
        <v>876</v>
      </c>
      <c r="AA28" s="15" t="s">
        <v>1108</v>
      </c>
      <c r="AB28" s="889">
        <v>1505</v>
      </c>
      <c r="AC28" s="889">
        <v>1</v>
      </c>
      <c r="AD28" s="889">
        <v>8</v>
      </c>
      <c r="AE28" s="14" t="s">
        <v>1109</v>
      </c>
      <c r="AF28" s="15" t="s">
        <v>1110</v>
      </c>
      <c r="AG28" s="14" t="s">
        <v>1111</v>
      </c>
      <c r="AH28" s="15" t="s">
        <v>856</v>
      </c>
      <c r="AI28" s="890" t="s">
        <v>1112</v>
      </c>
      <c r="AJ28" s="890" t="s">
        <v>1113</v>
      </c>
    </row>
    <row r="29" s="1" customFormat="1" ht="24" customHeight="1" spans="1:36">
      <c r="A29" s="15" t="s">
        <v>65</v>
      </c>
      <c r="B29" s="14" t="s">
        <v>155</v>
      </c>
      <c r="C29" s="14" t="s">
        <v>155</v>
      </c>
      <c r="D29" s="14" t="s">
        <v>65</v>
      </c>
      <c r="E29" s="14" t="s">
        <v>1114</v>
      </c>
      <c r="F29" s="14" t="s">
        <v>1115</v>
      </c>
      <c r="G29" s="14" t="s">
        <v>1059</v>
      </c>
      <c r="H29" s="14" t="s">
        <v>1116</v>
      </c>
      <c r="I29" s="14" t="s">
        <v>1117</v>
      </c>
      <c r="J29" s="15" t="s">
        <v>893</v>
      </c>
      <c r="K29" s="14" t="s">
        <v>850</v>
      </c>
      <c r="L29" s="14" t="s">
        <v>851</v>
      </c>
      <c r="M29" s="879">
        <v>2720</v>
      </c>
      <c r="N29" s="880" t="s">
        <v>852</v>
      </c>
      <c r="O29" s="881" t="s">
        <v>1087</v>
      </c>
      <c r="P29" s="879">
        <v>2946</v>
      </c>
      <c r="Q29" s="879">
        <v>117810.55</v>
      </c>
      <c r="R29" s="884">
        <v>39.99</v>
      </c>
      <c r="S29" s="885">
        <v>0.4807</v>
      </c>
      <c r="T29" s="884">
        <v>14.77</v>
      </c>
      <c r="U29" s="886">
        <v>4.6</v>
      </c>
      <c r="V29" s="879">
        <v>21089</v>
      </c>
      <c r="W29" s="887">
        <v>0.1198</v>
      </c>
      <c r="X29" s="879">
        <v>353</v>
      </c>
      <c r="Y29" s="888"/>
      <c r="Z29" s="15" t="s">
        <v>876</v>
      </c>
      <c r="AA29" s="15" t="s">
        <v>1118</v>
      </c>
      <c r="AB29" s="889">
        <v>1515</v>
      </c>
      <c r="AC29" s="889">
        <v>1</v>
      </c>
      <c r="AD29" s="889">
        <v>3</v>
      </c>
      <c r="AE29" s="14" t="s">
        <v>867</v>
      </c>
      <c r="AF29" s="15" t="s">
        <v>65</v>
      </c>
      <c r="AG29" s="14" t="s">
        <v>65</v>
      </c>
      <c r="AH29" s="15" t="s">
        <v>856</v>
      </c>
      <c r="AI29" s="890" t="s">
        <v>1119</v>
      </c>
      <c r="AJ29" s="890" t="s">
        <v>1120</v>
      </c>
    </row>
    <row r="30" s="1" customFormat="1" ht="24" customHeight="1" spans="1:36">
      <c r="A30" s="15" t="s">
        <v>65</v>
      </c>
      <c r="B30" s="14" t="s">
        <v>1121</v>
      </c>
      <c r="C30" s="14" t="s">
        <v>1121</v>
      </c>
      <c r="D30" s="14" t="s">
        <v>65</v>
      </c>
      <c r="E30" s="14" t="s">
        <v>1122</v>
      </c>
      <c r="F30" s="14" t="s">
        <v>1123</v>
      </c>
      <c r="G30" s="14" t="s">
        <v>861</v>
      </c>
      <c r="H30" s="14" t="s">
        <v>1124</v>
      </c>
      <c r="I30" s="14" t="s">
        <v>1125</v>
      </c>
      <c r="J30" s="15" t="s">
        <v>974</v>
      </c>
      <c r="K30" s="14" t="s">
        <v>850</v>
      </c>
      <c r="L30" s="14" t="s">
        <v>851</v>
      </c>
      <c r="M30" s="879">
        <v>2922</v>
      </c>
      <c r="N30" s="880" t="s">
        <v>852</v>
      </c>
      <c r="O30" s="881" t="s">
        <v>1107</v>
      </c>
      <c r="P30" s="879">
        <v>17432</v>
      </c>
      <c r="Q30" s="879">
        <v>871425.7</v>
      </c>
      <c r="R30" s="884">
        <v>49.99</v>
      </c>
      <c r="S30" s="885">
        <v>0.5881</v>
      </c>
      <c r="T30" s="884">
        <v>13.09</v>
      </c>
      <c r="U30" s="886">
        <v>4.7</v>
      </c>
      <c r="V30" s="879">
        <v>2387</v>
      </c>
      <c r="W30" s="887">
        <v>0</v>
      </c>
      <c r="X30" s="879">
        <v>0</v>
      </c>
      <c r="Y30" s="888"/>
      <c r="Z30" s="15" t="s">
        <v>854</v>
      </c>
      <c r="AA30" s="15" t="s">
        <v>1126</v>
      </c>
      <c r="AB30" s="889">
        <v>10</v>
      </c>
      <c r="AC30" s="889">
        <v>1</v>
      </c>
      <c r="AD30" s="889">
        <v>1</v>
      </c>
      <c r="AE30" s="14" t="s">
        <v>867</v>
      </c>
      <c r="AF30" s="15" t="s">
        <v>65</v>
      </c>
      <c r="AG30" s="14" t="s">
        <v>65</v>
      </c>
      <c r="AH30" s="15" t="s">
        <v>856</v>
      </c>
      <c r="AI30" s="890" t="s">
        <v>1127</v>
      </c>
      <c r="AJ30" s="890" t="s">
        <v>1128</v>
      </c>
    </row>
    <row r="31" s="1" customFormat="1" ht="24" customHeight="1" spans="1:36">
      <c r="A31" s="15" t="s">
        <v>65</v>
      </c>
      <c r="B31" s="14" t="s">
        <v>1129</v>
      </c>
      <c r="C31" s="14" t="s">
        <v>1129</v>
      </c>
      <c r="D31" s="14" t="s">
        <v>65</v>
      </c>
      <c r="E31" s="14" t="s">
        <v>1130</v>
      </c>
      <c r="F31" s="14" t="s">
        <v>1131</v>
      </c>
      <c r="G31" s="14" t="s">
        <v>1132</v>
      </c>
      <c r="H31" s="14" t="s">
        <v>1133</v>
      </c>
      <c r="I31" s="14" t="s">
        <v>1134</v>
      </c>
      <c r="J31" s="15" t="s">
        <v>934</v>
      </c>
      <c r="K31" s="14" t="s">
        <v>850</v>
      </c>
      <c r="L31" s="14" t="s">
        <v>851</v>
      </c>
      <c r="M31" s="879">
        <v>3655</v>
      </c>
      <c r="N31" s="880" t="s">
        <v>852</v>
      </c>
      <c r="O31" s="881" t="s">
        <v>1135</v>
      </c>
      <c r="P31" s="879">
        <v>1488</v>
      </c>
      <c r="Q31" s="879">
        <v>133905.11</v>
      </c>
      <c r="R31" s="884">
        <v>149.95</v>
      </c>
      <c r="S31" s="885">
        <v>0.6672</v>
      </c>
      <c r="T31" s="884">
        <v>16.45</v>
      </c>
      <c r="U31" s="886">
        <v>4.6</v>
      </c>
      <c r="V31" s="879">
        <v>1069</v>
      </c>
      <c r="W31" s="887">
        <v>0.0296</v>
      </c>
      <c r="X31" s="879">
        <v>44</v>
      </c>
      <c r="Y31" s="888"/>
      <c r="Z31" s="15" t="s">
        <v>876</v>
      </c>
      <c r="AA31" s="15" t="s">
        <v>1136</v>
      </c>
      <c r="AB31" s="889">
        <v>725</v>
      </c>
      <c r="AC31" s="889">
        <v>1</v>
      </c>
      <c r="AD31" s="889">
        <v>4</v>
      </c>
      <c r="AE31" s="14" t="s">
        <v>867</v>
      </c>
      <c r="AF31" s="15" t="s">
        <v>65</v>
      </c>
      <c r="AG31" s="14" t="s">
        <v>65</v>
      </c>
      <c r="AH31" s="15" t="s">
        <v>856</v>
      </c>
      <c r="AI31" s="890" t="s">
        <v>1137</v>
      </c>
      <c r="AJ31" s="890" t="s">
        <v>1138</v>
      </c>
    </row>
    <row r="32" s="1" customFormat="1" ht="24" customHeight="1" spans="1:36">
      <c r="A32" s="15" t="s">
        <v>65</v>
      </c>
      <c r="B32" s="14" t="s">
        <v>270</v>
      </c>
      <c r="C32" s="14" t="s">
        <v>270</v>
      </c>
      <c r="D32" s="14" t="s">
        <v>65</v>
      </c>
      <c r="E32" s="14" t="s">
        <v>1139</v>
      </c>
      <c r="F32" s="14" t="s">
        <v>1140</v>
      </c>
      <c r="G32" s="14" t="s">
        <v>1141</v>
      </c>
      <c r="H32" s="14" t="s">
        <v>1142</v>
      </c>
      <c r="I32" s="14" t="s">
        <v>1143</v>
      </c>
      <c r="J32" s="15" t="s">
        <v>934</v>
      </c>
      <c r="K32" s="14" t="s">
        <v>850</v>
      </c>
      <c r="L32" s="14" t="s">
        <v>851</v>
      </c>
      <c r="M32" s="879">
        <v>3139</v>
      </c>
      <c r="N32" s="880" t="s">
        <v>852</v>
      </c>
      <c r="O32" s="881" t="s">
        <v>1144</v>
      </c>
      <c r="P32" s="879">
        <v>1034</v>
      </c>
      <c r="Q32" s="879">
        <v>185086</v>
      </c>
      <c r="R32" s="884">
        <v>179</v>
      </c>
      <c r="S32" s="885">
        <v>0.7018</v>
      </c>
      <c r="T32" s="884">
        <v>26.53</v>
      </c>
      <c r="U32" s="886">
        <v>4.4</v>
      </c>
      <c r="V32" s="879">
        <v>10571</v>
      </c>
      <c r="W32" s="887">
        <v>0.1644</v>
      </c>
      <c r="X32" s="879">
        <v>170</v>
      </c>
      <c r="Y32" s="888"/>
      <c r="Z32" s="15" t="s">
        <v>947</v>
      </c>
      <c r="AA32" s="15" t="s">
        <v>1145</v>
      </c>
      <c r="AB32" s="889">
        <v>1084</v>
      </c>
      <c r="AC32" s="889">
        <v>1</v>
      </c>
      <c r="AD32" s="889">
        <v>15</v>
      </c>
      <c r="AE32" s="14" t="s">
        <v>1146</v>
      </c>
      <c r="AF32" s="15" t="s">
        <v>1110</v>
      </c>
      <c r="AG32" s="14" t="s">
        <v>1147</v>
      </c>
      <c r="AH32" s="15" t="s">
        <v>856</v>
      </c>
      <c r="AI32" s="890" t="s">
        <v>1148</v>
      </c>
      <c r="AJ32" s="890" t="s">
        <v>1149</v>
      </c>
    </row>
    <row r="33" s="1" customFormat="1" ht="24" customHeight="1" spans="1:36">
      <c r="A33" s="15" t="s">
        <v>65</v>
      </c>
      <c r="B33" s="14" t="s">
        <v>353</v>
      </c>
      <c r="C33" s="14" t="s">
        <v>353</v>
      </c>
      <c r="D33" s="14" t="s">
        <v>65</v>
      </c>
      <c r="E33" s="14" t="s">
        <v>1150</v>
      </c>
      <c r="F33" s="14" t="s">
        <v>1151</v>
      </c>
      <c r="G33" s="14" t="s">
        <v>1152</v>
      </c>
      <c r="H33" s="14" t="s">
        <v>1153</v>
      </c>
      <c r="I33" s="14" t="s">
        <v>1154</v>
      </c>
      <c r="J33" s="15" t="s">
        <v>893</v>
      </c>
      <c r="K33" s="14" t="s">
        <v>850</v>
      </c>
      <c r="L33" s="14" t="s">
        <v>851</v>
      </c>
      <c r="M33" s="879">
        <v>2724</v>
      </c>
      <c r="N33" s="880" t="s">
        <v>852</v>
      </c>
      <c r="O33" s="881" t="s">
        <v>1155</v>
      </c>
      <c r="P33" s="879">
        <v>3991</v>
      </c>
      <c r="Q33" s="879">
        <v>279330.1</v>
      </c>
      <c r="R33" s="884">
        <v>69.99</v>
      </c>
      <c r="S33" s="885">
        <v>0.615</v>
      </c>
      <c r="T33" s="884">
        <v>16.45</v>
      </c>
      <c r="U33" s="886">
        <v>4.7</v>
      </c>
      <c r="V33" s="879">
        <v>40740</v>
      </c>
      <c r="W33" s="887">
        <v>0.0661</v>
      </c>
      <c r="X33" s="879">
        <v>264</v>
      </c>
      <c r="Y33" s="888"/>
      <c r="Z33" s="15" t="s">
        <v>876</v>
      </c>
      <c r="AA33" s="15" t="s">
        <v>1156</v>
      </c>
      <c r="AB33" s="889">
        <v>1883</v>
      </c>
      <c r="AC33" s="889">
        <v>1</v>
      </c>
      <c r="AD33" s="889">
        <v>1</v>
      </c>
      <c r="AE33" s="14" t="s">
        <v>1157</v>
      </c>
      <c r="AF33" s="15" t="s">
        <v>65</v>
      </c>
      <c r="AG33" s="14" t="s">
        <v>1158</v>
      </c>
      <c r="AH33" s="15" t="s">
        <v>856</v>
      </c>
      <c r="AI33" s="890" t="s">
        <v>1159</v>
      </c>
      <c r="AJ33" s="890" t="s">
        <v>1160</v>
      </c>
    </row>
    <row r="34" s="1" customFormat="1" ht="24" customHeight="1" spans="1:36">
      <c r="A34" s="15" t="s">
        <v>65</v>
      </c>
      <c r="B34" s="14" t="s">
        <v>1161</v>
      </c>
      <c r="C34" s="14" t="s">
        <v>1161</v>
      </c>
      <c r="D34" s="14" t="s">
        <v>65</v>
      </c>
      <c r="E34" s="14" t="s">
        <v>1162</v>
      </c>
      <c r="F34" s="14" t="s">
        <v>1163</v>
      </c>
      <c r="G34" s="14" t="s">
        <v>1039</v>
      </c>
      <c r="H34" s="14" t="s">
        <v>1164</v>
      </c>
      <c r="I34" s="14" t="s">
        <v>1165</v>
      </c>
      <c r="J34" s="15" t="s">
        <v>1003</v>
      </c>
      <c r="K34" s="14" t="s">
        <v>850</v>
      </c>
      <c r="L34" s="14" t="s">
        <v>851</v>
      </c>
      <c r="M34" s="879">
        <v>3395</v>
      </c>
      <c r="N34" s="880" t="s">
        <v>884</v>
      </c>
      <c r="O34" s="881" t="s">
        <v>1166</v>
      </c>
      <c r="P34" s="879">
        <v>2777</v>
      </c>
      <c r="Q34" s="879">
        <v>27742.229</v>
      </c>
      <c r="R34" s="884">
        <v>9.99</v>
      </c>
      <c r="S34" s="885">
        <v>0.2805</v>
      </c>
      <c r="T34" s="884">
        <v>5.69</v>
      </c>
      <c r="U34" s="886">
        <v>4.3</v>
      </c>
      <c r="V34" s="879">
        <v>494</v>
      </c>
      <c r="W34" s="887">
        <v>0.045</v>
      </c>
      <c r="X34" s="879">
        <v>125</v>
      </c>
      <c r="Y34" s="888"/>
      <c r="Z34" s="15" t="s">
        <v>876</v>
      </c>
      <c r="AA34" s="15" t="s">
        <v>1167</v>
      </c>
      <c r="AB34" s="889">
        <v>279</v>
      </c>
      <c r="AC34" s="889">
        <v>1</v>
      </c>
      <c r="AD34" s="889">
        <v>1</v>
      </c>
      <c r="AE34" s="14" t="s">
        <v>1168</v>
      </c>
      <c r="AF34" s="15" t="s">
        <v>65</v>
      </c>
      <c r="AG34" s="14" t="s">
        <v>1169</v>
      </c>
      <c r="AH34" s="15" t="s">
        <v>856</v>
      </c>
      <c r="AI34" s="890" t="s">
        <v>927</v>
      </c>
      <c r="AJ34" s="890" t="s">
        <v>1170</v>
      </c>
    </row>
    <row r="35" s="1" customFormat="1" ht="24" customHeight="1" spans="1:36">
      <c r="A35" s="15" t="s">
        <v>65</v>
      </c>
      <c r="B35" s="14" t="s">
        <v>232</v>
      </c>
      <c r="C35" s="14" t="s">
        <v>232</v>
      </c>
      <c r="D35" s="14" t="s">
        <v>65</v>
      </c>
      <c r="E35" s="14" t="s">
        <v>1171</v>
      </c>
      <c r="F35" s="14" t="s">
        <v>1172</v>
      </c>
      <c r="G35" s="14" t="s">
        <v>1173</v>
      </c>
      <c r="H35" s="14" t="s">
        <v>1174</v>
      </c>
      <c r="I35" s="14" t="s">
        <v>1175</v>
      </c>
      <c r="J35" s="15" t="s">
        <v>974</v>
      </c>
      <c r="K35" s="14" t="s">
        <v>850</v>
      </c>
      <c r="L35" s="14" t="s">
        <v>851</v>
      </c>
      <c r="M35" s="879">
        <v>3310</v>
      </c>
      <c r="N35" s="880" t="s">
        <v>852</v>
      </c>
      <c r="O35" s="881" t="s">
        <v>1135</v>
      </c>
      <c r="P35" s="879">
        <v>2695</v>
      </c>
      <c r="Q35" s="879">
        <v>170485.7</v>
      </c>
      <c r="R35" s="884">
        <v>63.26</v>
      </c>
      <c r="S35" s="885">
        <v>0.5302</v>
      </c>
      <c r="T35" s="884">
        <v>20.23</v>
      </c>
      <c r="U35" s="886">
        <v>4.6</v>
      </c>
      <c r="V35" s="879">
        <v>33005</v>
      </c>
      <c r="W35" s="887">
        <v>0.082</v>
      </c>
      <c r="X35" s="879">
        <v>221</v>
      </c>
      <c r="Y35" s="879">
        <v>680</v>
      </c>
      <c r="Z35" s="15" t="s">
        <v>876</v>
      </c>
      <c r="AA35" s="15" t="s">
        <v>1176</v>
      </c>
      <c r="AB35" s="889">
        <v>1966</v>
      </c>
      <c r="AC35" s="889">
        <v>1</v>
      </c>
      <c r="AD35" s="889">
        <v>2</v>
      </c>
      <c r="AE35" s="14" t="s">
        <v>867</v>
      </c>
      <c r="AF35" s="15" t="s">
        <v>65</v>
      </c>
      <c r="AG35" s="14" t="s">
        <v>65</v>
      </c>
      <c r="AH35" s="15" t="s">
        <v>856</v>
      </c>
      <c r="AI35" s="890" t="s">
        <v>1177</v>
      </c>
      <c r="AJ35" s="890" t="s">
        <v>1178</v>
      </c>
    </row>
    <row r="36" s="1" customFormat="1" ht="24" customHeight="1" spans="1:36">
      <c r="A36" s="15" t="s">
        <v>65</v>
      </c>
      <c r="B36" s="14" t="s">
        <v>395</v>
      </c>
      <c r="C36" s="14" t="s">
        <v>395</v>
      </c>
      <c r="D36" s="14" t="s">
        <v>65</v>
      </c>
      <c r="E36" s="14" t="s">
        <v>1179</v>
      </c>
      <c r="F36" s="14" t="s">
        <v>1180</v>
      </c>
      <c r="G36" s="14" t="s">
        <v>931</v>
      </c>
      <c r="H36" s="14" t="s">
        <v>1181</v>
      </c>
      <c r="I36" s="14" t="s">
        <v>1182</v>
      </c>
      <c r="J36" s="15" t="s">
        <v>934</v>
      </c>
      <c r="K36" s="14" t="s">
        <v>850</v>
      </c>
      <c r="L36" s="14" t="s">
        <v>851</v>
      </c>
      <c r="M36" s="879">
        <v>3846</v>
      </c>
      <c r="N36" s="880" t="s">
        <v>852</v>
      </c>
      <c r="O36" s="881" t="s">
        <v>1183</v>
      </c>
      <c r="P36" s="879">
        <v>2032</v>
      </c>
      <c r="Q36" s="879">
        <v>132059.67</v>
      </c>
      <c r="R36" s="884">
        <v>64.99</v>
      </c>
      <c r="S36" s="885">
        <v>0.6357</v>
      </c>
      <c r="T36" s="884">
        <v>13.93</v>
      </c>
      <c r="U36" s="886">
        <v>4.6</v>
      </c>
      <c r="V36" s="879">
        <v>2910</v>
      </c>
      <c r="W36" s="887">
        <v>0.0679</v>
      </c>
      <c r="X36" s="879">
        <v>138</v>
      </c>
      <c r="Y36" s="888"/>
      <c r="Z36" s="15" t="s">
        <v>876</v>
      </c>
      <c r="AA36" s="15" t="s">
        <v>1184</v>
      </c>
      <c r="AB36" s="889">
        <v>832</v>
      </c>
      <c r="AC36" s="889">
        <v>1</v>
      </c>
      <c r="AD36" s="889">
        <v>2</v>
      </c>
      <c r="AE36" s="14" t="s">
        <v>867</v>
      </c>
      <c r="AF36" s="15" t="s">
        <v>65</v>
      </c>
      <c r="AG36" s="14" t="s">
        <v>65</v>
      </c>
      <c r="AH36" s="15" t="s">
        <v>856</v>
      </c>
      <c r="AI36" s="890" t="s">
        <v>1185</v>
      </c>
      <c r="AJ36" s="890" t="s">
        <v>1186</v>
      </c>
    </row>
    <row r="37" s="1" customFormat="1" ht="24" customHeight="1" spans="1:36">
      <c r="A37" s="15" t="s">
        <v>65</v>
      </c>
      <c r="B37" s="14" t="s">
        <v>116</v>
      </c>
      <c r="C37" s="14" t="s">
        <v>116</v>
      </c>
      <c r="D37" s="14" t="s">
        <v>65</v>
      </c>
      <c r="E37" s="14" t="s">
        <v>1187</v>
      </c>
      <c r="F37" s="14" t="s">
        <v>1188</v>
      </c>
      <c r="G37" s="14" t="s">
        <v>1189</v>
      </c>
      <c r="H37" s="14" t="s">
        <v>1190</v>
      </c>
      <c r="I37" s="14" t="s">
        <v>1191</v>
      </c>
      <c r="J37" s="15" t="s">
        <v>934</v>
      </c>
      <c r="K37" s="14" t="s">
        <v>850</v>
      </c>
      <c r="L37" s="14" t="s">
        <v>851</v>
      </c>
      <c r="M37" s="879">
        <v>3738</v>
      </c>
      <c r="N37" s="880" t="s">
        <v>852</v>
      </c>
      <c r="O37" s="881" t="s">
        <v>1135</v>
      </c>
      <c r="P37" s="879">
        <v>2305</v>
      </c>
      <c r="Q37" s="879">
        <v>161326.94</v>
      </c>
      <c r="R37" s="884">
        <v>69.99</v>
      </c>
      <c r="S37" s="885">
        <v>0.615</v>
      </c>
      <c r="T37" s="884">
        <v>16.45</v>
      </c>
      <c r="U37" s="886">
        <v>4.1</v>
      </c>
      <c r="V37" s="879">
        <v>1929</v>
      </c>
      <c r="W37" s="887">
        <v>0.0364</v>
      </c>
      <c r="X37" s="879">
        <v>84</v>
      </c>
      <c r="Y37" s="888"/>
      <c r="Z37" s="15" t="s">
        <v>854</v>
      </c>
      <c r="AA37" s="15" t="s">
        <v>1192</v>
      </c>
      <c r="AB37" s="889">
        <v>987</v>
      </c>
      <c r="AC37" s="889">
        <v>1</v>
      </c>
      <c r="AD37" s="889">
        <v>1</v>
      </c>
      <c r="AE37" s="14" t="s">
        <v>867</v>
      </c>
      <c r="AF37" s="15" t="s">
        <v>65</v>
      </c>
      <c r="AG37" s="14" t="s">
        <v>65</v>
      </c>
      <c r="AH37" s="15" t="s">
        <v>856</v>
      </c>
      <c r="AI37" s="890" t="s">
        <v>1193</v>
      </c>
      <c r="AJ37" s="890" t="s">
        <v>1194</v>
      </c>
    </row>
    <row r="38" s="1" customFormat="1" ht="24" customHeight="1" spans="1:36">
      <c r="A38" s="15" t="s">
        <v>65</v>
      </c>
      <c r="B38" s="14" t="s">
        <v>1195</v>
      </c>
      <c r="C38" s="14" t="s">
        <v>1195</v>
      </c>
      <c r="D38" s="14" t="s">
        <v>65</v>
      </c>
      <c r="E38" s="14" t="s">
        <v>1196</v>
      </c>
      <c r="F38" s="14" t="s">
        <v>1197</v>
      </c>
      <c r="G38" s="14" t="s">
        <v>1198</v>
      </c>
      <c r="H38" s="14" t="s">
        <v>1199</v>
      </c>
      <c r="I38" s="14" t="s">
        <v>1200</v>
      </c>
      <c r="J38" s="15" t="s">
        <v>65</v>
      </c>
      <c r="K38" s="14" t="s">
        <v>924</v>
      </c>
      <c r="L38" s="14" t="s">
        <v>851</v>
      </c>
      <c r="M38" s="879">
        <v>4832</v>
      </c>
      <c r="N38" s="880" t="s">
        <v>1201</v>
      </c>
      <c r="O38" s="881" t="s">
        <v>1202</v>
      </c>
      <c r="P38" s="879">
        <v>1164</v>
      </c>
      <c r="Q38" s="879">
        <v>23268.36</v>
      </c>
      <c r="R38" s="884">
        <v>19.99</v>
      </c>
      <c r="S38" s="885">
        <v>0.6379</v>
      </c>
      <c r="T38" s="884">
        <v>4.24</v>
      </c>
      <c r="U38" s="886">
        <v>4.3</v>
      </c>
      <c r="V38" s="879">
        <v>376</v>
      </c>
      <c r="W38" s="887">
        <v>0.0842</v>
      </c>
      <c r="X38" s="879">
        <v>98</v>
      </c>
      <c r="Y38" s="888"/>
      <c r="Z38" s="15" t="s">
        <v>876</v>
      </c>
      <c r="AA38" s="15" t="s">
        <v>1203</v>
      </c>
      <c r="AB38" s="889">
        <v>98</v>
      </c>
      <c r="AC38" s="889">
        <v>1</v>
      </c>
      <c r="AD38" s="889">
        <v>1</v>
      </c>
      <c r="AE38" s="14" t="s">
        <v>65</v>
      </c>
      <c r="AF38" s="15" t="s">
        <v>65</v>
      </c>
      <c r="AG38" s="14" t="s">
        <v>65</v>
      </c>
      <c r="AH38" s="15" t="s">
        <v>856</v>
      </c>
      <c r="AI38" s="890" t="s">
        <v>1204</v>
      </c>
      <c r="AJ38" s="890" t="s">
        <v>1205</v>
      </c>
    </row>
    <row r="39" s="1" customFormat="1" ht="24" customHeight="1" spans="1:36">
      <c r="A39" s="15" t="s">
        <v>65</v>
      </c>
      <c r="B39" s="14" t="s">
        <v>1206</v>
      </c>
      <c r="C39" s="14" t="s">
        <v>1206</v>
      </c>
      <c r="D39" s="14" t="s">
        <v>65</v>
      </c>
      <c r="E39" s="14" t="s">
        <v>1207</v>
      </c>
      <c r="F39" s="14" t="s">
        <v>1208</v>
      </c>
      <c r="G39" s="14" t="s">
        <v>1209</v>
      </c>
      <c r="H39" s="14" t="s">
        <v>1210</v>
      </c>
      <c r="I39" s="14" t="s">
        <v>1211</v>
      </c>
      <c r="J39" s="15" t="s">
        <v>934</v>
      </c>
      <c r="K39" s="14" t="s">
        <v>850</v>
      </c>
      <c r="L39" s="14" t="s">
        <v>851</v>
      </c>
      <c r="M39" s="879">
        <v>5777</v>
      </c>
      <c r="N39" s="880" t="s">
        <v>852</v>
      </c>
      <c r="O39" s="881" t="s">
        <v>1212</v>
      </c>
      <c r="P39" s="879">
        <v>1760</v>
      </c>
      <c r="Q39" s="879">
        <v>19342.4</v>
      </c>
      <c r="R39" s="884">
        <v>10.99</v>
      </c>
      <c r="S39" s="885">
        <v>0.4788</v>
      </c>
      <c r="T39" s="884">
        <v>4.08</v>
      </c>
      <c r="U39" s="886">
        <v>4.5</v>
      </c>
      <c r="V39" s="879">
        <v>1690</v>
      </c>
      <c r="W39" s="887">
        <v>0.0398</v>
      </c>
      <c r="X39" s="879">
        <v>70</v>
      </c>
      <c r="Y39" s="888"/>
      <c r="Z39" s="15" t="s">
        <v>854</v>
      </c>
      <c r="AA39" s="15" t="s">
        <v>1213</v>
      </c>
      <c r="AB39" s="889">
        <v>719</v>
      </c>
      <c r="AC39" s="889">
        <v>1</v>
      </c>
      <c r="AD39" s="889">
        <v>1</v>
      </c>
      <c r="AE39" s="14" t="s">
        <v>1214</v>
      </c>
      <c r="AF39" s="15" t="s">
        <v>65</v>
      </c>
      <c r="AG39" s="14" t="s">
        <v>1215</v>
      </c>
      <c r="AH39" s="15" t="s">
        <v>856</v>
      </c>
      <c r="AI39" s="890" t="s">
        <v>1216</v>
      </c>
      <c r="AJ39" s="890" t="s">
        <v>1217</v>
      </c>
    </row>
    <row r="40" s="1" customFormat="1" ht="24" customHeight="1" spans="1:36">
      <c r="A40" s="15" t="s">
        <v>65</v>
      </c>
      <c r="B40" s="14" t="s">
        <v>1218</v>
      </c>
      <c r="C40" s="14" t="s">
        <v>1218</v>
      </c>
      <c r="D40" s="14" t="s">
        <v>65</v>
      </c>
      <c r="E40" s="14" t="s">
        <v>1219</v>
      </c>
      <c r="F40" s="14" t="s">
        <v>1220</v>
      </c>
      <c r="G40" s="14" t="s">
        <v>1221</v>
      </c>
      <c r="H40" s="14" t="s">
        <v>1222</v>
      </c>
      <c r="I40" s="14" t="s">
        <v>1223</v>
      </c>
      <c r="J40" s="15" t="s">
        <v>1042</v>
      </c>
      <c r="K40" s="14" t="s">
        <v>850</v>
      </c>
      <c r="L40" s="14" t="s">
        <v>851</v>
      </c>
      <c r="M40" s="879">
        <v>3701</v>
      </c>
      <c r="N40" s="880" t="s">
        <v>852</v>
      </c>
      <c r="O40" s="881" t="s">
        <v>1183</v>
      </c>
      <c r="P40" s="879">
        <v>622</v>
      </c>
      <c r="Q40" s="879">
        <v>33469.82</v>
      </c>
      <c r="R40" s="884">
        <v>53.81</v>
      </c>
      <c r="S40" s="885">
        <v>0.5443</v>
      </c>
      <c r="T40" s="884">
        <v>16.45</v>
      </c>
      <c r="U40" s="886">
        <v>5</v>
      </c>
      <c r="V40" s="879">
        <v>8</v>
      </c>
      <c r="W40" s="887">
        <v>0.0113</v>
      </c>
      <c r="X40" s="879">
        <v>7</v>
      </c>
      <c r="Y40" s="888"/>
      <c r="Z40" s="15" t="s">
        <v>65</v>
      </c>
      <c r="AA40" s="15" t="s">
        <v>1224</v>
      </c>
      <c r="AB40" s="889">
        <v>26</v>
      </c>
      <c r="AC40" s="889">
        <v>1</v>
      </c>
      <c r="AD40" s="889">
        <v>1</v>
      </c>
      <c r="AE40" s="14" t="s">
        <v>867</v>
      </c>
      <c r="AF40" s="15" t="s">
        <v>65</v>
      </c>
      <c r="AG40" s="14" t="s">
        <v>65</v>
      </c>
      <c r="AH40" s="15" t="s">
        <v>856</v>
      </c>
      <c r="AI40" s="890" t="s">
        <v>907</v>
      </c>
      <c r="AJ40" s="890" t="s">
        <v>1225</v>
      </c>
    </row>
    <row r="41" s="1" customFormat="1" ht="24" customHeight="1" spans="1:36">
      <c r="A41" s="15" t="s">
        <v>65</v>
      </c>
      <c r="B41" s="14" t="s">
        <v>1226</v>
      </c>
      <c r="C41" s="14" t="s">
        <v>1226</v>
      </c>
      <c r="D41" s="14" t="s">
        <v>65</v>
      </c>
      <c r="E41" s="14" t="s">
        <v>1227</v>
      </c>
      <c r="F41" s="14" t="s">
        <v>1228</v>
      </c>
      <c r="G41" s="14" t="s">
        <v>1229</v>
      </c>
      <c r="H41" s="14" t="s">
        <v>1230</v>
      </c>
      <c r="I41" s="14" t="s">
        <v>1231</v>
      </c>
      <c r="J41" s="15" t="s">
        <v>893</v>
      </c>
      <c r="K41" s="14" t="s">
        <v>850</v>
      </c>
      <c r="L41" s="14" t="s">
        <v>851</v>
      </c>
      <c r="M41" s="879">
        <v>5110</v>
      </c>
      <c r="N41" s="880" t="s">
        <v>852</v>
      </c>
      <c r="O41" s="881" t="s">
        <v>1232</v>
      </c>
      <c r="P41" s="879">
        <v>1381</v>
      </c>
      <c r="Q41" s="879">
        <v>170097.77</v>
      </c>
      <c r="R41" s="884">
        <v>123.17</v>
      </c>
      <c r="S41" s="885">
        <v>0.6789</v>
      </c>
      <c r="T41" s="884">
        <v>21.07</v>
      </c>
      <c r="U41" s="886">
        <v>4.6</v>
      </c>
      <c r="V41" s="879">
        <v>5601</v>
      </c>
      <c r="W41" s="887">
        <v>0.0311</v>
      </c>
      <c r="X41" s="879">
        <v>43</v>
      </c>
      <c r="Y41" s="888"/>
      <c r="Z41" s="15" t="s">
        <v>854</v>
      </c>
      <c r="AA41" s="15" t="s">
        <v>1233</v>
      </c>
      <c r="AB41" s="889">
        <v>1567</v>
      </c>
      <c r="AC41" s="889">
        <v>1</v>
      </c>
      <c r="AD41" s="889">
        <v>17</v>
      </c>
      <c r="AE41" s="14" t="s">
        <v>867</v>
      </c>
      <c r="AF41" s="15" t="s">
        <v>65</v>
      </c>
      <c r="AG41" s="14" t="s">
        <v>65</v>
      </c>
      <c r="AH41" s="15" t="s">
        <v>856</v>
      </c>
      <c r="AI41" s="890" t="s">
        <v>937</v>
      </c>
      <c r="AJ41" s="890" t="s">
        <v>1234</v>
      </c>
    </row>
    <row r="42" s="1" customFormat="1" ht="24" customHeight="1" spans="1:36">
      <c r="A42" s="15" t="s">
        <v>65</v>
      </c>
      <c r="B42" s="14" t="s">
        <v>1235</v>
      </c>
      <c r="C42" s="14" t="s">
        <v>1235</v>
      </c>
      <c r="D42" s="14" t="s">
        <v>65</v>
      </c>
      <c r="E42" s="14" t="s">
        <v>1236</v>
      </c>
      <c r="F42" s="14" t="s">
        <v>1237</v>
      </c>
      <c r="G42" s="14" t="s">
        <v>1238</v>
      </c>
      <c r="H42" s="14" t="s">
        <v>1239</v>
      </c>
      <c r="I42" s="14" t="s">
        <v>1240</v>
      </c>
      <c r="J42" s="15" t="s">
        <v>923</v>
      </c>
      <c r="K42" s="14" t="s">
        <v>850</v>
      </c>
      <c r="L42" s="14" t="s">
        <v>851</v>
      </c>
      <c r="M42" s="879">
        <v>6368</v>
      </c>
      <c r="N42" s="880" t="s">
        <v>852</v>
      </c>
      <c r="O42" s="881" t="s">
        <v>1241</v>
      </c>
      <c r="P42" s="879">
        <v>1341</v>
      </c>
      <c r="Q42" s="879">
        <v>107266.586</v>
      </c>
      <c r="R42" s="884">
        <v>79.99</v>
      </c>
      <c r="S42" s="885">
        <v>0.5761</v>
      </c>
      <c r="T42" s="884">
        <v>21.91</v>
      </c>
      <c r="U42" s="886">
        <v>4.3</v>
      </c>
      <c r="V42" s="879">
        <v>1421</v>
      </c>
      <c r="W42" s="887">
        <v>0.0388</v>
      </c>
      <c r="X42" s="879">
        <v>52</v>
      </c>
      <c r="Y42" s="888"/>
      <c r="Z42" s="15" t="s">
        <v>854</v>
      </c>
      <c r="AA42" s="15" t="s">
        <v>1242</v>
      </c>
      <c r="AB42" s="889">
        <v>847</v>
      </c>
      <c r="AC42" s="889">
        <v>1</v>
      </c>
      <c r="AD42" s="889">
        <v>2</v>
      </c>
      <c r="AE42" s="14" t="s">
        <v>65</v>
      </c>
      <c r="AF42" s="15" t="s">
        <v>65</v>
      </c>
      <c r="AG42" s="14" t="s">
        <v>65</v>
      </c>
      <c r="AH42" s="15" t="s">
        <v>856</v>
      </c>
      <c r="AI42" s="890" t="s">
        <v>868</v>
      </c>
      <c r="AJ42" s="890" t="s">
        <v>1243</v>
      </c>
    </row>
    <row r="43" s="1" customFormat="1" ht="24" customHeight="1" spans="1:36">
      <c r="A43" s="15" t="s">
        <v>65</v>
      </c>
      <c r="B43" s="14" t="s">
        <v>1244</v>
      </c>
      <c r="C43" s="14" t="s">
        <v>1244</v>
      </c>
      <c r="D43" s="14" t="s">
        <v>65</v>
      </c>
      <c r="E43" s="14" t="s">
        <v>1245</v>
      </c>
      <c r="F43" s="14" t="s">
        <v>1246</v>
      </c>
      <c r="G43" s="14" t="s">
        <v>1247</v>
      </c>
      <c r="H43" s="14" t="s">
        <v>1248</v>
      </c>
      <c r="I43" s="14" t="s">
        <v>1249</v>
      </c>
      <c r="J43" s="15" t="s">
        <v>974</v>
      </c>
      <c r="K43" s="14" t="s">
        <v>850</v>
      </c>
      <c r="L43" s="14" t="s">
        <v>851</v>
      </c>
      <c r="M43" s="879">
        <v>4417</v>
      </c>
      <c r="N43" s="880" t="s">
        <v>852</v>
      </c>
      <c r="O43" s="881" t="s">
        <v>1250</v>
      </c>
      <c r="P43" s="879">
        <v>985</v>
      </c>
      <c r="Q43" s="879">
        <v>196990.16</v>
      </c>
      <c r="R43" s="884">
        <v>199.99</v>
      </c>
      <c r="S43" s="885">
        <v>0.7677</v>
      </c>
      <c r="T43" s="884">
        <v>16.45</v>
      </c>
      <c r="U43" s="886">
        <v>4.3</v>
      </c>
      <c r="V43" s="879">
        <v>167</v>
      </c>
      <c r="W43" s="887">
        <v>0</v>
      </c>
      <c r="X43" s="879">
        <v>0</v>
      </c>
      <c r="Y43" s="888"/>
      <c r="Z43" s="15" t="s">
        <v>854</v>
      </c>
      <c r="AA43" s="15" t="s">
        <v>1251</v>
      </c>
      <c r="AB43" s="889">
        <v>186</v>
      </c>
      <c r="AC43" s="889">
        <v>1</v>
      </c>
      <c r="AD43" s="889">
        <v>1</v>
      </c>
      <c r="AE43" s="14" t="s">
        <v>65</v>
      </c>
      <c r="AF43" s="15" t="s">
        <v>65</v>
      </c>
      <c r="AG43" s="14" t="s">
        <v>65</v>
      </c>
      <c r="AH43" s="15" t="s">
        <v>856</v>
      </c>
      <c r="AI43" s="890" t="s">
        <v>1252</v>
      </c>
      <c r="AJ43" s="890" t="s">
        <v>1253</v>
      </c>
    </row>
    <row r="44" s="1" customFormat="1" ht="24" customHeight="1" spans="1:36">
      <c r="A44" s="15" t="s">
        <v>65</v>
      </c>
      <c r="B44" s="14" t="s">
        <v>1254</v>
      </c>
      <c r="C44" s="14" t="s">
        <v>1254</v>
      </c>
      <c r="D44" s="14" t="s">
        <v>65</v>
      </c>
      <c r="E44" s="14" t="s">
        <v>1255</v>
      </c>
      <c r="F44" s="14" t="s">
        <v>1256</v>
      </c>
      <c r="G44" s="14" t="s">
        <v>1132</v>
      </c>
      <c r="H44" s="14" t="s">
        <v>1257</v>
      </c>
      <c r="I44" s="14" t="s">
        <v>1258</v>
      </c>
      <c r="J44" s="15" t="s">
        <v>65</v>
      </c>
      <c r="K44" s="14" t="s">
        <v>850</v>
      </c>
      <c r="L44" s="14" t="s">
        <v>851</v>
      </c>
      <c r="M44" s="879">
        <v>6767</v>
      </c>
      <c r="N44" s="880" t="s">
        <v>852</v>
      </c>
      <c r="O44" s="881" t="s">
        <v>1241</v>
      </c>
      <c r="P44" s="879">
        <v>922</v>
      </c>
      <c r="Q44" s="879">
        <v>166697.61</v>
      </c>
      <c r="R44" s="884">
        <v>180.8</v>
      </c>
      <c r="S44" s="885">
        <v>0.7242</v>
      </c>
      <c r="T44" s="884">
        <v>22.75</v>
      </c>
      <c r="U44" s="886">
        <v>4.5</v>
      </c>
      <c r="V44" s="879">
        <v>2574</v>
      </c>
      <c r="W44" s="887">
        <v>0.0488</v>
      </c>
      <c r="X44" s="879">
        <v>45</v>
      </c>
      <c r="Y44" s="888"/>
      <c r="Z44" s="15" t="s">
        <v>947</v>
      </c>
      <c r="AA44" s="15" t="s">
        <v>1259</v>
      </c>
      <c r="AB44" s="889">
        <v>1701</v>
      </c>
      <c r="AC44" s="889">
        <v>1</v>
      </c>
      <c r="AD44" s="889">
        <v>23</v>
      </c>
      <c r="AE44" s="14" t="s">
        <v>65</v>
      </c>
      <c r="AF44" s="15" t="s">
        <v>65</v>
      </c>
      <c r="AG44" s="14" t="s">
        <v>65</v>
      </c>
      <c r="AH44" s="15" t="s">
        <v>856</v>
      </c>
      <c r="AI44" s="890" t="s">
        <v>878</v>
      </c>
      <c r="AJ44" s="890" t="s">
        <v>1260</v>
      </c>
    </row>
    <row r="45" s="1" customFormat="1" ht="24" customHeight="1" spans="1:36">
      <c r="A45" s="15" t="s">
        <v>65</v>
      </c>
      <c r="B45" s="14" t="s">
        <v>1261</v>
      </c>
      <c r="C45" s="14" t="s">
        <v>1261</v>
      </c>
      <c r="D45" s="14" t="s">
        <v>65</v>
      </c>
      <c r="E45" s="14" t="s">
        <v>1262</v>
      </c>
      <c r="F45" s="14" t="s">
        <v>1263</v>
      </c>
      <c r="G45" s="14" t="s">
        <v>846</v>
      </c>
      <c r="H45" s="14" t="s">
        <v>1264</v>
      </c>
      <c r="I45" s="14" t="s">
        <v>1265</v>
      </c>
      <c r="J45" s="15" t="s">
        <v>934</v>
      </c>
      <c r="K45" s="14" t="s">
        <v>850</v>
      </c>
      <c r="L45" s="14" t="s">
        <v>851</v>
      </c>
      <c r="M45" s="879">
        <v>5911</v>
      </c>
      <c r="N45" s="880" t="s">
        <v>852</v>
      </c>
      <c r="O45" s="881" t="s">
        <v>1266</v>
      </c>
      <c r="P45" s="879">
        <v>1815</v>
      </c>
      <c r="Q45" s="879">
        <v>326681.88</v>
      </c>
      <c r="R45" s="884">
        <v>179.99</v>
      </c>
      <c r="S45" s="885">
        <v>0.7096</v>
      </c>
      <c r="T45" s="884">
        <v>25.27</v>
      </c>
      <c r="U45" s="886">
        <v>4.8</v>
      </c>
      <c r="V45" s="879">
        <v>2738</v>
      </c>
      <c r="W45" s="887">
        <v>0.0512</v>
      </c>
      <c r="X45" s="879">
        <v>93</v>
      </c>
      <c r="Y45" s="888"/>
      <c r="Z45" s="15" t="s">
        <v>1267</v>
      </c>
      <c r="AA45" s="15" t="s">
        <v>1268</v>
      </c>
      <c r="AB45" s="889">
        <v>896</v>
      </c>
      <c r="AC45" s="889">
        <v>1</v>
      </c>
      <c r="AD45" s="889">
        <v>4</v>
      </c>
      <c r="AE45" s="14" t="s">
        <v>867</v>
      </c>
      <c r="AF45" s="15" t="s">
        <v>65</v>
      </c>
      <c r="AG45" s="14" t="s">
        <v>65</v>
      </c>
      <c r="AH45" s="15" t="s">
        <v>856</v>
      </c>
      <c r="AI45" s="890" t="s">
        <v>1269</v>
      </c>
      <c r="AJ45" s="890" t="s">
        <v>1270</v>
      </c>
    </row>
    <row r="46" s="1" customFormat="1" ht="24" customHeight="1" spans="1:36">
      <c r="A46" s="15" t="s">
        <v>65</v>
      </c>
      <c r="B46" s="14" t="s">
        <v>705</v>
      </c>
      <c r="C46" s="14" t="s">
        <v>705</v>
      </c>
      <c r="D46" s="14" t="s">
        <v>65</v>
      </c>
      <c r="E46" s="14" t="s">
        <v>1271</v>
      </c>
      <c r="F46" s="14" t="s">
        <v>1272</v>
      </c>
      <c r="G46" s="14" t="s">
        <v>1059</v>
      </c>
      <c r="H46" s="14" t="s">
        <v>1273</v>
      </c>
      <c r="I46" s="14" t="s">
        <v>1274</v>
      </c>
      <c r="J46" s="15" t="s">
        <v>974</v>
      </c>
      <c r="K46" s="14" t="s">
        <v>850</v>
      </c>
      <c r="L46" s="14" t="s">
        <v>851</v>
      </c>
      <c r="M46" s="879">
        <v>5206</v>
      </c>
      <c r="N46" s="880" t="s">
        <v>852</v>
      </c>
      <c r="O46" s="881" t="s">
        <v>1275</v>
      </c>
      <c r="P46" s="879">
        <v>837</v>
      </c>
      <c r="Q46" s="879">
        <v>40644.723</v>
      </c>
      <c r="R46" s="884">
        <v>48.56</v>
      </c>
      <c r="S46" s="885">
        <v>0.5545</v>
      </c>
      <c r="T46" s="884">
        <v>14.35</v>
      </c>
      <c r="U46" s="886">
        <v>4.6</v>
      </c>
      <c r="V46" s="879">
        <v>17288</v>
      </c>
      <c r="W46" s="887">
        <v>0.1649</v>
      </c>
      <c r="X46" s="879">
        <v>138</v>
      </c>
      <c r="Y46" s="879">
        <v>26</v>
      </c>
      <c r="Z46" s="15" t="s">
        <v>876</v>
      </c>
      <c r="AA46" s="15" t="s">
        <v>1276</v>
      </c>
      <c r="AB46" s="889">
        <v>1459</v>
      </c>
      <c r="AC46" s="889">
        <v>1</v>
      </c>
      <c r="AD46" s="889">
        <v>8</v>
      </c>
      <c r="AE46" s="14" t="s">
        <v>867</v>
      </c>
      <c r="AF46" s="15" t="s">
        <v>65</v>
      </c>
      <c r="AG46" s="14" t="s">
        <v>65</v>
      </c>
      <c r="AH46" s="15" t="s">
        <v>856</v>
      </c>
      <c r="AI46" s="890" t="s">
        <v>1277</v>
      </c>
      <c r="AJ46" s="890" t="s">
        <v>1278</v>
      </c>
    </row>
    <row r="47" s="1" customFormat="1" ht="24" customHeight="1" spans="1:36">
      <c r="A47" s="15" t="s">
        <v>65</v>
      </c>
      <c r="B47" s="14" t="s">
        <v>1279</v>
      </c>
      <c r="C47" s="14" t="s">
        <v>1279</v>
      </c>
      <c r="D47" s="14" t="s">
        <v>65</v>
      </c>
      <c r="E47" s="14" t="s">
        <v>1280</v>
      </c>
      <c r="F47" s="14" t="s">
        <v>1281</v>
      </c>
      <c r="G47" s="14" t="s">
        <v>1282</v>
      </c>
      <c r="H47" s="14" t="s">
        <v>1283</v>
      </c>
      <c r="I47" s="14" t="s">
        <v>1284</v>
      </c>
      <c r="J47" s="15" t="s">
        <v>934</v>
      </c>
      <c r="K47" s="14" t="s">
        <v>850</v>
      </c>
      <c r="L47" s="14" t="s">
        <v>851</v>
      </c>
      <c r="M47" s="879">
        <v>7484</v>
      </c>
      <c r="N47" s="880" t="s">
        <v>852</v>
      </c>
      <c r="O47" s="881" t="s">
        <v>1285</v>
      </c>
      <c r="P47" s="879">
        <v>1962</v>
      </c>
      <c r="Q47" s="879">
        <v>88074.18</v>
      </c>
      <c r="R47" s="884">
        <v>44.89</v>
      </c>
      <c r="S47" s="885">
        <v>0.5023</v>
      </c>
      <c r="T47" s="884">
        <v>15.61</v>
      </c>
      <c r="U47" s="886">
        <v>4.3</v>
      </c>
      <c r="V47" s="879">
        <v>274</v>
      </c>
      <c r="W47" s="887">
        <v>0.0311</v>
      </c>
      <c r="X47" s="879">
        <v>61</v>
      </c>
      <c r="Y47" s="888"/>
      <c r="Z47" s="15" t="s">
        <v>854</v>
      </c>
      <c r="AA47" s="15" t="s">
        <v>1286</v>
      </c>
      <c r="AB47" s="889">
        <v>385</v>
      </c>
      <c r="AC47" s="889">
        <v>1</v>
      </c>
      <c r="AD47" s="889">
        <v>1</v>
      </c>
      <c r="AE47" s="14" t="s">
        <v>1287</v>
      </c>
      <c r="AF47" s="15" t="s">
        <v>1288</v>
      </c>
      <c r="AG47" s="14" t="s">
        <v>1289</v>
      </c>
      <c r="AH47" s="15" t="s">
        <v>856</v>
      </c>
      <c r="AI47" s="890" t="s">
        <v>1290</v>
      </c>
      <c r="AJ47" s="890" t="s">
        <v>1291</v>
      </c>
    </row>
    <row r="48" s="1" customFormat="1" ht="24" customHeight="1" spans="1:36">
      <c r="A48" s="15" t="s">
        <v>65</v>
      </c>
      <c r="B48" s="14" t="s">
        <v>286</v>
      </c>
      <c r="C48" s="14" t="s">
        <v>286</v>
      </c>
      <c r="D48" s="14" t="s">
        <v>65</v>
      </c>
      <c r="E48" s="14" t="s">
        <v>1292</v>
      </c>
      <c r="F48" s="14" t="s">
        <v>1293</v>
      </c>
      <c r="G48" s="14" t="s">
        <v>861</v>
      </c>
      <c r="H48" s="14" t="s">
        <v>1294</v>
      </c>
      <c r="I48" s="14" t="s">
        <v>1295</v>
      </c>
      <c r="J48" s="15" t="s">
        <v>849</v>
      </c>
      <c r="K48" s="14" t="s">
        <v>850</v>
      </c>
      <c r="L48" s="14" t="s">
        <v>851</v>
      </c>
      <c r="M48" s="879">
        <v>4518</v>
      </c>
      <c r="N48" s="880" t="s">
        <v>852</v>
      </c>
      <c r="O48" s="881" t="s">
        <v>1296</v>
      </c>
      <c r="P48" s="879">
        <v>1850</v>
      </c>
      <c r="Q48" s="879">
        <v>277481.5</v>
      </c>
      <c r="R48" s="884">
        <v>149.99</v>
      </c>
      <c r="S48" s="885">
        <v>0.6283</v>
      </c>
      <c r="T48" s="884">
        <v>33.25</v>
      </c>
      <c r="U48" s="886">
        <v>4.6</v>
      </c>
      <c r="V48" s="879">
        <v>5162</v>
      </c>
      <c r="W48" s="887">
        <v>0.2941</v>
      </c>
      <c r="X48" s="879">
        <v>544</v>
      </c>
      <c r="Y48" s="879">
        <v>427</v>
      </c>
      <c r="Z48" s="15" t="s">
        <v>947</v>
      </c>
      <c r="AA48" s="15" t="s">
        <v>1297</v>
      </c>
      <c r="AB48" s="889">
        <v>856</v>
      </c>
      <c r="AC48" s="889">
        <v>1</v>
      </c>
      <c r="AD48" s="889">
        <v>1</v>
      </c>
      <c r="AE48" s="14" t="s">
        <v>65</v>
      </c>
      <c r="AF48" s="15" t="s">
        <v>65</v>
      </c>
      <c r="AG48" s="14" t="s">
        <v>65</v>
      </c>
      <c r="AH48" s="15" t="s">
        <v>856</v>
      </c>
      <c r="AI48" s="890" t="s">
        <v>1298</v>
      </c>
      <c r="AJ48" s="890" t="s">
        <v>1055</v>
      </c>
    </row>
    <row r="49" s="1" customFormat="1" ht="24" customHeight="1" spans="1:36">
      <c r="A49" s="15" t="s">
        <v>65</v>
      </c>
      <c r="B49" s="14" t="s">
        <v>1299</v>
      </c>
      <c r="C49" s="14" t="s">
        <v>1299</v>
      </c>
      <c r="D49" s="14" t="s">
        <v>65</v>
      </c>
      <c r="E49" s="14" t="s">
        <v>1300</v>
      </c>
      <c r="F49" s="14" t="s">
        <v>1301</v>
      </c>
      <c r="G49" s="14" t="s">
        <v>1302</v>
      </c>
      <c r="H49" s="14" t="s">
        <v>1303</v>
      </c>
      <c r="I49" s="14" t="s">
        <v>1304</v>
      </c>
      <c r="J49" s="15" t="s">
        <v>934</v>
      </c>
      <c r="K49" s="14" t="s">
        <v>850</v>
      </c>
      <c r="L49" s="14" t="s">
        <v>851</v>
      </c>
      <c r="M49" s="879">
        <v>4762</v>
      </c>
      <c r="N49" s="880" t="s">
        <v>852</v>
      </c>
      <c r="O49" s="881" t="s">
        <v>1305</v>
      </c>
      <c r="P49" s="879">
        <v>1583</v>
      </c>
      <c r="Q49" s="879">
        <v>126624.164</v>
      </c>
      <c r="R49" s="884">
        <v>79.99</v>
      </c>
      <c r="S49" s="885">
        <v>0.5919</v>
      </c>
      <c r="T49" s="884">
        <v>20.65</v>
      </c>
      <c r="U49" s="886">
        <v>4.7</v>
      </c>
      <c r="V49" s="879">
        <v>2411</v>
      </c>
      <c r="W49" s="887">
        <v>0.0537</v>
      </c>
      <c r="X49" s="879">
        <v>85</v>
      </c>
      <c r="Y49" s="888"/>
      <c r="Z49" s="15" t="s">
        <v>876</v>
      </c>
      <c r="AA49" s="15" t="s">
        <v>1306</v>
      </c>
      <c r="AB49" s="889">
        <v>710</v>
      </c>
      <c r="AC49" s="889">
        <v>1</v>
      </c>
      <c r="AD49" s="889">
        <v>15</v>
      </c>
      <c r="AE49" s="14" t="s">
        <v>1307</v>
      </c>
      <c r="AF49" s="15" t="s">
        <v>65</v>
      </c>
      <c r="AG49" s="14" t="s">
        <v>1308</v>
      </c>
      <c r="AH49" s="15" t="s">
        <v>856</v>
      </c>
      <c r="AI49" s="890" t="s">
        <v>1309</v>
      </c>
      <c r="AJ49" s="890" t="s">
        <v>1310</v>
      </c>
    </row>
    <row r="50" s="1" customFormat="1" ht="24" customHeight="1" spans="1:36">
      <c r="A50" s="15" t="s">
        <v>65</v>
      </c>
      <c r="B50" s="14" t="s">
        <v>1311</v>
      </c>
      <c r="C50" s="14" t="s">
        <v>1311</v>
      </c>
      <c r="D50" s="14" t="s">
        <v>65</v>
      </c>
      <c r="E50" s="14" t="s">
        <v>1312</v>
      </c>
      <c r="F50" s="14" t="s">
        <v>1313</v>
      </c>
      <c r="G50" s="14" t="s">
        <v>1314</v>
      </c>
      <c r="H50" s="14" t="s">
        <v>1315</v>
      </c>
      <c r="I50" s="14" t="s">
        <v>1316</v>
      </c>
      <c r="J50" s="15" t="s">
        <v>1003</v>
      </c>
      <c r="K50" s="14" t="s">
        <v>850</v>
      </c>
      <c r="L50" s="14" t="s">
        <v>851</v>
      </c>
      <c r="M50" s="879">
        <v>5785</v>
      </c>
      <c r="N50" s="880" t="s">
        <v>852</v>
      </c>
      <c r="O50" s="881" t="s">
        <v>1317</v>
      </c>
      <c r="P50" s="879">
        <v>1326</v>
      </c>
      <c r="Q50" s="879">
        <v>13246.739</v>
      </c>
      <c r="R50" s="884">
        <v>9.99</v>
      </c>
      <c r="S50" s="885">
        <v>0.5277</v>
      </c>
      <c r="T50" s="884">
        <v>3.22</v>
      </c>
      <c r="U50" s="886">
        <v>4.5</v>
      </c>
      <c r="V50" s="879">
        <v>602</v>
      </c>
      <c r="W50" s="887">
        <v>0.0287</v>
      </c>
      <c r="X50" s="879">
        <v>38</v>
      </c>
      <c r="Y50" s="888"/>
      <c r="Z50" s="15" t="s">
        <v>876</v>
      </c>
      <c r="AA50" s="15" t="s">
        <v>1318</v>
      </c>
      <c r="AB50" s="889">
        <v>512</v>
      </c>
      <c r="AC50" s="889">
        <v>1</v>
      </c>
      <c r="AD50" s="889">
        <v>1</v>
      </c>
      <c r="AE50" s="14" t="s">
        <v>65</v>
      </c>
      <c r="AF50" s="15" t="s">
        <v>65</v>
      </c>
      <c r="AG50" s="14" t="s">
        <v>65</v>
      </c>
      <c r="AH50" s="15" t="s">
        <v>856</v>
      </c>
      <c r="AI50" s="890" t="s">
        <v>1319</v>
      </c>
      <c r="AJ50" s="890" t="s">
        <v>1217</v>
      </c>
    </row>
    <row r="51" s="1" customFormat="1" ht="24" customHeight="1" spans="1:36">
      <c r="A51" s="15" t="s">
        <v>65</v>
      </c>
      <c r="B51" s="14" t="s">
        <v>1320</v>
      </c>
      <c r="C51" s="14" t="s">
        <v>1320</v>
      </c>
      <c r="D51" s="14" t="s">
        <v>65</v>
      </c>
      <c r="E51" s="14" t="s">
        <v>1321</v>
      </c>
      <c r="F51" s="14" t="s">
        <v>1322</v>
      </c>
      <c r="G51" s="14" t="s">
        <v>1323</v>
      </c>
      <c r="H51" s="14" t="s">
        <v>1324</v>
      </c>
      <c r="I51" s="14" t="s">
        <v>1325</v>
      </c>
      <c r="J51" s="15" t="s">
        <v>849</v>
      </c>
      <c r="K51" s="14" t="s">
        <v>1326</v>
      </c>
      <c r="L51" s="14" t="s">
        <v>851</v>
      </c>
      <c r="M51" s="879">
        <v>6666</v>
      </c>
      <c r="N51" s="880" t="s">
        <v>1327</v>
      </c>
      <c r="O51" s="881" t="s">
        <v>1328</v>
      </c>
      <c r="P51" s="879">
        <v>936</v>
      </c>
      <c r="Q51" s="879">
        <v>93590.64</v>
      </c>
      <c r="R51" s="884">
        <v>99.99</v>
      </c>
      <c r="S51" s="885">
        <v>0.5259</v>
      </c>
      <c r="T51" s="884">
        <v>32.41</v>
      </c>
      <c r="U51" s="886">
        <v>4.4</v>
      </c>
      <c r="V51" s="879">
        <v>1109</v>
      </c>
      <c r="W51" s="887">
        <v>0.0342</v>
      </c>
      <c r="X51" s="879">
        <v>32</v>
      </c>
      <c r="Y51" s="888"/>
      <c r="Z51" s="15" t="s">
        <v>854</v>
      </c>
      <c r="AA51" s="15" t="s">
        <v>1329</v>
      </c>
      <c r="AB51" s="889">
        <v>348</v>
      </c>
      <c r="AC51" s="889">
        <v>1</v>
      </c>
      <c r="AD51" s="889">
        <v>3</v>
      </c>
      <c r="AE51" s="14" t="s">
        <v>1330</v>
      </c>
      <c r="AF51" s="15" t="s">
        <v>65</v>
      </c>
      <c r="AG51" s="14" t="s">
        <v>1331</v>
      </c>
      <c r="AH51" s="15" t="s">
        <v>856</v>
      </c>
      <c r="AI51" s="890" t="s">
        <v>1332</v>
      </c>
      <c r="AJ51" s="890" t="s">
        <v>1333</v>
      </c>
    </row>
    <row r="52" s="1" customFormat="1" ht="24" customHeight="1" spans="1:36">
      <c r="A52" s="15" t="s">
        <v>65</v>
      </c>
      <c r="B52" s="14" t="s">
        <v>1334</v>
      </c>
      <c r="C52" s="14" t="s">
        <v>1334</v>
      </c>
      <c r="D52" s="14" t="s">
        <v>65</v>
      </c>
      <c r="E52" s="14" t="s">
        <v>1335</v>
      </c>
      <c r="F52" s="14" t="s">
        <v>1336</v>
      </c>
      <c r="G52" s="14" t="s">
        <v>861</v>
      </c>
      <c r="H52" s="14" t="s">
        <v>1337</v>
      </c>
      <c r="I52" s="14" t="s">
        <v>1338</v>
      </c>
      <c r="J52" s="15" t="s">
        <v>864</v>
      </c>
      <c r="K52" s="14" t="s">
        <v>850</v>
      </c>
      <c r="L52" s="14" t="s">
        <v>851</v>
      </c>
      <c r="M52" s="879">
        <v>6184</v>
      </c>
      <c r="N52" s="880" t="s">
        <v>1339</v>
      </c>
      <c r="O52" s="881" t="s">
        <v>1340</v>
      </c>
      <c r="P52" s="879">
        <v>1895</v>
      </c>
      <c r="Q52" s="879">
        <v>360031.06</v>
      </c>
      <c r="R52" s="884">
        <v>189.99</v>
      </c>
      <c r="S52" s="885">
        <v>0.6772</v>
      </c>
      <c r="T52" s="884">
        <v>32.83</v>
      </c>
      <c r="U52" s="886">
        <v>4.5</v>
      </c>
      <c r="V52" s="879">
        <v>10554</v>
      </c>
      <c r="W52" s="887">
        <v>0.0686</v>
      </c>
      <c r="X52" s="879">
        <v>130</v>
      </c>
      <c r="Y52" s="888"/>
      <c r="Z52" s="15" t="s">
        <v>854</v>
      </c>
      <c r="AA52" s="15" t="s">
        <v>1341</v>
      </c>
      <c r="AB52" s="889">
        <v>1303</v>
      </c>
      <c r="AC52" s="889">
        <v>1</v>
      </c>
      <c r="AD52" s="889">
        <v>3</v>
      </c>
      <c r="AE52" s="14" t="s">
        <v>867</v>
      </c>
      <c r="AF52" s="15" t="s">
        <v>65</v>
      </c>
      <c r="AG52" s="14" t="s">
        <v>65</v>
      </c>
      <c r="AH52" s="15" t="s">
        <v>856</v>
      </c>
      <c r="AI52" s="890" t="s">
        <v>1342</v>
      </c>
      <c r="AJ52" s="890" t="s">
        <v>1343</v>
      </c>
    </row>
    <row r="53" s="1" customFormat="1" ht="24" customHeight="1" spans="1:36">
      <c r="A53" s="15" t="s">
        <v>65</v>
      </c>
      <c r="B53" s="14" t="s">
        <v>1344</v>
      </c>
      <c r="C53" s="14" t="s">
        <v>1344</v>
      </c>
      <c r="D53" s="14" t="s">
        <v>65</v>
      </c>
      <c r="E53" s="14" t="s">
        <v>1345</v>
      </c>
      <c r="F53" s="14" t="s">
        <v>1346</v>
      </c>
      <c r="G53" s="14" t="s">
        <v>1173</v>
      </c>
      <c r="H53" s="14" t="s">
        <v>1347</v>
      </c>
      <c r="I53" s="14" t="s">
        <v>1348</v>
      </c>
      <c r="J53" s="15" t="s">
        <v>934</v>
      </c>
      <c r="K53" s="14" t="s">
        <v>850</v>
      </c>
      <c r="L53" s="14" t="s">
        <v>851</v>
      </c>
      <c r="M53" s="879">
        <v>6281</v>
      </c>
      <c r="N53" s="880" t="s">
        <v>852</v>
      </c>
      <c r="O53" s="881" t="s">
        <v>1349</v>
      </c>
      <c r="P53" s="879">
        <v>1535</v>
      </c>
      <c r="Q53" s="879">
        <v>184184.64</v>
      </c>
      <c r="R53" s="884">
        <v>119.99</v>
      </c>
      <c r="S53" s="885">
        <v>0.6814</v>
      </c>
      <c r="T53" s="884">
        <v>20.23</v>
      </c>
      <c r="U53" s="886">
        <v>4.7</v>
      </c>
      <c r="V53" s="879">
        <v>15447</v>
      </c>
      <c r="W53" s="887">
        <v>0.058</v>
      </c>
      <c r="X53" s="879">
        <v>89</v>
      </c>
      <c r="Y53" s="888"/>
      <c r="Z53" s="15" t="s">
        <v>876</v>
      </c>
      <c r="AA53" s="15" t="s">
        <v>1350</v>
      </c>
      <c r="AB53" s="889">
        <v>1242</v>
      </c>
      <c r="AC53" s="889">
        <v>1</v>
      </c>
      <c r="AD53" s="889">
        <v>1</v>
      </c>
      <c r="AE53" s="14" t="s">
        <v>867</v>
      </c>
      <c r="AF53" s="15" t="s">
        <v>65</v>
      </c>
      <c r="AG53" s="14" t="s">
        <v>65</v>
      </c>
      <c r="AH53" s="15" t="s">
        <v>856</v>
      </c>
      <c r="AI53" s="890" t="s">
        <v>1351</v>
      </c>
      <c r="AJ53" s="890" t="s">
        <v>1352</v>
      </c>
    </row>
    <row r="54" s="1" customFormat="1" ht="24" customHeight="1" spans="1:36">
      <c r="A54" s="15" t="s">
        <v>65</v>
      </c>
      <c r="B54" s="14" t="s">
        <v>1353</v>
      </c>
      <c r="C54" s="14" t="s">
        <v>1353</v>
      </c>
      <c r="D54" s="14" t="s">
        <v>65</v>
      </c>
      <c r="E54" s="14" t="s">
        <v>1354</v>
      </c>
      <c r="F54" s="14" t="s">
        <v>1355</v>
      </c>
      <c r="G54" s="14" t="s">
        <v>971</v>
      </c>
      <c r="H54" s="14" t="s">
        <v>1356</v>
      </c>
      <c r="I54" s="14" t="s">
        <v>1357</v>
      </c>
      <c r="J54" s="15" t="s">
        <v>974</v>
      </c>
      <c r="K54" s="14" t="s">
        <v>850</v>
      </c>
      <c r="L54" s="14" t="s">
        <v>851</v>
      </c>
      <c r="M54" s="879">
        <v>6440</v>
      </c>
      <c r="N54" s="880" t="s">
        <v>852</v>
      </c>
      <c r="O54" s="881" t="s">
        <v>1358</v>
      </c>
      <c r="P54" s="879">
        <v>1712</v>
      </c>
      <c r="Q54" s="879">
        <v>178048</v>
      </c>
      <c r="R54" s="884">
        <v>104</v>
      </c>
      <c r="S54" s="885">
        <v>0.6555</v>
      </c>
      <c r="T54" s="884">
        <v>20.23</v>
      </c>
      <c r="U54" s="886">
        <v>4.5</v>
      </c>
      <c r="V54" s="879">
        <v>7450</v>
      </c>
      <c r="W54" s="887">
        <v>0.0567</v>
      </c>
      <c r="X54" s="879">
        <v>97</v>
      </c>
      <c r="Y54" s="888"/>
      <c r="Z54" s="15" t="s">
        <v>947</v>
      </c>
      <c r="AA54" s="15" t="s">
        <v>1359</v>
      </c>
      <c r="AB54" s="889">
        <v>1027</v>
      </c>
      <c r="AC54" s="889">
        <v>1</v>
      </c>
      <c r="AD54" s="889">
        <v>2</v>
      </c>
      <c r="AE54" s="14" t="s">
        <v>867</v>
      </c>
      <c r="AF54" s="15" t="s">
        <v>65</v>
      </c>
      <c r="AG54" s="14" t="s">
        <v>65</v>
      </c>
      <c r="AH54" s="15" t="s">
        <v>856</v>
      </c>
      <c r="AI54" s="890" t="s">
        <v>1360</v>
      </c>
      <c r="AJ54" s="890" t="s">
        <v>1361</v>
      </c>
    </row>
    <row r="55" s="1" customFormat="1" ht="24" customHeight="1" spans="1:36">
      <c r="A55" s="15" t="s">
        <v>65</v>
      </c>
      <c r="B55" s="14" t="s">
        <v>206</v>
      </c>
      <c r="C55" s="14" t="s">
        <v>206</v>
      </c>
      <c r="D55" s="14" t="s">
        <v>65</v>
      </c>
      <c r="E55" s="14" t="s">
        <v>1362</v>
      </c>
      <c r="F55" s="14" t="s">
        <v>1363</v>
      </c>
      <c r="G55" s="14" t="s">
        <v>1364</v>
      </c>
      <c r="H55" s="14" t="s">
        <v>1365</v>
      </c>
      <c r="I55" s="14" t="s">
        <v>1366</v>
      </c>
      <c r="J55" s="15" t="s">
        <v>934</v>
      </c>
      <c r="K55" s="14" t="s">
        <v>850</v>
      </c>
      <c r="L55" s="14" t="s">
        <v>851</v>
      </c>
      <c r="M55" s="879">
        <v>6473</v>
      </c>
      <c r="N55" s="880" t="s">
        <v>852</v>
      </c>
      <c r="O55" s="881" t="s">
        <v>1367</v>
      </c>
      <c r="P55" s="879">
        <v>1757</v>
      </c>
      <c r="Q55" s="879">
        <v>208081.52</v>
      </c>
      <c r="R55" s="884">
        <v>118.43</v>
      </c>
      <c r="S55" s="885">
        <v>0.665</v>
      </c>
      <c r="T55" s="884">
        <v>21.91</v>
      </c>
      <c r="U55" s="886">
        <v>4.8</v>
      </c>
      <c r="V55" s="879">
        <v>3064</v>
      </c>
      <c r="W55" s="887">
        <v>0.0711</v>
      </c>
      <c r="X55" s="879">
        <v>125</v>
      </c>
      <c r="Y55" s="888"/>
      <c r="Z55" s="15" t="s">
        <v>947</v>
      </c>
      <c r="AA55" s="15" t="s">
        <v>1368</v>
      </c>
      <c r="AB55" s="889">
        <v>545</v>
      </c>
      <c r="AC55" s="889">
        <v>1</v>
      </c>
      <c r="AD55" s="889">
        <v>1</v>
      </c>
      <c r="AE55" s="14" t="s">
        <v>867</v>
      </c>
      <c r="AF55" s="15" t="s">
        <v>65</v>
      </c>
      <c r="AG55" s="14" t="s">
        <v>65</v>
      </c>
      <c r="AH55" s="15" t="s">
        <v>856</v>
      </c>
      <c r="AI55" s="890" t="s">
        <v>868</v>
      </c>
      <c r="AJ55" s="890" t="s">
        <v>1369</v>
      </c>
    </row>
    <row r="56" s="1" customFormat="1" ht="24" customHeight="1" spans="1:36">
      <c r="A56" s="15" t="s">
        <v>65</v>
      </c>
      <c r="B56" s="14" t="s">
        <v>1370</v>
      </c>
      <c r="C56" s="14" t="s">
        <v>1370</v>
      </c>
      <c r="D56" s="14" t="s">
        <v>65</v>
      </c>
      <c r="E56" s="14" t="s">
        <v>1371</v>
      </c>
      <c r="F56" s="14" t="s">
        <v>1372</v>
      </c>
      <c r="G56" s="14" t="s">
        <v>846</v>
      </c>
      <c r="H56" s="14" t="s">
        <v>1373</v>
      </c>
      <c r="I56" s="14" t="s">
        <v>1374</v>
      </c>
      <c r="J56" s="15" t="s">
        <v>934</v>
      </c>
      <c r="K56" s="14" t="s">
        <v>850</v>
      </c>
      <c r="L56" s="14" t="s">
        <v>851</v>
      </c>
      <c r="M56" s="879">
        <v>6834</v>
      </c>
      <c r="N56" s="880" t="s">
        <v>852</v>
      </c>
      <c r="O56" s="881" t="s">
        <v>1266</v>
      </c>
      <c r="P56" s="879">
        <v>702</v>
      </c>
      <c r="Q56" s="879">
        <v>161452.98</v>
      </c>
      <c r="R56" s="884">
        <v>229.99</v>
      </c>
      <c r="S56" s="885">
        <v>0.7529</v>
      </c>
      <c r="T56" s="884">
        <v>22.33</v>
      </c>
      <c r="U56" s="886">
        <v>4.6</v>
      </c>
      <c r="V56" s="879">
        <v>469</v>
      </c>
      <c r="W56" s="887">
        <v>0.0969</v>
      </c>
      <c r="X56" s="879">
        <v>68</v>
      </c>
      <c r="Y56" s="888"/>
      <c r="Z56" s="15" t="s">
        <v>876</v>
      </c>
      <c r="AA56" s="15" t="s">
        <v>1375</v>
      </c>
      <c r="AB56" s="889">
        <v>597</v>
      </c>
      <c r="AC56" s="889">
        <v>1</v>
      </c>
      <c r="AD56" s="889">
        <v>6</v>
      </c>
      <c r="AE56" s="14" t="s">
        <v>867</v>
      </c>
      <c r="AF56" s="15" t="s">
        <v>65</v>
      </c>
      <c r="AG56" s="14" t="s">
        <v>65</v>
      </c>
      <c r="AH56" s="15" t="s">
        <v>856</v>
      </c>
      <c r="AI56" s="890" t="s">
        <v>1376</v>
      </c>
      <c r="AJ56" s="890" t="s">
        <v>1377</v>
      </c>
    </row>
    <row r="57" s="1" customFormat="1" ht="24" customHeight="1" spans="1:36">
      <c r="A57" s="15" t="s">
        <v>65</v>
      </c>
      <c r="B57" s="14" t="s">
        <v>1378</v>
      </c>
      <c r="C57" s="14" t="s">
        <v>1378</v>
      </c>
      <c r="D57" s="14" t="s">
        <v>65</v>
      </c>
      <c r="E57" s="14" t="s">
        <v>1379</v>
      </c>
      <c r="F57" s="14" t="s">
        <v>1380</v>
      </c>
      <c r="G57" s="14" t="s">
        <v>1381</v>
      </c>
      <c r="H57" s="14" t="s">
        <v>1382</v>
      </c>
      <c r="I57" s="14" t="s">
        <v>1383</v>
      </c>
      <c r="J57" s="15" t="s">
        <v>1384</v>
      </c>
      <c r="K57" s="14" t="s">
        <v>850</v>
      </c>
      <c r="L57" s="14" t="s">
        <v>851</v>
      </c>
      <c r="M57" s="879">
        <v>6740</v>
      </c>
      <c r="N57" s="880" t="s">
        <v>1201</v>
      </c>
      <c r="O57" s="881" t="s">
        <v>1385</v>
      </c>
      <c r="P57" s="879">
        <v>636</v>
      </c>
      <c r="Q57" s="879">
        <v>8897.64</v>
      </c>
      <c r="R57" s="884">
        <v>10.99</v>
      </c>
      <c r="S57" s="885">
        <v>0.4641</v>
      </c>
      <c r="T57" s="884">
        <v>5.4</v>
      </c>
      <c r="U57" s="886">
        <v>4.4</v>
      </c>
      <c r="V57" s="879">
        <v>286</v>
      </c>
      <c r="W57" s="887">
        <v>0.1745</v>
      </c>
      <c r="X57" s="879">
        <v>111</v>
      </c>
      <c r="Y57" s="888"/>
      <c r="Z57" s="15" t="s">
        <v>876</v>
      </c>
      <c r="AA57" s="15" t="s">
        <v>1386</v>
      </c>
      <c r="AB57" s="889">
        <v>195</v>
      </c>
      <c r="AC57" s="889">
        <v>1</v>
      </c>
      <c r="AD57" s="889">
        <v>1</v>
      </c>
      <c r="AE57" s="14" t="s">
        <v>1381</v>
      </c>
      <c r="AF57" s="15" t="s">
        <v>65</v>
      </c>
      <c r="AG57" s="14" t="s">
        <v>1387</v>
      </c>
      <c r="AH57" s="15" t="s">
        <v>856</v>
      </c>
      <c r="AI57" s="890" t="s">
        <v>1388</v>
      </c>
      <c r="AJ57" s="890" t="s">
        <v>1389</v>
      </c>
    </row>
    <row r="58" s="1" customFormat="1" ht="24" customHeight="1" spans="1:36">
      <c r="A58" s="15" t="s">
        <v>65</v>
      </c>
      <c r="B58" s="14" t="s">
        <v>1390</v>
      </c>
      <c r="C58" s="14" t="s">
        <v>1391</v>
      </c>
      <c r="D58" s="14" t="s">
        <v>1392</v>
      </c>
      <c r="E58" s="14" t="s">
        <v>1393</v>
      </c>
      <c r="F58" s="14" t="s">
        <v>1394</v>
      </c>
      <c r="G58" s="14" t="s">
        <v>1395</v>
      </c>
      <c r="H58" s="14" t="s">
        <v>1396</v>
      </c>
      <c r="I58" s="14" t="s">
        <v>1397</v>
      </c>
      <c r="J58" s="15" t="s">
        <v>934</v>
      </c>
      <c r="K58" s="14" t="s">
        <v>850</v>
      </c>
      <c r="L58" s="14" t="s">
        <v>851</v>
      </c>
      <c r="M58" s="879">
        <v>3421</v>
      </c>
      <c r="N58" s="880" t="s">
        <v>852</v>
      </c>
      <c r="O58" s="881" t="s">
        <v>1398</v>
      </c>
      <c r="P58" s="879">
        <v>1109</v>
      </c>
      <c r="Q58" s="879">
        <v>70920.555</v>
      </c>
      <c r="R58" s="884">
        <v>79.95</v>
      </c>
      <c r="S58" s="885">
        <v>0.5928</v>
      </c>
      <c r="T58" s="884">
        <v>16.45</v>
      </c>
      <c r="U58" s="886">
        <v>4.7</v>
      </c>
      <c r="V58" s="879">
        <v>1535</v>
      </c>
      <c r="W58" s="887">
        <v>0.0541</v>
      </c>
      <c r="X58" s="879">
        <v>60</v>
      </c>
      <c r="Y58" s="888"/>
      <c r="Z58" s="15" t="s">
        <v>876</v>
      </c>
      <c r="AA58" s="15" t="s">
        <v>1399</v>
      </c>
      <c r="AB58" s="889">
        <v>630</v>
      </c>
      <c r="AC58" s="889">
        <v>4</v>
      </c>
      <c r="AD58" s="889">
        <v>2</v>
      </c>
      <c r="AE58" s="14" t="s">
        <v>1400</v>
      </c>
      <c r="AF58" s="15" t="s">
        <v>1401</v>
      </c>
      <c r="AG58" s="14" t="s">
        <v>1402</v>
      </c>
      <c r="AH58" s="15" t="s">
        <v>997</v>
      </c>
      <c r="AI58" s="890" t="s">
        <v>1403</v>
      </c>
      <c r="AJ58" s="890" t="s">
        <v>1404</v>
      </c>
    </row>
    <row r="59" s="1" customFormat="1" ht="24" customHeight="1" spans="1:36">
      <c r="A59" s="15" t="s">
        <v>65</v>
      </c>
      <c r="B59" s="14" t="s">
        <v>1405</v>
      </c>
      <c r="C59" s="14" t="s">
        <v>1405</v>
      </c>
      <c r="D59" s="14" t="s">
        <v>65</v>
      </c>
      <c r="E59" s="14" t="s">
        <v>1406</v>
      </c>
      <c r="F59" s="14" t="s">
        <v>1407</v>
      </c>
      <c r="G59" s="14" t="s">
        <v>1408</v>
      </c>
      <c r="H59" s="14" t="s">
        <v>1409</v>
      </c>
      <c r="I59" s="14" t="s">
        <v>1410</v>
      </c>
      <c r="J59" s="15" t="s">
        <v>934</v>
      </c>
      <c r="K59" s="14" t="s">
        <v>850</v>
      </c>
      <c r="L59" s="14" t="s">
        <v>851</v>
      </c>
      <c r="M59" s="879">
        <v>9111</v>
      </c>
      <c r="N59" s="880" t="s">
        <v>852</v>
      </c>
      <c r="O59" s="881" t="s">
        <v>1411</v>
      </c>
      <c r="P59" s="879">
        <v>1487</v>
      </c>
      <c r="Q59" s="879">
        <v>178425.12</v>
      </c>
      <c r="R59" s="884">
        <v>119.99</v>
      </c>
      <c r="S59" s="885">
        <v>0.6919</v>
      </c>
      <c r="T59" s="884">
        <v>18.97</v>
      </c>
      <c r="U59" s="886">
        <v>4.6</v>
      </c>
      <c r="V59" s="879">
        <v>5423</v>
      </c>
      <c r="W59" s="887">
        <v>0.0585</v>
      </c>
      <c r="X59" s="879">
        <v>87</v>
      </c>
      <c r="Y59" s="888"/>
      <c r="Z59" s="15" t="s">
        <v>947</v>
      </c>
      <c r="AA59" s="15" t="s">
        <v>1412</v>
      </c>
      <c r="AB59" s="889">
        <v>958</v>
      </c>
      <c r="AC59" s="889">
        <v>1</v>
      </c>
      <c r="AD59" s="889">
        <v>2</v>
      </c>
      <c r="AE59" s="14" t="s">
        <v>867</v>
      </c>
      <c r="AF59" s="15" t="s">
        <v>65</v>
      </c>
      <c r="AG59" s="14" t="s">
        <v>65</v>
      </c>
      <c r="AH59" s="15" t="s">
        <v>856</v>
      </c>
      <c r="AI59" s="890" t="s">
        <v>1413</v>
      </c>
      <c r="AJ59" s="890" t="s">
        <v>1414</v>
      </c>
    </row>
    <row r="60" s="1" customFormat="1" ht="24" customHeight="1" spans="1:36">
      <c r="A60" s="15" t="s">
        <v>65</v>
      </c>
      <c r="B60" s="14" t="s">
        <v>1415</v>
      </c>
      <c r="C60" s="14" t="s">
        <v>1415</v>
      </c>
      <c r="D60" s="14" t="s">
        <v>65</v>
      </c>
      <c r="E60" s="14" t="s">
        <v>1416</v>
      </c>
      <c r="F60" s="14" t="s">
        <v>1417</v>
      </c>
      <c r="G60" s="14" t="s">
        <v>1418</v>
      </c>
      <c r="H60" s="14" t="s">
        <v>1419</v>
      </c>
      <c r="I60" s="14" t="s">
        <v>1420</v>
      </c>
      <c r="J60" s="15" t="s">
        <v>974</v>
      </c>
      <c r="K60" s="14" t="s">
        <v>850</v>
      </c>
      <c r="L60" s="14" t="s">
        <v>851</v>
      </c>
      <c r="M60" s="879">
        <v>8292</v>
      </c>
      <c r="N60" s="880" t="s">
        <v>852</v>
      </c>
      <c r="O60" s="881" t="s">
        <v>1421</v>
      </c>
      <c r="P60" s="879">
        <v>452</v>
      </c>
      <c r="Q60" s="879">
        <v>24335.68</v>
      </c>
      <c r="R60" s="884">
        <v>73.72</v>
      </c>
      <c r="S60" s="885">
        <v>0.4977</v>
      </c>
      <c r="T60" s="884">
        <v>18.97</v>
      </c>
      <c r="U60" s="886">
        <v>4.6</v>
      </c>
      <c r="V60" s="879">
        <v>3489</v>
      </c>
      <c r="W60" s="887">
        <v>0.0796</v>
      </c>
      <c r="X60" s="879">
        <v>36</v>
      </c>
      <c r="Y60" s="888"/>
      <c r="Z60" s="15" t="s">
        <v>876</v>
      </c>
      <c r="AA60" s="15" t="s">
        <v>1422</v>
      </c>
      <c r="AB60" s="889">
        <v>1344</v>
      </c>
      <c r="AC60" s="889">
        <v>1</v>
      </c>
      <c r="AD60" s="889">
        <v>1</v>
      </c>
      <c r="AE60" s="14" t="s">
        <v>1423</v>
      </c>
      <c r="AF60" s="15" t="s">
        <v>65</v>
      </c>
      <c r="AG60" s="14" t="s">
        <v>1424</v>
      </c>
      <c r="AH60" s="15" t="s">
        <v>856</v>
      </c>
      <c r="AI60" s="890" t="s">
        <v>1425</v>
      </c>
      <c r="AJ60" s="890" t="s">
        <v>1426</v>
      </c>
    </row>
    <row r="61" s="1" customFormat="1" ht="24" customHeight="1" spans="1:36">
      <c r="A61" s="15" t="s">
        <v>65</v>
      </c>
      <c r="B61" s="14" t="s">
        <v>1427</v>
      </c>
      <c r="C61" s="14" t="s">
        <v>1427</v>
      </c>
      <c r="D61" s="14" t="s">
        <v>65</v>
      </c>
      <c r="E61" s="14" t="s">
        <v>1428</v>
      </c>
      <c r="F61" s="14" t="s">
        <v>1429</v>
      </c>
      <c r="G61" s="14" t="s">
        <v>1430</v>
      </c>
      <c r="H61" s="14" t="s">
        <v>1431</v>
      </c>
      <c r="I61" s="14" t="s">
        <v>1432</v>
      </c>
      <c r="J61" s="15" t="s">
        <v>934</v>
      </c>
      <c r="K61" s="14" t="s">
        <v>850</v>
      </c>
      <c r="L61" s="14" t="s">
        <v>851</v>
      </c>
      <c r="M61" s="879">
        <v>9571</v>
      </c>
      <c r="N61" s="880" t="s">
        <v>852</v>
      </c>
      <c r="O61" s="881" t="s">
        <v>1433</v>
      </c>
      <c r="P61" s="879">
        <v>872</v>
      </c>
      <c r="Q61" s="879">
        <v>113351.28</v>
      </c>
      <c r="R61" s="884">
        <v>169.99</v>
      </c>
      <c r="S61" s="885">
        <v>0.6621</v>
      </c>
      <c r="T61" s="884">
        <v>24.43</v>
      </c>
      <c r="U61" s="886">
        <v>4.8</v>
      </c>
      <c r="V61" s="879">
        <v>203</v>
      </c>
      <c r="W61" s="887">
        <v>0.1399</v>
      </c>
      <c r="X61" s="879">
        <v>122</v>
      </c>
      <c r="Y61" s="888"/>
      <c r="Z61" s="15" t="s">
        <v>876</v>
      </c>
      <c r="AA61" s="15" t="s">
        <v>1434</v>
      </c>
      <c r="AB61" s="889">
        <v>184</v>
      </c>
      <c r="AC61" s="889">
        <v>1</v>
      </c>
      <c r="AD61" s="889">
        <v>2</v>
      </c>
      <c r="AE61" s="14" t="s">
        <v>65</v>
      </c>
      <c r="AF61" s="15" t="s">
        <v>65</v>
      </c>
      <c r="AG61" s="14" t="s">
        <v>65</v>
      </c>
      <c r="AH61" s="15" t="s">
        <v>856</v>
      </c>
      <c r="AI61" s="890" t="s">
        <v>1435</v>
      </c>
      <c r="AJ61" s="890" t="s">
        <v>1436</v>
      </c>
    </row>
    <row r="62" s="1" customFormat="1" ht="24" customHeight="1" spans="1:36">
      <c r="A62" s="15" t="s">
        <v>65</v>
      </c>
      <c r="B62" s="14" t="s">
        <v>1437</v>
      </c>
      <c r="C62" s="14" t="s">
        <v>1437</v>
      </c>
      <c r="D62" s="14" t="s">
        <v>65</v>
      </c>
      <c r="E62" s="14" t="s">
        <v>1438</v>
      </c>
      <c r="F62" s="14" t="s">
        <v>1439</v>
      </c>
      <c r="G62" s="14" t="s">
        <v>931</v>
      </c>
      <c r="H62" s="14" t="s">
        <v>1440</v>
      </c>
      <c r="I62" s="14" t="s">
        <v>1441</v>
      </c>
      <c r="J62" s="15" t="s">
        <v>934</v>
      </c>
      <c r="K62" s="14" t="s">
        <v>850</v>
      </c>
      <c r="L62" s="14" t="s">
        <v>851</v>
      </c>
      <c r="M62" s="879">
        <v>9177</v>
      </c>
      <c r="N62" s="880" t="s">
        <v>852</v>
      </c>
      <c r="O62" s="881" t="s">
        <v>1433</v>
      </c>
      <c r="P62" s="879">
        <v>1006</v>
      </c>
      <c r="Q62" s="879">
        <v>48257.82</v>
      </c>
      <c r="R62" s="884">
        <v>47.97</v>
      </c>
      <c r="S62" s="885">
        <v>0.5711</v>
      </c>
      <c r="T62" s="884">
        <v>13.93</v>
      </c>
      <c r="U62" s="886">
        <v>4.5</v>
      </c>
      <c r="V62" s="879">
        <v>16382</v>
      </c>
      <c r="W62" s="887">
        <v>0.0736</v>
      </c>
      <c r="X62" s="879">
        <v>74</v>
      </c>
      <c r="Y62" s="888"/>
      <c r="Z62" s="15" t="s">
        <v>947</v>
      </c>
      <c r="AA62" s="15" t="s">
        <v>1442</v>
      </c>
      <c r="AB62" s="889">
        <v>2032</v>
      </c>
      <c r="AC62" s="889">
        <v>1</v>
      </c>
      <c r="AD62" s="889">
        <v>18</v>
      </c>
      <c r="AE62" s="14" t="s">
        <v>1443</v>
      </c>
      <c r="AF62" s="15" t="s">
        <v>1110</v>
      </c>
      <c r="AG62" s="14" t="s">
        <v>1444</v>
      </c>
      <c r="AH62" s="15" t="s">
        <v>856</v>
      </c>
      <c r="AI62" s="890" t="s">
        <v>1445</v>
      </c>
      <c r="AJ62" s="890" t="s">
        <v>1446</v>
      </c>
    </row>
    <row r="63" s="1" customFormat="1" ht="24" customHeight="1" spans="1:36">
      <c r="A63" s="15" t="s">
        <v>65</v>
      </c>
      <c r="B63" s="14" t="s">
        <v>352</v>
      </c>
      <c r="C63" s="14" t="s">
        <v>352</v>
      </c>
      <c r="D63" s="14" t="s">
        <v>65</v>
      </c>
      <c r="E63" s="14" t="s">
        <v>1447</v>
      </c>
      <c r="F63" s="14" t="s">
        <v>1448</v>
      </c>
      <c r="G63" s="14" t="s">
        <v>1152</v>
      </c>
      <c r="H63" s="14" t="s">
        <v>1449</v>
      </c>
      <c r="I63" s="14" t="s">
        <v>1450</v>
      </c>
      <c r="J63" s="15" t="s">
        <v>934</v>
      </c>
      <c r="K63" s="14" t="s">
        <v>850</v>
      </c>
      <c r="L63" s="14" t="s">
        <v>851</v>
      </c>
      <c r="M63" s="879">
        <v>8771</v>
      </c>
      <c r="N63" s="880" t="s">
        <v>852</v>
      </c>
      <c r="O63" s="881" t="s">
        <v>1411</v>
      </c>
      <c r="P63" s="879">
        <v>1104</v>
      </c>
      <c r="Q63" s="879">
        <v>88308.96</v>
      </c>
      <c r="R63" s="884">
        <v>79.99</v>
      </c>
      <c r="S63" s="885">
        <v>0.6129</v>
      </c>
      <c r="T63" s="884">
        <v>18.97</v>
      </c>
      <c r="U63" s="886">
        <v>4.7</v>
      </c>
      <c r="V63" s="879">
        <v>12125</v>
      </c>
      <c r="W63" s="887">
        <v>0.173</v>
      </c>
      <c r="X63" s="879">
        <v>191</v>
      </c>
      <c r="Y63" s="888"/>
      <c r="Z63" s="15" t="s">
        <v>876</v>
      </c>
      <c r="AA63" s="15" t="s">
        <v>1451</v>
      </c>
      <c r="AB63" s="889">
        <v>1308</v>
      </c>
      <c r="AC63" s="889">
        <v>1</v>
      </c>
      <c r="AD63" s="889">
        <v>1</v>
      </c>
      <c r="AE63" s="14" t="s">
        <v>1452</v>
      </c>
      <c r="AF63" s="15" t="s">
        <v>1288</v>
      </c>
      <c r="AG63" s="14" t="s">
        <v>1453</v>
      </c>
      <c r="AH63" s="15" t="s">
        <v>856</v>
      </c>
      <c r="AI63" s="890" t="s">
        <v>1454</v>
      </c>
      <c r="AJ63" s="890" t="s">
        <v>1455</v>
      </c>
    </row>
    <row r="64" s="1" customFormat="1" ht="24" customHeight="1" spans="1:36">
      <c r="A64" s="15" t="s">
        <v>65</v>
      </c>
      <c r="B64" s="14" t="s">
        <v>1456</v>
      </c>
      <c r="C64" s="14" t="s">
        <v>1456</v>
      </c>
      <c r="D64" s="14" t="s">
        <v>65</v>
      </c>
      <c r="E64" s="14" t="s">
        <v>1457</v>
      </c>
      <c r="F64" s="14" t="s">
        <v>1458</v>
      </c>
      <c r="G64" s="14" t="s">
        <v>1459</v>
      </c>
      <c r="H64" s="14" t="s">
        <v>1460</v>
      </c>
      <c r="I64" s="14" t="s">
        <v>1461</v>
      </c>
      <c r="J64" s="15" t="s">
        <v>934</v>
      </c>
      <c r="K64" s="14" t="s">
        <v>850</v>
      </c>
      <c r="L64" s="14" t="s">
        <v>851</v>
      </c>
      <c r="M64" s="879">
        <v>9205</v>
      </c>
      <c r="N64" s="880" t="s">
        <v>852</v>
      </c>
      <c r="O64" s="881" t="s">
        <v>1462</v>
      </c>
      <c r="P64" s="879">
        <v>1095</v>
      </c>
      <c r="Q64" s="879">
        <v>14224.05</v>
      </c>
      <c r="R64" s="884">
        <v>12.99</v>
      </c>
      <c r="S64" s="885">
        <v>0.4343</v>
      </c>
      <c r="T64" s="884">
        <v>5.4</v>
      </c>
      <c r="U64" s="886">
        <v>4.7</v>
      </c>
      <c r="V64" s="879">
        <v>320</v>
      </c>
      <c r="W64" s="887">
        <v>0.0694</v>
      </c>
      <c r="X64" s="879">
        <v>76</v>
      </c>
      <c r="Y64" s="888"/>
      <c r="Z64" s="15" t="s">
        <v>876</v>
      </c>
      <c r="AA64" s="15" t="s">
        <v>1463</v>
      </c>
      <c r="AB64" s="889">
        <v>352</v>
      </c>
      <c r="AC64" s="889">
        <v>1</v>
      </c>
      <c r="AD64" s="889">
        <v>1</v>
      </c>
      <c r="AE64" s="14" t="s">
        <v>1464</v>
      </c>
      <c r="AF64" s="15" t="s">
        <v>1288</v>
      </c>
      <c r="AG64" s="14" t="s">
        <v>1465</v>
      </c>
      <c r="AH64" s="15" t="s">
        <v>856</v>
      </c>
      <c r="AI64" s="890" t="s">
        <v>1466</v>
      </c>
      <c r="AJ64" s="890" t="s">
        <v>1467</v>
      </c>
    </row>
    <row r="65" s="1" customFormat="1" ht="24" customHeight="1" spans="1:36">
      <c r="A65" s="15" t="s">
        <v>65</v>
      </c>
      <c r="B65" s="14" t="s">
        <v>163</v>
      </c>
      <c r="C65" s="14" t="s">
        <v>163</v>
      </c>
      <c r="D65" s="14" t="s">
        <v>65</v>
      </c>
      <c r="E65" s="14" t="s">
        <v>1468</v>
      </c>
      <c r="F65" s="14" t="s">
        <v>1469</v>
      </c>
      <c r="G65" s="14" t="s">
        <v>1069</v>
      </c>
      <c r="H65" s="14" t="s">
        <v>1470</v>
      </c>
      <c r="I65" s="14" t="s">
        <v>1471</v>
      </c>
      <c r="J65" s="15" t="s">
        <v>864</v>
      </c>
      <c r="K65" s="14" t="s">
        <v>850</v>
      </c>
      <c r="L65" s="14" t="s">
        <v>851</v>
      </c>
      <c r="M65" s="879">
        <v>13651</v>
      </c>
      <c r="N65" s="880" t="s">
        <v>852</v>
      </c>
      <c r="O65" s="881" t="s">
        <v>1472</v>
      </c>
      <c r="P65" s="879">
        <v>1121</v>
      </c>
      <c r="Q65" s="879">
        <v>40221.48</v>
      </c>
      <c r="R65" s="884">
        <v>35.88</v>
      </c>
      <c r="S65" s="885">
        <v>0.5086</v>
      </c>
      <c r="T65" s="884">
        <v>12.25</v>
      </c>
      <c r="U65" s="886">
        <v>4.1</v>
      </c>
      <c r="V65" s="879">
        <v>6569</v>
      </c>
      <c r="W65" s="887">
        <v>0.6191</v>
      </c>
      <c r="X65" s="879">
        <v>694</v>
      </c>
      <c r="Y65" s="888"/>
      <c r="Z65" s="15" t="s">
        <v>876</v>
      </c>
      <c r="AA65" s="15" t="s">
        <v>1473</v>
      </c>
      <c r="AB65" s="889">
        <v>1063</v>
      </c>
      <c r="AC65" s="889">
        <v>1</v>
      </c>
      <c r="AD65" s="889">
        <v>5</v>
      </c>
      <c r="AE65" s="14" t="s">
        <v>867</v>
      </c>
      <c r="AF65" s="15" t="s">
        <v>65</v>
      </c>
      <c r="AG65" s="14" t="s">
        <v>65</v>
      </c>
      <c r="AH65" s="15" t="s">
        <v>856</v>
      </c>
      <c r="AI65" s="890" t="s">
        <v>1474</v>
      </c>
      <c r="AJ65" s="890" t="s">
        <v>1475</v>
      </c>
    </row>
    <row r="66" s="1" customFormat="1" ht="24" customHeight="1" spans="1:36">
      <c r="A66" s="15" t="s">
        <v>65</v>
      </c>
      <c r="B66" s="14" t="s">
        <v>1476</v>
      </c>
      <c r="C66" s="14" t="s">
        <v>1476</v>
      </c>
      <c r="D66" s="14" t="s">
        <v>65</v>
      </c>
      <c r="E66" s="14" t="s">
        <v>1477</v>
      </c>
      <c r="F66" s="14" t="s">
        <v>1478</v>
      </c>
      <c r="G66" s="14" t="s">
        <v>1479</v>
      </c>
      <c r="H66" s="14" t="s">
        <v>1480</v>
      </c>
      <c r="I66" s="14" t="s">
        <v>1481</v>
      </c>
      <c r="J66" s="15" t="s">
        <v>1384</v>
      </c>
      <c r="K66" s="14" t="s">
        <v>850</v>
      </c>
      <c r="L66" s="14" t="s">
        <v>851</v>
      </c>
      <c r="M66" s="879">
        <v>13404</v>
      </c>
      <c r="N66" s="880" t="s">
        <v>852</v>
      </c>
      <c r="O66" s="881" t="s">
        <v>1482</v>
      </c>
      <c r="P66" s="879">
        <v>667</v>
      </c>
      <c r="Q66" s="879">
        <v>53353.33</v>
      </c>
      <c r="R66" s="884">
        <v>79.99</v>
      </c>
      <c r="S66" s="885">
        <v>0.6181</v>
      </c>
      <c r="T66" s="884">
        <v>18.55</v>
      </c>
      <c r="U66" s="886">
        <v>4.5</v>
      </c>
      <c r="V66" s="879">
        <v>268</v>
      </c>
      <c r="W66" s="887">
        <v>0.1139</v>
      </c>
      <c r="X66" s="879">
        <v>76</v>
      </c>
      <c r="Y66" s="888"/>
      <c r="Z66" s="15" t="s">
        <v>1267</v>
      </c>
      <c r="AA66" s="15" t="s">
        <v>1483</v>
      </c>
      <c r="AB66" s="889">
        <v>217</v>
      </c>
      <c r="AC66" s="889">
        <v>1</v>
      </c>
      <c r="AD66" s="889">
        <v>1</v>
      </c>
      <c r="AE66" s="14" t="s">
        <v>65</v>
      </c>
      <c r="AF66" s="15" t="s">
        <v>65</v>
      </c>
      <c r="AG66" s="14" t="s">
        <v>65</v>
      </c>
      <c r="AH66" s="15" t="s">
        <v>856</v>
      </c>
      <c r="AI66" s="890" t="s">
        <v>1484</v>
      </c>
      <c r="AJ66" s="890" t="s">
        <v>1485</v>
      </c>
    </row>
    <row r="67" s="1" customFormat="1" ht="24" customHeight="1" spans="1:36">
      <c r="A67" s="15" t="s">
        <v>65</v>
      </c>
      <c r="B67" s="14" t="s">
        <v>1486</v>
      </c>
      <c r="C67" s="14" t="s">
        <v>1486</v>
      </c>
      <c r="D67" s="14" t="s">
        <v>65</v>
      </c>
      <c r="E67" s="14" t="s">
        <v>1487</v>
      </c>
      <c r="F67" s="14" t="s">
        <v>1488</v>
      </c>
      <c r="G67" s="14" t="s">
        <v>1479</v>
      </c>
      <c r="H67" s="14" t="s">
        <v>1489</v>
      </c>
      <c r="I67" s="14" t="s">
        <v>1490</v>
      </c>
      <c r="J67" s="15" t="s">
        <v>934</v>
      </c>
      <c r="K67" s="14" t="s">
        <v>850</v>
      </c>
      <c r="L67" s="14" t="s">
        <v>851</v>
      </c>
      <c r="M67" s="879">
        <v>13357</v>
      </c>
      <c r="N67" s="880" t="s">
        <v>852</v>
      </c>
      <c r="O67" s="881" t="s">
        <v>1491</v>
      </c>
      <c r="P67" s="879">
        <v>882</v>
      </c>
      <c r="Q67" s="879">
        <v>88191.18</v>
      </c>
      <c r="R67" s="884">
        <v>84.99</v>
      </c>
      <c r="S67" s="885">
        <v>0.6351</v>
      </c>
      <c r="T67" s="884">
        <v>21.49</v>
      </c>
      <c r="U67" s="886">
        <v>4.2</v>
      </c>
      <c r="V67" s="879">
        <v>289</v>
      </c>
      <c r="W67" s="887">
        <v>0.0658</v>
      </c>
      <c r="X67" s="879">
        <v>58</v>
      </c>
      <c r="Y67" s="888"/>
      <c r="Z67" s="15" t="s">
        <v>1267</v>
      </c>
      <c r="AA67" s="15" t="s">
        <v>1492</v>
      </c>
      <c r="AB67" s="889">
        <v>336</v>
      </c>
      <c r="AC67" s="889">
        <v>1</v>
      </c>
      <c r="AD67" s="889">
        <v>1</v>
      </c>
      <c r="AE67" s="14" t="s">
        <v>1493</v>
      </c>
      <c r="AF67" s="15" t="s">
        <v>1288</v>
      </c>
      <c r="AG67" s="14" t="s">
        <v>1494</v>
      </c>
      <c r="AH67" s="15" t="s">
        <v>856</v>
      </c>
      <c r="AI67" s="890" t="s">
        <v>1495</v>
      </c>
      <c r="AJ67" s="890" t="s">
        <v>1496</v>
      </c>
    </row>
    <row r="68" s="1" customFormat="1" ht="24" customHeight="1" spans="1:36">
      <c r="A68" s="15" t="s">
        <v>65</v>
      </c>
      <c r="B68" s="14" t="s">
        <v>1497</v>
      </c>
      <c r="C68" s="14" t="s">
        <v>1497</v>
      </c>
      <c r="D68" s="14" t="s">
        <v>65</v>
      </c>
      <c r="E68" s="14" t="s">
        <v>1498</v>
      </c>
      <c r="F68" s="14" t="s">
        <v>1499</v>
      </c>
      <c r="G68" s="14" t="s">
        <v>1408</v>
      </c>
      <c r="H68" s="14" t="s">
        <v>1500</v>
      </c>
      <c r="I68" s="14" t="s">
        <v>1501</v>
      </c>
      <c r="J68" s="15" t="s">
        <v>65</v>
      </c>
      <c r="K68" s="14" t="s">
        <v>850</v>
      </c>
      <c r="L68" s="14" t="s">
        <v>851</v>
      </c>
      <c r="M68" s="879">
        <v>9527</v>
      </c>
      <c r="N68" s="880" t="s">
        <v>1029</v>
      </c>
      <c r="O68" s="881" t="s">
        <v>1502</v>
      </c>
      <c r="P68" s="879">
        <v>398</v>
      </c>
      <c r="Q68" s="879">
        <v>33833.98</v>
      </c>
      <c r="R68" s="884">
        <v>85.01</v>
      </c>
      <c r="S68" s="885">
        <v>0.5478</v>
      </c>
      <c r="T68" s="884">
        <v>25.69</v>
      </c>
      <c r="U68" s="886">
        <v>4.6</v>
      </c>
      <c r="V68" s="879">
        <v>627</v>
      </c>
      <c r="W68" s="887">
        <v>0.0528</v>
      </c>
      <c r="X68" s="879">
        <v>21</v>
      </c>
      <c r="Y68" s="888"/>
      <c r="Z68" s="15" t="s">
        <v>1267</v>
      </c>
      <c r="AA68" s="15" t="s">
        <v>1503</v>
      </c>
      <c r="AB68" s="889">
        <v>766</v>
      </c>
      <c r="AC68" s="889">
        <v>1</v>
      </c>
      <c r="AD68" s="889">
        <v>4</v>
      </c>
      <c r="AE68" s="14" t="s">
        <v>1032</v>
      </c>
      <c r="AF68" s="15" t="s">
        <v>65</v>
      </c>
      <c r="AG68" s="14" t="s">
        <v>1033</v>
      </c>
      <c r="AH68" s="15" t="s">
        <v>856</v>
      </c>
      <c r="AI68" s="890" t="s">
        <v>1504</v>
      </c>
      <c r="AJ68" s="890" t="s">
        <v>1505</v>
      </c>
    </row>
    <row r="69" s="1" customFormat="1" ht="24" customHeight="1" spans="1:36">
      <c r="A69" s="15" t="s">
        <v>65</v>
      </c>
      <c r="B69" s="14" t="s">
        <v>1506</v>
      </c>
      <c r="C69" s="14" t="s">
        <v>1507</v>
      </c>
      <c r="D69" s="14" t="s">
        <v>1508</v>
      </c>
      <c r="E69" s="14" t="s">
        <v>1509</v>
      </c>
      <c r="F69" s="14" t="s">
        <v>1510</v>
      </c>
      <c r="G69" s="14" t="s">
        <v>1511</v>
      </c>
      <c r="H69" s="14" t="s">
        <v>1512</v>
      </c>
      <c r="I69" s="14" t="s">
        <v>1513</v>
      </c>
      <c r="J69" s="15" t="s">
        <v>934</v>
      </c>
      <c r="K69" s="14" t="s">
        <v>1326</v>
      </c>
      <c r="L69" s="14" t="s">
        <v>851</v>
      </c>
      <c r="M69" s="879">
        <v>9943</v>
      </c>
      <c r="N69" s="880" t="s">
        <v>1327</v>
      </c>
      <c r="O69" s="881" t="s">
        <v>1514</v>
      </c>
      <c r="P69" s="879">
        <v>817</v>
      </c>
      <c r="Q69" s="879">
        <v>81691.83</v>
      </c>
      <c r="R69" s="884">
        <v>99.99</v>
      </c>
      <c r="S69" s="885">
        <v>0.6358</v>
      </c>
      <c r="T69" s="884">
        <v>24.85</v>
      </c>
      <c r="U69" s="886">
        <v>4.2</v>
      </c>
      <c r="V69" s="879">
        <v>7786</v>
      </c>
      <c r="W69" s="887">
        <v>0.0771</v>
      </c>
      <c r="X69" s="879">
        <v>63</v>
      </c>
      <c r="Y69" s="888"/>
      <c r="Z69" s="15" t="s">
        <v>854</v>
      </c>
      <c r="AA69" s="15" t="s">
        <v>914</v>
      </c>
      <c r="AB69" s="889">
        <v>605</v>
      </c>
      <c r="AC69" s="889">
        <v>3</v>
      </c>
      <c r="AD69" s="889">
        <v>3</v>
      </c>
      <c r="AE69" s="14" t="s">
        <v>1515</v>
      </c>
      <c r="AF69" s="15" t="s">
        <v>65</v>
      </c>
      <c r="AG69" s="14" t="s">
        <v>65</v>
      </c>
      <c r="AH69" s="15" t="s">
        <v>1516</v>
      </c>
      <c r="AI69" s="890" t="s">
        <v>1517</v>
      </c>
      <c r="AJ69" s="890" t="s">
        <v>1518</v>
      </c>
    </row>
    <row r="70" s="1" customFormat="1" ht="24" customHeight="1" spans="1:36">
      <c r="A70" s="15" t="s">
        <v>65</v>
      </c>
      <c r="B70" s="14" t="s">
        <v>1519</v>
      </c>
      <c r="C70" s="14" t="s">
        <v>1519</v>
      </c>
      <c r="D70" s="14" t="s">
        <v>65</v>
      </c>
      <c r="E70" s="14" t="s">
        <v>1520</v>
      </c>
      <c r="F70" s="14" t="s">
        <v>1521</v>
      </c>
      <c r="G70" s="14" t="s">
        <v>971</v>
      </c>
      <c r="H70" s="14" t="s">
        <v>1522</v>
      </c>
      <c r="I70" s="14" t="s">
        <v>1523</v>
      </c>
      <c r="J70" s="15" t="s">
        <v>934</v>
      </c>
      <c r="K70" s="14" t="s">
        <v>850</v>
      </c>
      <c r="L70" s="14" t="s">
        <v>851</v>
      </c>
      <c r="M70" s="879">
        <v>12327</v>
      </c>
      <c r="N70" s="880" t="s">
        <v>852</v>
      </c>
      <c r="O70" s="881" t="s">
        <v>1524</v>
      </c>
      <c r="P70" s="879">
        <v>869</v>
      </c>
      <c r="Q70" s="879">
        <v>90376</v>
      </c>
      <c r="R70" s="884">
        <v>104</v>
      </c>
      <c r="S70" s="885">
        <v>0.5909</v>
      </c>
      <c r="T70" s="884">
        <v>26.95</v>
      </c>
      <c r="U70" s="886">
        <v>4.5</v>
      </c>
      <c r="V70" s="879">
        <v>3107</v>
      </c>
      <c r="W70" s="887">
        <v>0.0357</v>
      </c>
      <c r="X70" s="879">
        <v>31</v>
      </c>
      <c r="Y70" s="888"/>
      <c r="Z70" s="15" t="s">
        <v>876</v>
      </c>
      <c r="AA70" s="15" t="s">
        <v>1525</v>
      </c>
      <c r="AB70" s="889">
        <v>1285</v>
      </c>
      <c r="AC70" s="889">
        <v>1</v>
      </c>
      <c r="AD70" s="889">
        <v>8</v>
      </c>
      <c r="AE70" s="14" t="s">
        <v>1515</v>
      </c>
      <c r="AF70" s="15" t="s">
        <v>65</v>
      </c>
      <c r="AG70" s="14" t="s">
        <v>65</v>
      </c>
      <c r="AH70" s="15" t="s">
        <v>1516</v>
      </c>
      <c r="AI70" s="890" t="s">
        <v>1526</v>
      </c>
      <c r="AJ70" s="890" t="s">
        <v>1527</v>
      </c>
    </row>
    <row r="71" s="1" customFormat="1" ht="24" customHeight="1" spans="1:36">
      <c r="A71" s="15" t="s">
        <v>65</v>
      </c>
      <c r="B71" s="14" t="s">
        <v>1528</v>
      </c>
      <c r="C71" s="14" t="s">
        <v>1528</v>
      </c>
      <c r="D71" s="14" t="s">
        <v>65</v>
      </c>
      <c r="E71" s="14" t="s">
        <v>1529</v>
      </c>
      <c r="F71" s="14" t="s">
        <v>1530</v>
      </c>
      <c r="G71" s="14" t="s">
        <v>1531</v>
      </c>
      <c r="H71" s="14" t="s">
        <v>1532</v>
      </c>
      <c r="I71" s="14" t="s">
        <v>1533</v>
      </c>
      <c r="J71" s="15" t="s">
        <v>65</v>
      </c>
      <c r="K71" s="14" t="s">
        <v>1534</v>
      </c>
      <c r="L71" s="14" t="s">
        <v>851</v>
      </c>
      <c r="M71" s="879">
        <v>13187</v>
      </c>
      <c r="N71" s="880" t="s">
        <v>884</v>
      </c>
      <c r="O71" s="881" t="s">
        <v>1535</v>
      </c>
      <c r="P71" s="879">
        <v>515</v>
      </c>
      <c r="Q71" s="879">
        <v>7719.85</v>
      </c>
      <c r="R71" s="884">
        <v>14.99</v>
      </c>
      <c r="S71" s="885">
        <v>0.5332</v>
      </c>
      <c r="T71" s="884">
        <v>4.75</v>
      </c>
      <c r="U71" s="886">
        <v>4.7</v>
      </c>
      <c r="V71" s="879">
        <v>6</v>
      </c>
      <c r="W71" s="887">
        <v>0.0602</v>
      </c>
      <c r="X71" s="879">
        <v>31</v>
      </c>
      <c r="Y71" s="888"/>
      <c r="Z71" s="15" t="s">
        <v>65</v>
      </c>
      <c r="AA71" s="15" t="s">
        <v>1536</v>
      </c>
      <c r="AB71" s="889">
        <v>157</v>
      </c>
      <c r="AC71" s="889">
        <v>1</v>
      </c>
      <c r="AD71" s="889">
        <v>1</v>
      </c>
      <c r="AE71" s="14" t="s">
        <v>1531</v>
      </c>
      <c r="AF71" s="15" t="s">
        <v>1288</v>
      </c>
      <c r="AG71" s="14" t="s">
        <v>1537</v>
      </c>
      <c r="AH71" s="15" t="s">
        <v>856</v>
      </c>
      <c r="AI71" s="890" t="s">
        <v>1538</v>
      </c>
      <c r="AJ71" s="890" t="s">
        <v>1539</v>
      </c>
    </row>
    <row r="72" s="1" customFormat="1" ht="24" customHeight="1" spans="1:36">
      <c r="A72" s="15" t="s">
        <v>65</v>
      </c>
      <c r="B72" s="14" t="s">
        <v>130</v>
      </c>
      <c r="C72" s="14" t="s">
        <v>130</v>
      </c>
      <c r="D72" s="14" t="s">
        <v>65</v>
      </c>
      <c r="E72" s="14" t="s">
        <v>1540</v>
      </c>
      <c r="F72" s="14" t="s">
        <v>1541</v>
      </c>
      <c r="G72" s="14" t="s">
        <v>1173</v>
      </c>
      <c r="H72" s="14" t="s">
        <v>1542</v>
      </c>
      <c r="I72" s="14" t="s">
        <v>1543</v>
      </c>
      <c r="J72" s="15" t="s">
        <v>934</v>
      </c>
      <c r="K72" s="14" t="s">
        <v>850</v>
      </c>
      <c r="L72" s="14" t="s">
        <v>851</v>
      </c>
      <c r="M72" s="879">
        <v>11099</v>
      </c>
      <c r="N72" s="880" t="s">
        <v>852</v>
      </c>
      <c r="O72" s="881" t="s">
        <v>1544</v>
      </c>
      <c r="P72" s="879">
        <v>949</v>
      </c>
      <c r="Q72" s="879">
        <v>81272.36</v>
      </c>
      <c r="R72" s="884">
        <v>85.66</v>
      </c>
      <c r="S72" s="885">
        <v>0.5844</v>
      </c>
      <c r="T72" s="884">
        <v>22.75</v>
      </c>
      <c r="U72" s="886">
        <v>4.4</v>
      </c>
      <c r="V72" s="879">
        <v>10891</v>
      </c>
      <c r="W72" s="887">
        <v>0.1201</v>
      </c>
      <c r="X72" s="879">
        <v>114</v>
      </c>
      <c r="Y72" s="879">
        <v>73</v>
      </c>
      <c r="Z72" s="15" t="s">
        <v>876</v>
      </c>
      <c r="AA72" s="15" t="s">
        <v>1545</v>
      </c>
      <c r="AB72" s="889">
        <v>1629</v>
      </c>
      <c r="AC72" s="889">
        <v>1</v>
      </c>
      <c r="AD72" s="889">
        <v>1</v>
      </c>
      <c r="AE72" s="14" t="s">
        <v>867</v>
      </c>
      <c r="AF72" s="15" t="s">
        <v>65</v>
      </c>
      <c r="AG72" s="14" t="s">
        <v>65</v>
      </c>
      <c r="AH72" s="15" t="s">
        <v>856</v>
      </c>
      <c r="AI72" s="890" t="s">
        <v>1546</v>
      </c>
      <c r="AJ72" s="890" t="s">
        <v>1547</v>
      </c>
    </row>
    <row r="73" s="1" customFormat="1" ht="24" customHeight="1" spans="1:36">
      <c r="A73" s="15" t="s">
        <v>65</v>
      </c>
      <c r="B73" s="14" t="s">
        <v>1548</v>
      </c>
      <c r="C73" s="14" t="s">
        <v>1548</v>
      </c>
      <c r="D73" s="14" t="s">
        <v>65</v>
      </c>
      <c r="E73" s="14" t="s">
        <v>1549</v>
      </c>
      <c r="F73" s="14" t="s">
        <v>1550</v>
      </c>
      <c r="G73" s="14" t="s">
        <v>954</v>
      </c>
      <c r="H73" s="14" t="s">
        <v>1551</v>
      </c>
      <c r="I73" s="14" t="s">
        <v>1552</v>
      </c>
      <c r="J73" s="15" t="s">
        <v>934</v>
      </c>
      <c r="K73" s="14" t="s">
        <v>850</v>
      </c>
      <c r="L73" s="14" t="s">
        <v>851</v>
      </c>
      <c r="M73" s="879">
        <v>12047</v>
      </c>
      <c r="N73" s="880" t="s">
        <v>852</v>
      </c>
      <c r="O73" s="881" t="s">
        <v>1553</v>
      </c>
      <c r="P73" s="879">
        <v>891</v>
      </c>
      <c r="Q73" s="879">
        <v>80635.5</v>
      </c>
      <c r="R73" s="884">
        <v>90.5</v>
      </c>
      <c r="S73" s="885">
        <v>0.6543</v>
      </c>
      <c r="T73" s="884">
        <v>17.71</v>
      </c>
      <c r="U73" s="886">
        <v>4.6</v>
      </c>
      <c r="V73" s="879">
        <v>807</v>
      </c>
      <c r="W73" s="887">
        <v>0.0864</v>
      </c>
      <c r="X73" s="879">
        <v>77</v>
      </c>
      <c r="Y73" s="888"/>
      <c r="Z73" s="15" t="s">
        <v>854</v>
      </c>
      <c r="AA73" s="15" t="s">
        <v>1554</v>
      </c>
      <c r="AB73" s="889">
        <v>825</v>
      </c>
      <c r="AC73" s="889">
        <v>1</v>
      </c>
      <c r="AD73" s="889">
        <v>1</v>
      </c>
      <c r="AE73" s="14" t="s">
        <v>867</v>
      </c>
      <c r="AF73" s="15" t="s">
        <v>65</v>
      </c>
      <c r="AG73" s="14" t="s">
        <v>65</v>
      </c>
      <c r="AH73" s="15" t="s">
        <v>856</v>
      </c>
      <c r="AI73" s="890" t="s">
        <v>1555</v>
      </c>
      <c r="AJ73" s="890" t="s">
        <v>1556</v>
      </c>
    </row>
    <row r="74" s="1" customFormat="1" ht="24" customHeight="1" spans="1:36">
      <c r="A74" s="15" t="s">
        <v>65</v>
      </c>
      <c r="B74" s="14" t="s">
        <v>1557</v>
      </c>
      <c r="C74" s="14" t="s">
        <v>1557</v>
      </c>
      <c r="D74" s="14" t="s">
        <v>65</v>
      </c>
      <c r="E74" s="14" t="s">
        <v>1558</v>
      </c>
      <c r="F74" s="14" t="s">
        <v>1559</v>
      </c>
      <c r="G74" s="14" t="s">
        <v>954</v>
      </c>
      <c r="H74" s="14" t="s">
        <v>1560</v>
      </c>
      <c r="I74" s="14" t="s">
        <v>1561</v>
      </c>
      <c r="J74" s="15" t="s">
        <v>1003</v>
      </c>
      <c r="K74" s="14" t="s">
        <v>850</v>
      </c>
      <c r="L74" s="14" t="s">
        <v>851</v>
      </c>
      <c r="M74" s="879">
        <v>14264</v>
      </c>
      <c r="N74" s="880" t="s">
        <v>852</v>
      </c>
      <c r="O74" s="881" t="s">
        <v>1562</v>
      </c>
      <c r="P74" s="879">
        <v>531</v>
      </c>
      <c r="Q74" s="879">
        <v>43127.82</v>
      </c>
      <c r="R74" s="884">
        <v>81.22</v>
      </c>
      <c r="S74" s="885">
        <v>0.5958</v>
      </c>
      <c r="T74" s="884">
        <v>20.65</v>
      </c>
      <c r="U74" s="886">
        <v>4.2</v>
      </c>
      <c r="V74" s="879">
        <v>55</v>
      </c>
      <c r="W74" s="887">
        <v>0.0075</v>
      </c>
      <c r="X74" s="879">
        <v>4</v>
      </c>
      <c r="Y74" s="888"/>
      <c r="Z74" s="15" t="s">
        <v>876</v>
      </c>
      <c r="AA74" s="15" t="s">
        <v>1563</v>
      </c>
      <c r="AB74" s="889">
        <v>868</v>
      </c>
      <c r="AC74" s="889">
        <v>1</v>
      </c>
      <c r="AD74" s="889">
        <v>1</v>
      </c>
      <c r="AE74" s="14" t="s">
        <v>867</v>
      </c>
      <c r="AF74" s="15" t="s">
        <v>65</v>
      </c>
      <c r="AG74" s="14" t="s">
        <v>65</v>
      </c>
      <c r="AH74" s="15" t="s">
        <v>856</v>
      </c>
      <c r="AI74" s="890" t="s">
        <v>1112</v>
      </c>
      <c r="AJ74" s="890" t="s">
        <v>1564</v>
      </c>
    </row>
    <row r="75" s="1" customFormat="1" ht="24" customHeight="1" spans="1:36">
      <c r="A75" s="15" t="s">
        <v>65</v>
      </c>
      <c r="B75" s="14" t="s">
        <v>1565</v>
      </c>
      <c r="C75" s="14" t="s">
        <v>1565</v>
      </c>
      <c r="D75" s="14" t="s">
        <v>65</v>
      </c>
      <c r="E75" s="14" t="s">
        <v>1566</v>
      </c>
      <c r="F75" s="14" t="s">
        <v>1567</v>
      </c>
      <c r="G75" s="14" t="s">
        <v>971</v>
      </c>
      <c r="H75" s="14" t="s">
        <v>1568</v>
      </c>
      <c r="I75" s="14" t="s">
        <v>1569</v>
      </c>
      <c r="J75" s="15" t="s">
        <v>974</v>
      </c>
      <c r="K75" s="14" t="s">
        <v>850</v>
      </c>
      <c r="L75" s="14" t="s">
        <v>851</v>
      </c>
      <c r="M75" s="879">
        <v>10986</v>
      </c>
      <c r="N75" s="880" t="s">
        <v>852</v>
      </c>
      <c r="O75" s="881" t="s">
        <v>1472</v>
      </c>
      <c r="P75" s="879">
        <v>814</v>
      </c>
      <c r="Q75" s="879">
        <v>131452.86</v>
      </c>
      <c r="R75" s="884">
        <v>161.49</v>
      </c>
      <c r="S75" s="885">
        <v>0.7065</v>
      </c>
      <c r="T75" s="884">
        <v>23.17</v>
      </c>
      <c r="U75" s="886">
        <v>4.4</v>
      </c>
      <c r="V75" s="879">
        <v>15778</v>
      </c>
      <c r="W75" s="887">
        <v>0.0676</v>
      </c>
      <c r="X75" s="879">
        <v>55</v>
      </c>
      <c r="Y75" s="888"/>
      <c r="Z75" s="15" t="s">
        <v>876</v>
      </c>
      <c r="AA75" s="15" t="s">
        <v>1570</v>
      </c>
      <c r="AB75" s="889">
        <v>1046</v>
      </c>
      <c r="AC75" s="889">
        <v>1</v>
      </c>
      <c r="AD75" s="889">
        <v>1</v>
      </c>
      <c r="AE75" s="14" t="s">
        <v>867</v>
      </c>
      <c r="AF75" s="15" t="s">
        <v>65</v>
      </c>
      <c r="AG75" s="14" t="s">
        <v>65</v>
      </c>
      <c r="AH75" s="15" t="s">
        <v>856</v>
      </c>
      <c r="AI75" s="890" t="s">
        <v>1571</v>
      </c>
      <c r="AJ75" s="890" t="s">
        <v>1572</v>
      </c>
    </row>
    <row r="76" s="1" customFormat="1" ht="24" customHeight="1" spans="1:36">
      <c r="A76" s="15" t="s">
        <v>65</v>
      </c>
      <c r="B76" s="14" t="s">
        <v>1573</v>
      </c>
      <c r="C76" s="14" t="s">
        <v>1573</v>
      </c>
      <c r="D76" s="14" t="s">
        <v>65</v>
      </c>
      <c r="E76" s="14" t="s">
        <v>1574</v>
      </c>
      <c r="F76" s="14" t="s">
        <v>1575</v>
      </c>
      <c r="G76" s="14" t="s">
        <v>1059</v>
      </c>
      <c r="H76" s="14" t="s">
        <v>1576</v>
      </c>
      <c r="I76" s="14" t="s">
        <v>1577</v>
      </c>
      <c r="J76" s="15" t="s">
        <v>974</v>
      </c>
      <c r="K76" s="14" t="s">
        <v>850</v>
      </c>
      <c r="L76" s="14" t="s">
        <v>851</v>
      </c>
      <c r="M76" s="879">
        <v>10598</v>
      </c>
      <c r="N76" s="880" t="s">
        <v>852</v>
      </c>
      <c r="O76" s="881" t="s">
        <v>1578</v>
      </c>
      <c r="P76" s="879">
        <v>768</v>
      </c>
      <c r="Q76" s="879">
        <v>107512.33</v>
      </c>
      <c r="R76" s="884">
        <v>139.99</v>
      </c>
      <c r="S76" s="885">
        <v>0.6875</v>
      </c>
      <c r="T76" s="884">
        <v>22.75</v>
      </c>
      <c r="U76" s="886">
        <v>4.5</v>
      </c>
      <c r="V76" s="879">
        <v>3116</v>
      </c>
      <c r="W76" s="887">
        <v>0.1237</v>
      </c>
      <c r="X76" s="879">
        <v>95</v>
      </c>
      <c r="Y76" s="888"/>
      <c r="Z76" s="15" t="s">
        <v>854</v>
      </c>
      <c r="AA76" s="15" t="s">
        <v>1579</v>
      </c>
      <c r="AB76" s="889">
        <v>599</v>
      </c>
      <c r="AC76" s="889">
        <v>1</v>
      </c>
      <c r="AD76" s="889">
        <v>8</v>
      </c>
      <c r="AE76" s="14" t="s">
        <v>65</v>
      </c>
      <c r="AF76" s="15" t="s">
        <v>65</v>
      </c>
      <c r="AG76" s="14" t="s">
        <v>65</v>
      </c>
      <c r="AH76" s="15" t="s">
        <v>856</v>
      </c>
      <c r="AI76" s="890" t="s">
        <v>1580</v>
      </c>
      <c r="AJ76" s="890" t="s">
        <v>1581</v>
      </c>
    </row>
    <row r="77" s="1" customFormat="1" ht="24" customHeight="1" spans="1:36">
      <c r="A77" s="15" t="s">
        <v>65</v>
      </c>
      <c r="B77" s="14" t="s">
        <v>1582</v>
      </c>
      <c r="C77" s="14" t="s">
        <v>1582</v>
      </c>
      <c r="D77" s="14" t="s">
        <v>65</v>
      </c>
      <c r="E77" s="14" t="s">
        <v>1583</v>
      </c>
      <c r="F77" s="14" t="s">
        <v>1584</v>
      </c>
      <c r="G77" s="14" t="s">
        <v>1059</v>
      </c>
      <c r="H77" s="14" t="s">
        <v>1585</v>
      </c>
      <c r="I77" s="14" t="s">
        <v>1586</v>
      </c>
      <c r="J77" s="15" t="s">
        <v>934</v>
      </c>
      <c r="K77" s="14" t="s">
        <v>850</v>
      </c>
      <c r="L77" s="14" t="s">
        <v>851</v>
      </c>
      <c r="M77" s="879">
        <v>8252</v>
      </c>
      <c r="N77" s="880" t="s">
        <v>852</v>
      </c>
      <c r="O77" s="881" t="s">
        <v>1285</v>
      </c>
      <c r="P77" s="879">
        <v>1180</v>
      </c>
      <c r="Q77" s="879">
        <v>117988.195</v>
      </c>
      <c r="R77" s="884">
        <v>99.99</v>
      </c>
      <c r="S77" s="885">
        <v>0.6603</v>
      </c>
      <c r="T77" s="884">
        <v>18.97</v>
      </c>
      <c r="U77" s="886">
        <v>4.6</v>
      </c>
      <c r="V77" s="879">
        <v>914</v>
      </c>
      <c r="W77" s="887">
        <v>0.0534</v>
      </c>
      <c r="X77" s="879">
        <v>63</v>
      </c>
      <c r="Y77" s="888"/>
      <c r="Z77" s="15" t="s">
        <v>876</v>
      </c>
      <c r="AA77" s="15" t="s">
        <v>1587</v>
      </c>
      <c r="AB77" s="889">
        <v>248</v>
      </c>
      <c r="AC77" s="889">
        <v>1</v>
      </c>
      <c r="AD77" s="889">
        <v>1</v>
      </c>
      <c r="AE77" s="14" t="s">
        <v>867</v>
      </c>
      <c r="AF77" s="15" t="s">
        <v>65</v>
      </c>
      <c r="AG77" s="14" t="s">
        <v>65</v>
      </c>
      <c r="AH77" s="15" t="s">
        <v>856</v>
      </c>
      <c r="AI77" s="890" t="s">
        <v>1588</v>
      </c>
      <c r="AJ77" s="890" t="s">
        <v>1589</v>
      </c>
    </row>
    <row r="78" s="1" customFormat="1" ht="24" customHeight="1" spans="1:36">
      <c r="A78" s="15" t="s">
        <v>65</v>
      </c>
      <c r="B78" s="14" t="s">
        <v>1590</v>
      </c>
      <c r="C78" s="14" t="s">
        <v>1590</v>
      </c>
      <c r="D78" s="14" t="s">
        <v>65</v>
      </c>
      <c r="E78" s="14" t="s">
        <v>1591</v>
      </c>
      <c r="F78" s="14" t="s">
        <v>1592</v>
      </c>
      <c r="G78" s="14" t="s">
        <v>1593</v>
      </c>
      <c r="H78" s="14" t="s">
        <v>1594</v>
      </c>
      <c r="I78" s="14" t="s">
        <v>1595</v>
      </c>
      <c r="J78" s="15" t="s">
        <v>65</v>
      </c>
      <c r="K78" s="14" t="s">
        <v>924</v>
      </c>
      <c r="L78" s="14" t="s">
        <v>851</v>
      </c>
      <c r="M78" s="879">
        <v>12867</v>
      </c>
      <c r="N78" s="880" t="s">
        <v>1201</v>
      </c>
      <c r="O78" s="881" t="s">
        <v>1596</v>
      </c>
      <c r="P78" s="879">
        <v>595</v>
      </c>
      <c r="Q78" s="879">
        <v>10466.05</v>
      </c>
      <c r="R78" s="884">
        <v>17.59</v>
      </c>
      <c r="S78" s="885">
        <v>0.6567</v>
      </c>
      <c r="T78" s="884">
        <v>3.4</v>
      </c>
      <c r="U78" s="886">
        <v>4.4</v>
      </c>
      <c r="V78" s="879">
        <v>231</v>
      </c>
      <c r="W78" s="887">
        <v>0.0521</v>
      </c>
      <c r="X78" s="879">
        <v>31</v>
      </c>
      <c r="Y78" s="888"/>
      <c r="Z78" s="15" t="s">
        <v>65</v>
      </c>
      <c r="AA78" s="15" t="s">
        <v>1597</v>
      </c>
      <c r="AB78" s="889">
        <v>151</v>
      </c>
      <c r="AC78" s="889">
        <v>1</v>
      </c>
      <c r="AD78" s="889">
        <v>2</v>
      </c>
      <c r="AE78" s="14" t="s">
        <v>1598</v>
      </c>
      <c r="AF78" s="15" t="s">
        <v>1288</v>
      </c>
      <c r="AG78" s="14" t="s">
        <v>1599</v>
      </c>
      <c r="AH78" s="15" t="s">
        <v>856</v>
      </c>
      <c r="AI78" s="890" t="s">
        <v>1600</v>
      </c>
      <c r="AJ78" s="890" t="s">
        <v>1601</v>
      </c>
    </row>
    <row r="79" s="1" customFormat="1" ht="24" customHeight="1" spans="1:36">
      <c r="A79" s="15" t="s">
        <v>65</v>
      </c>
      <c r="B79" s="14" t="s">
        <v>1602</v>
      </c>
      <c r="C79" s="14" t="s">
        <v>1602</v>
      </c>
      <c r="D79" s="14" t="s">
        <v>65</v>
      </c>
      <c r="E79" s="14" t="s">
        <v>1603</v>
      </c>
      <c r="F79" s="14" t="s">
        <v>1604</v>
      </c>
      <c r="G79" s="14" t="s">
        <v>846</v>
      </c>
      <c r="H79" s="14" t="s">
        <v>1605</v>
      </c>
      <c r="I79" s="14" t="s">
        <v>1606</v>
      </c>
      <c r="J79" s="15" t="s">
        <v>65</v>
      </c>
      <c r="K79" s="14" t="s">
        <v>850</v>
      </c>
      <c r="L79" s="14" t="s">
        <v>851</v>
      </c>
      <c r="M79" s="879">
        <v>13660</v>
      </c>
      <c r="N79" s="880" t="s">
        <v>852</v>
      </c>
      <c r="O79" s="881" t="s">
        <v>1607</v>
      </c>
      <c r="P79" s="879">
        <v>704</v>
      </c>
      <c r="Q79" s="879">
        <v>111900.8</v>
      </c>
      <c r="R79" s="884">
        <v>158.95</v>
      </c>
      <c r="S79" s="885">
        <v>0.7122</v>
      </c>
      <c r="T79" s="884">
        <v>21.91</v>
      </c>
      <c r="U79" s="886">
        <v>4.5</v>
      </c>
      <c r="V79" s="879">
        <v>1887</v>
      </c>
      <c r="W79" s="887">
        <v>0.0483</v>
      </c>
      <c r="X79" s="879">
        <v>34</v>
      </c>
      <c r="Y79" s="888"/>
      <c r="Z79" s="15" t="s">
        <v>854</v>
      </c>
      <c r="AA79" s="15" t="s">
        <v>1608</v>
      </c>
      <c r="AB79" s="889">
        <v>1300</v>
      </c>
      <c r="AC79" s="889">
        <v>1</v>
      </c>
      <c r="AD79" s="889">
        <v>1</v>
      </c>
      <c r="AE79" s="14" t="s">
        <v>1609</v>
      </c>
      <c r="AF79" s="15" t="s">
        <v>65</v>
      </c>
      <c r="AG79" s="14" t="s">
        <v>1610</v>
      </c>
      <c r="AH79" s="15" t="s">
        <v>856</v>
      </c>
      <c r="AI79" s="890" t="s">
        <v>1611</v>
      </c>
      <c r="AJ79" s="890" t="s">
        <v>1612</v>
      </c>
    </row>
    <row r="80" s="1" customFormat="1" ht="24" customHeight="1" spans="1:36">
      <c r="A80" s="15" t="s">
        <v>65</v>
      </c>
      <c r="B80" s="14" t="s">
        <v>761</v>
      </c>
      <c r="C80" s="14" t="s">
        <v>761</v>
      </c>
      <c r="D80" s="14" t="s">
        <v>65</v>
      </c>
      <c r="E80" s="14" t="s">
        <v>1613</v>
      </c>
      <c r="F80" s="14" t="s">
        <v>1614</v>
      </c>
      <c r="G80" s="14" t="s">
        <v>1221</v>
      </c>
      <c r="H80" s="14" t="s">
        <v>1615</v>
      </c>
      <c r="I80" s="14" t="s">
        <v>1616</v>
      </c>
      <c r="J80" s="15" t="s">
        <v>934</v>
      </c>
      <c r="K80" s="14" t="s">
        <v>850</v>
      </c>
      <c r="L80" s="14" t="s">
        <v>851</v>
      </c>
      <c r="M80" s="879">
        <v>13775</v>
      </c>
      <c r="N80" s="880" t="s">
        <v>852</v>
      </c>
      <c r="O80" s="881" t="s">
        <v>1482</v>
      </c>
      <c r="P80" s="879">
        <v>532</v>
      </c>
      <c r="Q80" s="879">
        <v>34968.363</v>
      </c>
      <c r="R80" s="884">
        <v>65.73</v>
      </c>
      <c r="S80" s="885">
        <v>0.6061</v>
      </c>
      <c r="T80" s="884">
        <v>16.03</v>
      </c>
      <c r="U80" s="886">
        <v>4.3</v>
      </c>
      <c r="V80" s="879">
        <v>1245</v>
      </c>
      <c r="W80" s="887">
        <v>0.0639</v>
      </c>
      <c r="X80" s="879">
        <v>34</v>
      </c>
      <c r="Y80" s="888"/>
      <c r="Z80" s="15" t="s">
        <v>876</v>
      </c>
      <c r="AA80" s="15" t="s">
        <v>1617</v>
      </c>
      <c r="AB80" s="889">
        <v>2401</v>
      </c>
      <c r="AC80" s="889">
        <v>1</v>
      </c>
      <c r="AD80" s="889">
        <v>1</v>
      </c>
      <c r="AE80" s="14" t="s">
        <v>867</v>
      </c>
      <c r="AF80" s="15" t="s">
        <v>65</v>
      </c>
      <c r="AG80" s="14" t="s">
        <v>65</v>
      </c>
      <c r="AH80" s="15" t="s">
        <v>856</v>
      </c>
      <c r="AI80" s="890" t="s">
        <v>1618</v>
      </c>
      <c r="AJ80" s="890" t="s">
        <v>1619</v>
      </c>
    </row>
    <row r="81" s="1" customFormat="1" ht="24" customHeight="1" spans="1:36">
      <c r="A81" s="15" t="s">
        <v>65</v>
      </c>
      <c r="B81" s="14" t="s">
        <v>520</v>
      </c>
      <c r="C81" s="14" t="s">
        <v>520</v>
      </c>
      <c r="D81" s="14" t="s">
        <v>65</v>
      </c>
      <c r="E81" s="14" t="s">
        <v>1620</v>
      </c>
      <c r="F81" s="14" t="s">
        <v>1621</v>
      </c>
      <c r="G81" s="14" t="s">
        <v>1069</v>
      </c>
      <c r="H81" s="14" t="s">
        <v>1622</v>
      </c>
      <c r="I81" s="14" t="s">
        <v>1623</v>
      </c>
      <c r="J81" s="15" t="s">
        <v>974</v>
      </c>
      <c r="K81" s="14" t="s">
        <v>850</v>
      </c>
      <c r="L81" s="14" t="s">
        <v>851</v>
      </c>
      <c r="M81" s="879">
        <v>17711</v>
      </c>
      <c r="N81" s="880" t="s">
        <v>852</v>
      </c>
      <c r="O81" s="881" t="s">
        <v>1624</v>
      </c>
      <c r="P81" s="879">
        <v>492</v>
      </c>
      <c r="Q81" s="879">
        <v>18691.08</v>
      </c>
      <c r="R81" s="884">
        <v>37.99</v>
      </c>
      <c r="S81" s="885">
        <v>0.6444</v>
      </c>
      <c r="T81" s="884">
        <v>7.81</v>
      </c>
      <c r="U81" s="886">
        <v>4.3</v>
      </c>
      <c r="V81" s="879">
        <v>1289</v>
      </c>
      <c r="W81" s="887">
        <v>1</v>
      </c>
      <c r="X81" s="879">
        <v>492</v>
      </c>
      <c r="Y81" s="888"/>
      <c r="Z81" s="15" t="s">
        <v>947</v>
      </c>
      <c r="AA81" s="15" t="s">
        <v>1625</v>
      </c>
      <c r="AB81" s="889">
        <v>865</v>
      </c>
      <c r="AC81" s="889">
        <v>1</v>
      </c>
      <c r="AD81" s="889">
        <v>17</v>
      </c>
      <c r="AE81" s="14" t="s">
        <v>867</v>
      </c>
      <c r="AF81" s="15" t="s">
        <v>65</v>
      </c>
      <c r="AG81" s="14" t="s">
        <v>65</v>
      </c>
      <c r="AH81" s="15" t="s">
        <v>856</v>
      </c>
      <c r="AI81" s="890" t="s">
        <v>1626</v>
      </c>
      <c r="AJ81" s="890" t="s">
        <v>1627</v>
      </c>
    </row>
    <row r="82" s="1" customFormat="1" ht="24" customHeight="1" spans="1:36">
      <c r="A82" s="15" t="s">
        <v>65</v>
      </c>
      <c r="B82" s="14" t="s">
        <v>1628</v>
      </c>
      <c r="C82" s="14" t="s">
        <v>1628</v>
      </c>
      <c r="D82" s="14" t="s">
        <v>65</v>
      </c>
      <c r="E82" s="14" t="s">
        <v>1629</v>
      </c>
      <c r="F82" s="14" t="s">
        <v>1630</v>
      </c>
      <c r="G82" s="14" t="s">
        <v>1631</v>
      </c>
      <c r="H82" s="14" t="s">
        <v>1632</v>
      </c>
      <c r="I82" s="14" t="s">
        <v>1633</v>
      </c>
      <c r="J82" s="15" t="s">
        <v>1634</v>
      </c>
      <c r="K82" s="14" t="s">
        <v>850</v>
      </c>
      <c r="L82" s="14" t="s">
        <v>851</v>
      </c>
      <c r="M82" s="879">
        <v>30684</v>
      </c>
      <c r="N82" s="880" t="s">
        <v>852</v>
      </c>
      <c r="O82" s="881" t="s">
        <v>1635</v>
      </c>
      <c r="P82" s="879">
        <v>1235</v>
      </c>
      <c r="Q82" s="879">
        <v>185237.66</v>
      </c>
      <c r="R82" s="884">
        <v>149.99</v>
      </c>
      <c r="S82" s="885">
        <v>0.7235</v>
      </c>
      <c r="T82" s="884">
        <v>18.97</v>
      </c>
      <c r="U82" s="886">
        <v>4.4</v>
      </c>
      <c r="V82" s="879">
        <v>2734</v>
      </c>
      <c r="W82" s="887">
        <v>0.0672</v>
      </c>
      <c r="X82" s="879">
        <v>83</v>
      </c>
      <c r="Y82" s="888"/>
      <c r="Z82" s="15" t="s">
        <v>854</v>
      </c>
      <c r="AA82" s="15" t="s">
        <v>1386</v>
      </c>
      <c r="AB82" s="889">
        <v>195</v>
      </c>
      <c r="AC82" s="889">
        <v>1</v>
      </c>
      <c r="AD82" s="889">
        <v>6</v>
      </c>
      <c r="AE82" s="14" t="s">
        <v>65</v>
      </c>
      <c r="AF82" s="15" t="s">
        <v>65</v>
      </c>
      <c r="AG82" s="14" t="s">
        <v>65</v>
      </c>
      <c r="AH82" s="15" t="s">
        <v>856</v>
      </c>
      <c r="AI82" s="890" t="s">
        <v>1636</v>
      </c>
      <c r="AJ82" s="890" t="s">
        <v>1637</v>
      </c>
    </row>
    <row r="83" s="1" customFormat="1" ht="24" customHeight="1" spans="1:36">
      <c r="A83" s="15" t="s">
        <v>65</v>
      </c>
      <c r="B83" s="14" t="s">
        <v>419</v>
      </c>
      <c r="C83" s="14" t="s">
        <v>419</v>
      </c>
      <c r="D83" s="14" t="s">
        <v>65</v>
      </c>
      <c r="E83" s="14" t="s">
        <v>1638</v>
      </c>
      <c r="F83" s="14" t="s">
        <v>1639</v>
      </c>
      <c r="G83" s="14" t="s">
        <v>1640</v>
      </c>
      <c r="H83" s="14" t="s">
        <v>1641</v>
      </c>
      <c r="I83" s="14" t="s">
        <v>1642</v>
      </c>
      <c r="J83" s="15" t="s">
        <v>934</v>
      </c>
      <c r="K83" s="14" t="s">
        <v>850</v>
      </c>
      <c r="L83" s="14" t="s">
        <v>851</v>
      </c>
      <c r="M83" s="879">
        <v>14037</v>
      </c>
      <c r="N83" s="880" t="s">
        <v>852</v>
      </c>
      <c r="O83" s="881" t="s">
        <v>1607</v>
      </c>
      <c r="P83" s="879">
        <v>666</v>
      </c>
      <c r="Q83" s="879">
        <v>126533.34</v>
      </c>
      <c r="R83" s="884">
        <v>189.99</v>
      </c>
      <c r="S83" s="885">
        <v>0.728</v>
      </c>
      <c r="T83" s="884">
        <v>23.17</v>
      </c>
      <c r="U83" s="886">
        <v>4.5</v>
      </c>
      <c r="V83" s="879">
        <v>2334</v>
      </c>
      <c r="W83" s="887">
        <v>0</v>
      </c>
      <c r="X83" s="879">
        <v>997</v>
      </c>
      <c r="Y83" s="888"/>
      <c r="Z83" s="15" t="s">
        <v>876</v>
      </c>
      <c r="AA83" s="15" t="s">
        <v>1643</v>
      </c>
      <c r="AB83" s="889">
        <v>844</v>
      </c>
      <c r="AC83" s="889">
        <v>1</v>
      </c>
      <c r="AD83" s="889">
        <v>3</v>
      </c>
      <c r="AE83" s="14" t="s">
        <v>1330</v>
      </c>
      <c r="AF83" s="15" t="s">
        <v>65</v>
      </c>
      <c r="AG83" s="14" t="s">
        <v>1331</v>
      </c>
      <c r="AH83" s="15" t="s">
        <v>856</v>
      </c>
      <c r="AI83" s="890" t="s">
        <v>1644</v>
      </c>
      <c r="AJ83" s="890" t="s">
        <v>1645</v>
      </c>
    </row>
    <row r="84" s="1" customFormat="1" ht="24" customHeight="1" spans="1:36">
      <c r="A84" s="15" t="s">
        <v>65</v>
      </c>
      <c r="B84" s="14" t="s">
        <v>1646</v>
      </c>
      <c r="C84" s="14" t="s">
        <v>1646</v>
      </c>
      <c r="D84" s="14" t="s">
        <v>65</v>
      </c>
      <c r="E84" s="14" t="s">
        <v>1647</v>
      </c>
      <c r="F84" s="14" t="s">
        <v>1648</v>
      </c>
      <c r="G84" s="14" t="s">
        <v>1408</v>
      </c>
      <c r="H84" s="14" t="s">
        <v>1649</v>
      </c>
      <c r="I84" s="14" t="s">
        <v>1650</v>
      </c>
      <c r="J84" s="15" t="s">
        <v>65</v>
      </c>
      <c r="K84" s="14" t="s">
        <v>850</v>
      </c>
      <c r="L84" s="14" t="s">
        <v>851</v>
      </c>
      <c r="M84" s="879">
        <v>16222</v>
      </c>
      <c r="N84" s="880" t="s">
        <v>1029</v>
      </c>
      <c r="O84" s="881" t="s">
        <v>1651</v>
      </c>
      <c r="P84" s="879">
        <v>418</v>
      </c>
      <c r="Q84" s="879">
        <v>41540.84</v>
      </c>
      <c r="R84" s="884">
        <v>104</v>
      </c>
      <c r="S84" s="885">
        <v>0.6591</v>
      </c>
      <c r="T84" s="884">
        <v>18.97</v>
      </c>
      <c r="U84" s="886">
        <v>4.6</v>
      </c>
      <c r="V84" s="879">
        <v>2141</v>
      </c>
      <c r="W84" s="887">
        <v>0.0766</v>
      </c>
      <c r="X84" s="879">
        <v>32</v>
      </c>
      <c r="Y84" s="888"/>
      <c r="Z84" s="15" t="s">
        <v>854</v>
      </c>
      <c r="AA84" s="15" t="s">
        <v>1652</v>
      </c>
      <c r="AB84" s="889">
        <v>1235</v>
      </c>
      <c r="AC84" s="889">
        <v>1</v>
      </c>
      <c r="AD84" s="889">
        <v>31</v>
      </c>
      <c r="AE84" s="14" t="s">
        <v>1653</v>
      </c>
      <c r="AF84" s="15" t="s">
        <v>1110</v>
      </c>
      <c r="AG84" s="14" t="s">
        <v>1654</v>
      </c>
      <c r="AH84" s="15" t="s">
        <v>856</v>
      </c>
      <c r="AI84" s="890" t="s">
        <v>1655</v>
      </c>
      <c r="AJ84" s="890" t="s">
        <v>1656</v>
      </c>
    </row>
    <row r="85" s="1" customFormat="1" ht="24" customHeight="1" spans="1:36">
      <c r="A85" s="15" t="s">
        <v>65</v>
      </c>
      <c r="B85" s="14" t="s">
        <v>1657</v>
      </c>
      <c r="C85" s="14" t="s">
        <v>1657</v>
      </c>
      <c r="D85" s="14" t="s">
        <v>65</v>
      </c>
      <c r="E85" s="14" t="s">
        <v>1658</v>
      </c>
      <c r="F85" s="14" t="s">
        <v>1659</v>
      </c>
      <c r="G85" s="14" t="s">
        <v>1660</v>
      </c>
      <c r="H85" s="14" t="s">
        <v>1661</v>
      </c>
      <c r="I85" s="14" t="s">
        <v>1662</v>
      </c>
      <c r="J85" s="15" t="s">
        <v>1634</v>
      </c>
      <c r="K85" s="14" t="s">
        <v>850</v>
      </c>
      <c r="L85" s="14" t="s">
        <v>851</v>
      </c>
      <c r="M85" s="879">
        <v>15808</v>
      </c>
      <c r="N85" s="880" t="s">
        <v>852</v>
      </c>
      <c r="O85" s="881" t="s">
        <v>1663</v>
      </c>
      <c r="P85" s="879">
        <v>600</v>
      </c>
      <c r="Q85" s="879">
        <v>71994</v>
      </c>
      <c r="R85" s="884">
        <v>119.99</v>
      </c>
      <c r="S85" s="885">
        <v>0.6149</v>
      </c>
      <c r="T85" s="884">
        <v>28.21</v>
      </c>
      <c r="U85" s="886">
        <v>4.2</v>
      </c>
      <c r="V85" s="879">
        <v>121</v>
      </c>
      <c r="W85" s="887">
        <v>0.0617</v>
      </c>
      <c r="X85" s="879">
        <v>37</v>
      </c>
      <c r="Y85" s="888"/>
      <c r="Z85" s="15" t="s">
        <v>1267</v>
      </c>
      <c r="AA85" s="15" t="s">
        <v>1664</v>
      </c>
      <c r="AB85" s="889">
        <v>187</v>
      </c>
      <c r="AC85" s="889">
        <v>1</v>
      </c>
      <c r="AD85" s="889">
        <v>1</v>
      </c>
      <c r="AE85" s="14" t="s">
        <v>1665</v>
      </c>
      <c r="AF85" s="15" t="s">
        <v>65</v>
      </c>
      <c r="AG85" s="14" t="s">
        <v>1666</v>
      </c>
      <c r="AH85" s="15" t="s">
        <v>856</v>
      </c>
      <c r="AI85" s="890" t="s">
        <v>1667</v>
      </c>
      <c r="AJ85" s="890" t="s">
        <v>1668</v>
      </c>
    </row>
    <row r="86" s="1" customFormat="1" ht="24" customHeight="1" spans="1:36">
      <c r="A86" s="15" t="s">
        <v>65</v>
      </c>
      <c r="B86" s="14" t="s">
        <v>1669</v>
      </c>
      <c r="C86" s="14" t="s">
        <v>1669</v>
      </c>
      <c r="D86" s="14" t="s">
        <v>65</v>
      </c>
      <c r="E86" s="14" t="s">
        <v>1670</v>
      </c>
      <c r="F86" s="14" t="s">
        <v>1671</v>
      </c>
      <c r="G86" s="14" t="s">
        <v>931</v>
      </c>
      <c r="H86" s="14" t="s">
        <v>1672</v>
      </c>
      <c r="I86" s="14" t="s">
        <v>1673</v>
      </c>
      <c r="J86" s="15" t="s">
        <v>934</v>
      </c>
      <c r="K86" s="14" t="s">
        <v>850</v>
      </c>
      <c r="L86" s="14" t="s">
        <v>851</v>
      </c>
      <c r="M86" s="879">
        <v>11157</v>
      </c>
      <c r="N86" s="880" t="s">
        <v>852</v>
      </c>
      <c r="O86" s="881" t="s">
        <v>1674</v>
      </c>
      <c r="P86" s="879">
        <v>500</v>
      </c>
      <c r="Q86" s="879">
        <v>28425</v>
      </c>
      <c r="R86" s="884">
        <v>56.85</v>
      </c>
      <c r="S86" s="885">
        <v>0.5163</v>
      </c>
      <c r="T86" s="884">
        <v>18.97</v>
      </c>
      <c r="U86" s="886">
        <v>4.6</v>
      </c>
      <c r="V86" s="879">
        <v>11972</v>
      </c>
      <c r="W86" s="887">
        <v>0.038</v>
      </c>
      <c r="X86" s="879">
        <v>19</v>
      </c>
      <c r="Y86" s="888"/>
      <c r="Z86" s="15" t="s">
        <v>854</v>
      </c>
      <c r="AA86" s="15" t="s">
        <v>1675</v>
      </c>
      <c r="AB86" s="889">
        <v>1680</v>
      </c>
      <c r="AC86" s="889">
        <v>1</v>
      </c>
      <c r="AD86" s="889">
        <v>2</v>
      </c>
      <c r="AE86" s="14" t="s">
        <v>867</v>
      </c>
      <c r="AF86" s="15" t="s">
        <v>65</v>
      </c>
      <c r="AG86" s="14" t="s">
        <v>65</v>
      </c>
      <c r="AH86" s="15" t="s">
        <v>856</v>
      </c>
      <c r="AI86" s="890" t="s">
        <v>1676</v>
      </c>
      <c r="AJ86" s="890" t="s">
        <v>1677</v>
      </c>
    </row>
    <row r="87" s="1" customFormat="1" ht="24" customHeight="1" spans="1:36">
      <c r="A87" s="15" t="s">
        <v>65</v>
      </c>
      <c r="B87" s="14" t="s">
        <v>95</v>
      </c>
      <c r="C87" s="14" t="s">
        <v>95</v>
      </c>
      <c r="D87" s="14" t="s">
        <v>65</v>
      </c>
      <c r="E87" s="14" t="s">
        <v>1678</v>
      </c>
      <c r="F87" s="14" t="s">
        <v>1679</v>
      </c>
      <c r="G87" s="14" t="s">
        <v>861</v>
      </c>
      <c r="H87" s="14" t="s">
        <v>1680</v>
      </c>
      <c r="I87" s="14" t="s">
        <v>1681</v>
      </c>
      <c r="J87" s="15" t="s">
        <v>1012</v>
      </c>
      <c r="K87" s="14" t="s">
        <v>850</v>
      </c>
      <c r="L87" s="14" t="s">
        <v>851</v>
      </c>
      <c r="M87" s="879">
        <v>13280</v>
      </c>
      <c r="N87" s="880" t="s">
        <v>852</v>
      </c>
      <c r="O87" s="881" t="s">
        <v>1682</v>
      </c>
      <c r="P87" s="879">
        <v>981</v>
      </c>
      <c r="Q87" s="879">
        <v>117710.19</v>
      </c>
      <c r="R87" s="884">
        <v>119.99</v>
      </c>
      <c r="S87" s="885">
        <v>0.6884</v>
      </c>
      <c r="T87" s="884">
        <v>19.39</v>
      </c>
      <c r="U87" s="886">
        <v>4</v>
      </c>
      <c r="V87" s="879">
        <v>55</v>
      </c>
      <c r="W87" s="887">
        <v>0.0306</v>
      </c>
      <c r="X87" s="879">
        <v>30</v>
      </c>
      <c r="Y87" s="888"/>
      <c r="Z87" s="15" t="s">
        <v>947</v>
      </c>
      <c r="AA87" s="15" t="s">
        <v>1683</v>
      </c>
      <c r="AB87" s="889">
        <v>203</v>
      </c>
      <c r="AC87" s="889">
        <v>1</v>
      </c>
      <c r="AD87" s="889">
        <v>1</v>
      </c>
      <c r="AE87" s="14" t="s">
        <v>867</v>
      </c>
      <c r="AF87" s="15" t="s">
        <v>65</v>
      </c>
      <c r="AG87" s="14" t="s">
        <v>65</v>
      </c>
      <c r="AH87" s="15" t="s">
        <v>856</v>
      </c>
      <c r="AI87" s="890" t="s">
        <v>1684</v>
      </c>
      <c r="AJ87" s="890" t="s">
        <v>1685</v>
      </c>
    </row>
    <row r="88" s="1" customFormat="1" ht="24" customHeight="1" spans="1:36">
      <c r="A88" s="15" t="s">
        <v>65</v>
      </c>
      <c r="B88" s="14" t="s">
        <v>1686</v>
      </c>
      <c r="C88" s="14" t="s">
        <v>1686</v>
      </c>
      <c r="D88" s="14" t="s">
        <v>65</v>
      </c>
      <c r="E88" s="14" t="s">
        <v>1687</v>
      </c>
      <c r="F88" s="14" t="s">
        <v>1688</v>
      </c>
      <c r="G88" s="14" t="s">
        <v>861</v>
      </c>
      <c r="H88" s="14" t="s">
        <v>1689</v>
      </c>
      <c r="I88" s="14" t="s">
        <v>1690</v>
      </c>
      <c r="J88" s="15" t="s">
        <v>974</v>
      </c>
      <c r="K88" s="14" t="s">
        <v>850</v>
      </c>
      <c r="L88" s="14" t="s">
        <v>851</v>
      </c>
      <c r="M88" s="879">
        <v>19194</v>
      </c>
      <c r="N88" s="880" t="s">
        <v>852</v>
      </c>
      <c r="O88" s="881" t="s">
        <v>1691</v>
      </c>
      <c r="P88" s="879">
        <v>563</v>
      </c>
      <c r="Q88" s="879">
        <v>13894.84</v>
      </c>
      <c r="R88" s="884">
        <v>19.99</v>
      </c>
      <c r="S88" s="885">
        <v>0.4047</v>
      </c>
      <c r="T88" s="884">
        <v>10.99</v>
      </c>
      <c r="U88" s="886">
        <v>4.5</v>
      </c>
      <c r="V88" s="879">
        <v>484</v>
      </c>
      <c r="W88" s="887">
        <v>0.0409</v>
      </c>
      <c r="X88" s="879">
        <v>23</v>
      </c>
      <c r="Y88" s="888"/>
      <c r="Z88" s="15" t="s">
        <v>947</v>
      </c>
      <c r="AA88" s="15" t="s">
        <v>1692</v>
      </c>
      <c r="AB88" s="889">
        <v>859</v>
      </c>
      <c r="AC88" s="889">
        <v>1</v>
      </c>
      <c r="AD88" s="889">
        <v>3</v>
      </c>
      <c r="AE88" s="14" t="s">
        <v>867</v>
      </c>
      <c r="AF88" s="15" t="s">
        <v>65</v>
      </c>
      <c r="AG88" s="14" t="s">
        <v>65</v>
      </c>
      <c r="AH88" s="15" t="s">
        <v>856</v>
      </c>
      <c r="AI88" s="890" t="s">
        <v>937</v>
      </c>
      <c r="AJ88" s="890" t="s">
        <v>1693</v>
      </c>
    </row>
    <row r="89" s="1" customFormat="1" ht="24" customHeight="1" spans="1:36">
      <c r="A89" s="15" t="s">
        <v>65</v>
      </c>
      <c r="B89" s="14" t="s">
        <v>1694</v>
      </c>
      <c r="C89" s="14" t="s">
        <v>1694</v>
      </c>
      <c r="D89" s="14" t="s">
        <v>65</v>
      </c>
      <c r="E89" s="14" t="s">
        <v>1695</v>
      </c>
      <c r="F89" s="14" t="s">
        <v>1696</v>
      </c>
      <c r="G89" s="14" t="s">
        <v>1697</v>
      </c>
      <c r="H89" s="14" t="s">
        <v>1698</v>
      </c>
      <c r="I89" s="14" t="s">
        <v>1699</v>
      </c>
      <c r="J89" s="15" t="s">
        <v>934</v>
      </c>
      <c r="K89" s="14" t="s">
        <v>850</v>
      </c>
      <c r="L89" s="14" t="s">
        <v>851</v>
      </c>
      <c r="M89" s="879">
        <v>13587</v>
      </c>
      <c r="N89" s="880" t="s">
        <v>1201</v>
      </c>
      <c r="O89" s="881" t="s">
        <v>1700</v>
      </c>
      <c r="P89" s="879">
        <v>290</v>
      </c>
      <c r="Q89" s="879">
        <v>7247.1</v>
      </c>
      <c r="R89" s="884">
        <v>24.99</v>
      </c>
      <c r="S89" s="885">
        <v>0.6223</v>
      </c>
      <c r="T89" s="884">
        <v>5.69</v>
      </c>
      <c r="U89" s="886">
        <v>4.7</v>
      </c>
      <c r="V89" s="879">
        <v>355</v>
      </c>
      <c r="W89" s="887">
        <v>0.0621</v>
      </c>
      <c r="X89" s="879">
        <v>18</v>
      </c>
      <c r="Y89" s="888"/>
      <c r="Z89" s="15" t="s">
        <v>876</v>
      </c>
      <c r="AA89" s="15" t="s">
        <v>1701</v>
      </c>
      <c r="AB89" s="889">
        <v>643</v>
      </c>
      <c r="AC89" s="889">
        <v>1</v>
      </c>
      <c r="AD89" s="889">
        <v>1</v>
      </c>
      <c r="AE89" s="14" t="s">
        <v>65</v>
      </c>
      <c r="AF89" s="15" t="s">
        <v>65</v>
      </c>
      <c r="AG89" s="14" t="s">
        <v>65</v>
      </c>
      <c r="AH89" s="15" t="s">
        <v>856</v>
      </c>
      <c r="AI89" s="890" t="s">
        <v>937</v>
      </c>
      <c r="AJ89" s="890" t="s">
        <v>1702</v>
      </c>
    </row>
    <row r="90" s="1" customFormat="1" ht="24" customHeight="1" spans="1:36">
      <c r="A90" s="15" t="s">
        <v>65</v>
      </c>
      <c r="B90" s="14" t="s">
        <v>1703</v>
      </c>
      <c r="C90" s="14" t="s">
        <v>1703</v>
      </c>
      <c r="D90" s="14" t="s">
        <v>65</v>
      </c>
      <c r="E90" s="14" t="s">
        <v>1704</v>
      </c>
      <c r="F90" s="14" t="s">
        <v>1705</v>
      </c>
      <c r="G90" s="14" t="s">
        <v>1152</v>
      </c>
      <c r="H90" s="14" t="s">
        <v>1706</v>
      </c>
      <c r="I90" s="14" t="s">
        <v>1707</v>
      </c>
      <c r="J90" s="15" t="s">
        <v>934</v>
      </c>
      <c r="K90" s="14" t="s">
        <v>850</v>
      </c>
      <c r="L90" s="14" t="s">
        <v>851</v>
      </c>
      <c r="M90" s="879">
        <v>15830</v>
      </c>
      <c r="N90" s="880" t="s">
        <v>852</v>
      </c>
      <c r="O90" s="881" t="s">
        <v>1708</v>
      </c>
      <c r="P90" s="879">
        <v>1010</v>
      </c>
      <c r="Q90" s="879">
        <v>85829.805</v>
      </c>
      <c r="R90" s="884">
        <v>119.99</v>
      </c>
      <c r="S90" s="885">
        <v>0.5922</v>
      </c>
      <c r="T90" s="884">
        <v>21.91</v>
      </c>
      <c r="U90" s="886">
        <v>4.5</v>
      </c>
      <c r="V90" s="879">
        <v>13845</v>
      </c>
      <c r="W90" s="887">
        <v>0.095</v>
      </c>
      <c r="X90" s="879">
        <v>96</v>
      </c>
      <c r="Y90" s="888"/>
      <c r="Z90" s="15" t="s">
        <v>854</v>
      </c>
      <c r="AA90" s="15" t="s">
        <v>1709</v>
      </c>
      <c r="AB90" s="889">
        <v>1225</v>
      </c>
      <c r="AC90" s="889">
        <v>1</v>
      </c>
      <c r="AD90" s="889">
        <v>4</v>
      </c>
      <c r="AE90" s="14" t="s">
        <v>65</v>
      </c>
      <c r="AF90" s="15" t="s">
        <v>65</v>
      </c>
      <c r="AG90" s="14" t="s">
        <v>65</v>
      </c>
      <c r="AH90" s="15" t="s">
        <v>856</v>
      </c>
      <c r="AI90" s="890" t="s">
        <v>1710</v>
      </c>
      <c r="AJ90" s="890" t="s">
        <v>1711</v>
      </c>
    </row>
    <row r="91" s="1" customFormat="1" ht="24" customHeight="1" spans="1:36">
      <c r="A91" s="15" t="s">
        <v>65</v>
      </c>
      <c r="B91" s="14" t="s">
        <v>1712</v>
      </c>
      <c r="C91" s="14" t="s">
        <v>1712</v>
      </c>
      <c r="D91" s="14" t="s">
        <v>65</v>
      </c>
      <c r="E91" s="14" t="s">
        <v>1713</v>
      </c>
      <c r="F91" s="14" t="s">
        <v>1714</v>
      </c>
      <c r="G91" s="14" t="s">
        <v>1715</v>
      </c>
      <c r="H91" s="14" t="s">
        <v>1716</v>
      </c>
      <c r="I91" s="14" t="s">
        <v>1717</v>
      </c>
      <c r="J91" s="15" t="s">
        <v>974</v>
      </c>
      <c r="K91" s="14" t="s">
        <v>850</v>
      </c>
      <c r="L91" s="14" t="s">
        <v>851</v>
      </c>
      <c r="M91" s="879">
        <v>23256</v>
      </c>
      <c r="N91" s="880" t="s">
        <v>852</v>
      </c>
      <c r="O91" s="881" t="s">
        <v>1718</v>
      </c>
      <c r="P91" s="879">
        <v>231</v>
      </c>
      <c r="Q91" s="879">
        <v>43887.69</v>
      </c>
      <c r="R91" s="884">
        <v>239.99</v>
      </c>
      <c r="S91" s="885">
        <v>0.6949</v>
      </c>
      <c r="T91" s="884">
        <v>29.47</v>
      </c>
      <c r="U91" s="886">
        <v>4.9</v>
      </c>
      <c r="V91" s="879">
        <v>11</v>
      </c>
      <c r="W91" s="887">
        <v>0.0433</v>
      </c>
      <c r="X91" s="879">
        <v>10</v>
      </c>
      <c r="Y91" s="888"/>
      <c r="Z91" s="15" t="s">
        <v>65</v>
      </c>
      <c r="AA91" s="15" t="s">
        <v>1719</v>
      </c>
      <c r="AB91" s="889">
        <v>85</v>
      </c>
      <c r="AC91" s="889">
        <v>1</v>
      </c>
      <c r="AD91" s="889">
        <v>2</v>
      </c>
      <c r="AE91" s="14" t="s">
        <v>1720</v>
      </c>
      <c r="AF91" s="15" t="s">
        <v>1401</v>
      </c>
      <c r="AG91" s="14" t="s">
        <v>1721</v>
      </c>
      <c r="AH91" s="15" t="s">
        <v>856</v>
      </c>
      <c r="AI91" s="890" t="s">
        <v>1722</v>
      </c>
      <c r="AJ91" s="890" t="s">
        <v>1723</v>
      </c>
    </row>
    <row r="92" s="1" customFormat="1" ht="24" customHeight="1" spans="1:36">
      <c r="A92" s="15" t="s">
        <v>65</v>
      </c>
      <c r="B92" s="14" t="s">
        <v>1724</v>
      </c>
      <c r="C92" s="14" t="s">
        <v>1724</v>
      </c>
      <c r="D92" s="14" t="s">
        <v>65</v>
      </c>
      <c r="E92" s="14" t="s">
        <v>1725</v>
      </c>
      <c r="F92" s="14" t="s">
        <v>1726</v>
      </c>
      <c r="G92" s="14" t="s">
        <v>1727</v>
      </c>
      <c r="H92" s="14" t="s">
        <v>1728</v>
      </c>
      <c r="I92" s="14" t="s">
        <v>1729</v>
      </c>
      <c r="J92" s="15" t="s">
        <v>934</v>
      </c>
      <c r="K92" s="14" t="s">
        <v>850</v>
      </c>
      <c r="L92" s="14" t="s">
        <v>851</v>
      </c>
      <c r="M92" s="879">
        <v>16076</v>
      </c>
      <c r="N92" s="880" t="s">
        <v>852</v>
      </c>
      <c r="O92" s="881" t="s">
        <v>1730</v>
      </c>
      <c r="P92" s="879">
        <v>578</v>
      </c>
      <c r="Q92" s="879">
        <v>3456.44</v>
      </c>
      <c r="R92" s="884">
        <v>5.98</v>
      </c>
      <c r="S92" s="885">
        <v>0.2814</v>
      </c>
      <c r="T92" s="884">
        <v>3.4</v>
      </c>
      <c r="U92" s="886">
        <v>4.6</v>
      </c>
      <c r="V92" s="879">
        <v>3484</v>
      </c>
      <c r="W92" s="887">
        <v>0.1349</v>
      </c>
      <c r="X92" s="879">
        <v>78</v>
      </c>
      <c r="Y92" s="888"/>
      <c r="Z92" s="15" t="s">
        <v>876</v>
      </c>
      <c r="AA92" s="15" t="s">
        <v>1731</v>
      </c>
      <c r="AB92" s="889">
        <v>1551</v>
      </c>
      <c r="AC92" s="889">
        <v>1</v>
      </c>
      <c r="AD92" s="889">
        <v>1</v>
      </c>
      <c r="AE92" s="14" t="s">
        <v>1732</v>
      </c>
      <c r="AF92" s="15" t="s">
        <v>1288</v>
      </c>
      <c r="AG92" s="14" t="s">
        <v>1733</v>
      </c>
      <c r="AH92" s="15" t="s">
        <v>856</v>
      </c>
      <c r="AI92" s="890" t="s">
        <v>1734</v>
      </c>
      <c r="AJ92" s="890" t="s">
        <v>1735</v>
      </c>
    </row>
    <row r="93" s="1" customFormat="1" ht="24" customHeight="1" spans="1:36">
      <c r="A93" s="15" t="s">
        <v>65</v>
      </c>
      <c r="B93" s="14" t="s">
        <v>1736</v>
      </c>
      <c r="C93" s="14" t="s">
        <v>1736</v>
      </c>
      <c r="D93" s="14" t="s">
        <v>65</v>
      </c>
      <c r="E93" s="14" t="s">
        <v>1737</v>
      </c>
      <c r="F93" s="14" t="s">
        <v>1738</v>
      </c>
      <c r="G93" s="14" t="s">
        <v>1408</v>
      </c>
      <c r="H93" s="14" t="s">
        <v>1739</v>
      </c>
      <c r="I93" s="14" t="s">
        <v>1740</v>
      </c>
      <c r="J93" s="15" t="s">
        <v>934</v>
      </c>
      <c r="K93" s="14" t="s">
        <v>850</v>
      </c>
      <c r="L93" s="14" t="s">
        <v>851</v>
      </c>
      <c r="M93" s="879">
        <v>17477</v>
      </c>
      <c r="N93" s="880" t="s">
        <v>1029</v>
      </c>
      <c r="O93" s="881" t="s">
        <v>1741</v>
      </c>
      <c r="P93" s="879">
        <v>540</v>
      </c>
      <c r="Q93" s="879">
        <v>55614.598</v>
      </c>
      <c r="R93" s="884">
        <v>102.99</v>
      </c>
      <c r="S93" s="885">
        <v>0.6332</v>
      </c>
      <c r="T93" s="884">
        <v>22.33</v>
      </c>
      <c r="U93" s="886">
        <v>4.5</v>
      </c>
      <c r="V93" s="879">
        <v>2593</v>
      </c>
      <c r="W93" s="887">
        <v>0.0963</v>
      </c>
      <c r="X93" s="879">
        <v>52</v>
      </c>
      <c r="Y93" s="888"/>
      <c r="Z93" s="15" t="s">
        <v>876</v>
      </c>
      <c r="AA93" s="15" t="s">
        <v>1268</v>
      </c>
      <c r="AB93" s="889">
        <v>896</v>
      </c>
      <c r="AC93" s="889">
        <v>1</v>
      </c>
      <c r="AD93" s="889">
        <v>1</v>
      </c>
      <c r="AE93" s="14" t="s">
        <v>1032</v>
      </c>
      <c r="AF93" s="15" t="s">
        <v>65</v>
      </c>
      <c r="AG93" s="14" t="s">
        <v>1033</v>
      </c>
      <c r="AH93" s="15" t="s">
        <v>856</v>
      </c>
      <c r="AI93" s="890" t="s">
        <v>1742</v>
      </c>
      <c r="AJ93" s="890" t="s">
        <v>1743</v>
      </c>
    </row>
    <row r="94" s="1" customFormat="1" ht="24" customHeight="1" spans="1:36">
      <c r="A94" s="15" t="s">
        <v>65</v>
      </c>
      <c r="B94" s="14" t="s">
        <v>1744</v>
      </c>
      <c r="C94" s="14" t="s">
        <v>1744</v>
      </c>
      <c r="D94" s="14" t="s">
        <v>65</v>
      </c>
      <c r="E94" s="14" t="s">
        <v>1745</v>
      </c>
      <c r="F94" s="14" t="s">
        <v>1746</v>
      </c>
      <c r="G94" s="14" t="s">
        <v>1059</v>
      </c>
      <c r="H94" s="14" t="s">
        <v>1747</v>
      </c>
      <c r="I94" s="14" t="s">
        <v>1748</v>
      </c>
      <c r="J94" s="15" t="s">
        <v>864</v>
      </c>
      <c r="K94" s="14" t="s">
        <v>850</v>
      </c>
      <c r="L94" s="14" t="s">
        <v>851</v>
      </c>
      <c r="M94" s="879">
        <v>13708</v>
      </c>
      <c r="N94" s="880" t="s">
        <v>852</v>
      </c>
      <c r="O94" s="881" t="s">
        <v>1749</v>
      </c>
      <c r="P94" s="879">
        <v>585</v>
      </c>
      <c r="Q94" s="879">
        <v>76044.16</v>
      </c>
      <c r="R94" s="884">
        <v>129.99</v>
      </c>
      <c r="S94" s="885">
        <v>0.6491</v>
      </c>
      <c r="T94" s="884">
        <v>26.11</v>
      </c>
      <c r="U94" s="886">
        <v>4.3</v>
      </c>
      <c r="V94" s="879">
        <v>1422</v>
      </c>
      <c r="W94" s="887">
        <v>0.1111</v>
      </c>
      <c r="X94" s="879">
        <v>65</v>
      </c>
      <c r="Y94" s="888"/>
      <c r="Z94" s="15" t="s">
        <v>854</v>
      </c>
      <c r="AA94" s="15" t="s">
        <v>1750</v>
      </c>
      <c r="AB94" s="889">
        <v>951</v>
      </c>
      <c r="AC94" s="889">
        <v>1</v>
      </c>
      <c r="AD94" s="889">
        <v>4</v>
      </c>
      <c r="AE94" s="14" t="s">
        <v>867</v>
      </c>
      <c r="AF94" s="15" t="s">
        <v>65</v>
      </c>
      <c r="AG94" s="14" t="s">
        <v>65</v>
      </c>
      <c r="AH94" s="15" t="s">
        <v>856</v>
      </c>
      <c r="AI94" s="890" t="s">
        <v>1751</v>
      </c>
      <c r="AJ94" s="890" t="s">
        <v>1752</v>
      </c>
    </row>
    <row r="95" s="1" customFormat="1" ht="24" customHeight="1" spans="1:36">
      <c r="A95" s="15" t="s">
        <v>65</v>
      </c>
      <c r="B95" s="14" t="s">
        <v>716</v>
      </c>
      <c r="C95" s="14" t="s">
        <v>716</v>
      </c>
      <c r="D95" s="14" t="s">
        <v>65</v>
      </c>
      <c r="E95" s="14" t="s">
        <v>1753</v>
      </c>
      <c r="F95" s="14" t="s">
        <v>1754</v>
      </c>
      <c r="G95" s="14" t="s">
        <v>1755</v>
      </c>
      <c r="H95" s="14" t="s">
        <v>1756</v>
      </c>
      <c r="I95" s="14" t="s">
        <v>1757</v>
      </c>
      <c r="J95" s="15" t="s">
        <v>934</v>
      </c>
      <c r="K95" s="14" t="s">
        <v>850</v>
      </c>
      <c r="L95" s="14" t="s">
        <v>851</v>
      </c>
      <c r="M95" s="879">
        <v>17635</v>
      </c>
      <c r="N95" s="880" t="s">
        <v>852</v>
      </c>
      <c r="O95" s="881" t="s">
        <v>1758</v>
      </c>
      <c r="P95" s="879">
        <v>372</v>
      </c>
      <c r="Q95" s="879">
        <v>27505.682</v>
      </c>
      <c r="R95" s="884">
        <v>89.99</v>
      </c>
      <c r="S95" s="885">
        <v>0.5821</v>
      </c>
      <c r="T95" s="884">
        <v>19.81</v>
      </c>
      <c r="U95" s="886">
        <v>4.6</v>
      </c>
      <c r="V95" s="879">
        <v>806</v>
      </c>
      <c r="W95" s="887">
        <v>0.1075</v>
      </c>
      <c r="X95" s="879">
        <v>40</v>
      </c>
      <c r="Y95" s="888"/>
      <c r="Z95" s="15" t="s">
        <v>876</v>
      </c>
      <c r="AA95" s="15" t="s">
        <v>1759</v>
      </c>
      <c r="AB95" s="889">
        <v>574</v>
      </c>
      <c r="AC95" s="889">
        <v>1</v>
      </c>
      <c r="AD95" s="889">
        <v>2</v>
      </c>
      <c r="AE95" s="14" t="s">
        <v>1760</v>
      </c>
      <c r="AF95" s="15" t="s">
        <v>1288</v>
      </c>
      <c r="AG95" s="14" t="s">
        <v>1761</v>
      </c>
      <c r="AH95" s="15" t="s">
        <v>856</v>
      </c>
      <c r="AI95" s="890" t="s">
        <v>1484</v>
      </c>
      <c r="AJ95" s="890" t="s">
        <v>1762</v>
      </c>
    </row>
    <row r="96" s="1" customFormat="1" ht="24" customHeight="1" spans="1:36">
      <c r="A96" s="15" t="s">
        <v>65</v>
      </c>
      <c r="B96" s="14" t="s">
        <v>1763</v>
      </c>
      <c r="C96" s="14" t="s">
        <v>1763</v>
      </c>
      <c r="D96" s="14" t="s">
        <v>65</v>
      </c>
      <c r="E96" s="14" t="s">
        <v>1764</v>
      </c>
      <c r="F96" s="14" t="s">
        <v>1765</v>
      </c>
      <c r="G96" s="14" t="s">
        <v>1766</v>
      </c>
      <c r="H96" s="14" t="s">
        <v>1767</v>
      </c>
      <c r="I96" s="14" t="s">
        <v>1768</v>
      </c>
      <c r="J96" s="15" t="s">
        <v>1769</v>
      </c>
      <c r="K96" s="14" t="s">
        <v>924</v>
      </c>
      <c r="L96" s="14" t="s">
        <v>851</v>
      </c>
      <c r="M96" s="879">
        <v>15885</v>
      </c>
      <c r="N96" s="880" t="s">
        <v>1201</v>
      </c>
      <c r="O96" s="881" t="s">
        <v>1770</v>
      </c>
      <c r="P96" s="879">
        <v>260</v>
      </c>
      <c r="Q96" s="879">
        <v>1557.3999</v>
      </c>
      <c r="R96" s="884">
        <v>5.99</v>
      </c>
      <c r="S96" s="885">
        <v>0.3587</v>
      </c>
      <c r="T96" s="884">
        <v>5.4</v>
      </c>
      <c r="U96" s="886">
        <v>4.2</v>
      </c>
      <c r="V96" s="879">
        <v>391</v>
      </c>
      <c r="W96" s="887">
        <v>0.1269</v>
      </c>
      <c r="X96" s="879">
        <v>33</v>
      </c>
      <c r="Y96" s="879">
        <v>4</v>
      </c>
      <c r="Z96" s="15" t="s">
        <v>65</v>
      </c>
      <c r="AA96" s="15" t="s">
        <v>1771</v>
      </c>
      <c r="AB96" s="889">
        <v>273</v>
      </c>
      <c r="AC96" s="889">
        <v>1</v>
      </c>
      <c r="AD96" s="889">
        <v>4</v>
      </c>
      <c r="AE96" s="14" t="s">
        <v>1772</v>
      </c>
      <c r="AF96" s="15" t="s">
        <v>65</v>
      </c>
      <c r="AG96" s="14" t="s">
        <v>1773</v>
      </c>
      <c r="AH96" s="15" t="s">
        <v>856</v>
      </c>
      <c r="AI96" s="890" t="s">
        <v>1774</v>
      </c>
      <c r="AJ96" s="890" t="s">
        <v>1775</v>
      </c>
    </row>
    <row r="97" s="1" customFormat="1" ht="24" customHeight="1" spans="1:36">
      <c r="A97" s="15" t="s">
        <v>65</v>
      </c>
      <c r="B97" s="14" t="s">
        <v>1776</v>
      </c>
      <c r="C97" s="14" t="s">
        <v>1776</v>
      </c>
      <c r="D97" s="14" t="s">
        <v>65</v>
      </c>
      <c r="E97" s="14" t="s">
        <v>1777</v>
      </c>
      <c r="F97" s="14" t="s">
        <v>1778</v>
      </c>
      <c r="G97" s="14" t="s">
        <v>991</v>
      </c>
      <c r="H97" s="14" t="s">
        <v>1779</v>
      </c>
      <c r="I97" s="14" t="s">
        <v>1780</v>
      </c>
      <c r="J97" s="15" t="s">
        <v>974</v>
      </c>
      <c r="K97" s="14" t="s">
        <v>850</v>
      </c>
      <c r="L97" s="14" t="s">
        <v>851</v>
      </c>
      <c r="M97" s="879">
        <v>16129</v>
      </c>
      <c r="N97" s="880" t="s">
        <v>852</v>
      </c>
      <c r="O97" s="881" t="s">
        <v>1781</v>
      </c>
      <c r="P97" s="879">
        <v>815</v>
      </c>
      <c r="Q97" s="879">
        <v>122241.85</v>
      </c>
      <c r="R97" s="884">
        <v>149.99</v>
      </c>
      <c r="S97" s="885">
        <v>0.7291</v>
      </c>
      <c r="T97" s="884">
        <v>18.13</v>
      </c>
      <c r="U97" s="886">
        <v>4.6</v>
      </c>
      <c r="V97" s="879">
        <v>66</v>
      </c>
      <c r="W97" s="887">
        <v>0.0282</v>
      </c>
      <c r="X97" s="879">
        <v>23</v>
      </c>
      <c r="Y97" s="888"/>
      <c r="Z97" s="15" t="s">
        <v>1267</v>
      </c>
      <c r="AA97" s="15" t="s">
        <v>1782</v>
      </c>
      <c r="AB97" s="889">
        <v>292</v>
      </c>
      <c r="AC97" s="889">
        <v>1</v>
      </c>
      <c r="AD97" s="889">
        <v>1</v>
      </c>
      <c r="AE97" s="14" t="s">
        <v>1783</v>
      </c>
      <c r="AF97" s="15" t="s">
        <v>1288</v>
      </c>
      <c r="AG97" s="14" t="s">
        <v>1784</v>
      </c>
      <c r="AH97" s="15" t="s">
        <v>856</v>
      </c>
      <c r="AI97" s="890" t="s">
        <v>1785</v>
      </c>
      <c r="AJ97" s="890" t="s">
        <v>1786</v>
      </c>
    </row>
    <row r="98" s="1" customFormat="1" ht="24" customHeight="1" spans="1:36">
      <c r="A98" s="15" t="s">
        <v>65</v>
      </c>
      <c r="B98" s="14" t="s">
        <v>1787</v>
      </c>
      <c r="C98" s="14" t="s">
        <v>1787</v>
      </c>
      <c r="D98" s="14" t="s">
        <v>65</v>
      </c>
      <c r="E98" s="14" t="s">
        <v>1788</v>
      </c>
      <c r="F98" s="14" t="s">
        <v>1789</v>
      </c>
      <c r="G98" s="14" t="s">
        <v>1790</v>
      </c>
      <c r="H98" s="14" t="s">
        <v>1791</v>
      </c>
      <c r="I98" s="14" t="s">
        <v>1792</v>
      </c>
      <c r="J98" s="15" t="s">
        <v>934</v>
      </c>
      <c r="K98" s="14" t="s">
        <v>850</v>
      </c>
      <c r="L98" s="14" t="s">
        <v>851</v>
      </c>
      <c r="M98" s="879">
        <v>20123</v>
      </c>
      <c r="N98" s="880" t="s">
        <v>852</v>
      </c>
      <c r="O98" s="881" t="s">
        <v>1691</v>
      </c>
      <c r="P98" s="879">
        <v>432</v>
      </c>
      <c r="Q98" s="879">
        <v>9499.68</v>
      </c>
      <c r="R98" s="884">
        <v>21.99</v>
      </c>
      <c r="S98" s="885">
        <v>0.6045</v>
      </c>
      <c r="T98" s="884">
        <v>5.4</v>
      </c>
      <c r="U98" s="886">
        <v>4</v>
      </c>
      <c r="V98" s="879">
        <v>103</v>
      </c>
      <c r="W98" s="887">
        <v>0.0579</v>
      </c>
      <c r="X98" s="879">
        <v>25</v>
      </c>
      <c r="Y98" s="888"/>
      <c r="Z98" s="15" t="s">
        <v>854</v>
      </c>
      <c r="AA98" s="15" t="s">
        <v>1793</v>
      </c>
      <c r="AB98" s="889">
        <v>315</v>
      </c>
      <c r="AC98" s="889">
        <v>1</v>
      </c>
      <c r="AD98" s="889">
        <v>1</v>
      </c>
      <c r="AE98" s="14" t="s">
        <v>1790</v>
      </c>
      <c r="AF98" s="15" t="s">
        <v>1288</v>
      </c>
      <c r="AG98" s="14" t="s">
        <v>1794</v>
      </c>
      <c r="AH98" s="15" t="s">
        <v>856</v>
      </c>
      <c r="AI98" s="890" t="s">
        <v>1795</v>
      </c>
      <c r="AJ98" s="890" t="s">
        <v>1796</v>
      </c>
    </row>
    <row r="99" s="1" customFormat="1" ht="24" customHeight="1" spans="1:36">
      <c r="A99" s="15" t="s">
        <v>65</v>
      </c>
      <c r="B99" s="14" t="s">
        <v>640</v>
      </c>
      <c r="C99" s="14" t="s">
        <v>640</v>
      </c>
      <c r="D99" s="14" t="s">
        <v>65</v>
      </c>
      <c r="E99" s="14" t="s">
        <v>1797</v>
      </c>
      <c r="F99" s="14" t="s">
        <v>1798</v>
      </c>
      <c r="G99" s="14" t="s">
        <v>1799</v>
      </c>
      <c r="H99" s="14" t="s">
        <v>1800</v>
      </c>
      <c r="I99" s="14" t="s">
        <v>1801</v>
      </c>
      <c r="J99" s="15" t="s">
        <v>974</v>
      </c>
      <c r="K99" s="14" t="s">
        <v>850</v>
      </c>
      <c r="L99" s="14" t="s">
        <v>851</v>
      </c>
      <c r="M99" s="879">
        <v>15746</v>
      </c>
      <c r="N99" s="880" t="s">
        <v>852</v>
      </c>
      <c r="O99" s="881" t="s">
        <v>1758</v>
      </c>
      <c r="P99" s="879">
        <v>3104</v>
      </c>
      <c r="Q99" s="879">
        <v>207129.94</v>
      </c>
      <c r="R99" s="884">
        <v>66.73</v>
      </c>
      <c r="S99" s="885">
        <v>0.5405</v>
      </c>
      <c r="T99" s="884">
        <v>20.65</v>
      </c>
      <c r="U99" s="886">
        <v>4.7</v>
      </c>
      <c r="V99" s="879">
        <v>6211</v>
      </c>
      <c r="W99" s="887">
        <v>0.0409</v>
      </c>
      <c r="X99" s="879">
        <v>127</v>
      </c>
      <c r="Y99" s="888"/>
      <c r="Z99" s="15" t="s">
        <v>854</v>
      </c>
      <c r="AA99" s="15" t="s">
        <v>1802</v>
      </c>
      <c r="AB99" s="889">
        <v>2187</v>
      </c>
      <c r="AC99" s="889">
        <v>1</v>
      </c>
      <c r="AD99" s="889">
        <v>2</v>
      </c>
      <c r="AE99" s="14" t="s">
        <v>867</v>
      </c>
      <c r="AF99" s="15" t="s">
        <v>65</v>
      </c>
      <c r="AG99" s="14" t="s">
        <v>65</v>
      </c>
      <c r="AH99" s="15" t="s">
        <v>856</v>
      </c>
      <c r="AI99" s="890" t="s">
        <v>1803</v>
      </c>
      <c r="AJ99" s="890" t="s">
        <v>1804</v>
      </c>
    </row>
    <row r="100" s="1" customFormat="1" ht="24" customHeight="1" spans="1:36">
      <c r="A100" s="15" t="s">
        <v>65</v>
      </c>
      <c r="B100" s="14" t="s">
        <v>1805</v>
      </c>
      <c r="C100" s="14" t="s">
        <v>1805</v>
      </c>
      <c r="D100" s="14" t="s">
        <v>65</v>
      </c>
      <c r="E100" s="14" t="s">
        <v>1806</v>
      </c>
      <c r="F100" s="14" t="s">
        <v>1807</v>
      </c>
      <c r="G100" s="14" t="s">
        <v>1408</v>
      </c>
      <c r="H100" s="14" t="s">
        <v>1808</v>
      </c>
      <c r="I100" s="14" t="s">
        <v>1809</v>
      </c>
      <c r="J100" s="15" t="s">
        <v>974</v>
      </c>
      <c r="K100" s="14" t="s">
        <v>850</v>
      </c>
      <c r="L100" s="14" t="s">
        <v>851</v>
      </c>
      <c r="M100" s="879">
        <v>14217</v>
      </c>
      <c r="N100" s="880" t="s">
        <v>1029</v>
      </c>
      <c r="O100" s="881" t="s">
        <v>1810</v>
      </c>
      <c r="P100" s="879">
        <v>234</v>
      </c>
      <c r="Q100" s="879">
        <v>21993.66</v>
      </c>
      <c r="R100" s="884">
        <v>93.99</v>
      </c>
      <c r="S100" s="885">
        <v>0.599</v>
      </c>
      <c r="T100" s="884">
        <v>23.59</v>
      </c>
      <c r="U100" s="886">
        <v>4.5</v>
      </c>
      <c r="V100" s="879">
        <v>1506</v>
      </c>
      <c r="W100" s="887">
        <v>0</v>
      </c>
      <c r="X100" s="879">
        <v>358</v>
      </c>
      <c r="Y100" s="879">
        <v>130</v>
      </c>
      <c r="Z100" s="15" t="s">
        <v>854</v>
      </c>
      <c r="AA100" s="15" t="s">
        <v>1811</v>
      </c>
      <c r="AB100" s="889">
        <v>900</v>
      </c>
      <c r="AC100" s="889">
        <v>1</v>
      </c>
      <c r="AD100" s="889">
        <v>1</v>
      </c>
      <c r="AE100" s="14" t="s">
        <v>1032</v>
      </c>
      <c r="AF100" s="15" t="s">
        <v>65</v>
      </c>
      <c r="AG100" s="14" t="s">
        <v>1033</v>
      </c>
      <c r="AH100" s="15" t="s">
        <v>856</v>
      </c>
      <c r="AI100" s="890" t="s">
        <v>1812</v>
      </c>
      <c r="AJ100" s="890" t="s">
        <v>1813</v>
      </c>
    </row>
    <row r="101" s="1" customFormat="1" ht="24" customHeight="1" spans="1:36">
      <c r="A101" s="15" t="s">
        <v>65</v>
      </c>
      <c r="B101" s="14" t="s">
        <v>1814</v>
      </c>
      <c r="C101" s="14" t="s">
        <v>1814</v>
      </c>
      <c r="D101" s="14" t="s">
        <v>65</v>
      </c>
      <c r="E101" s="14" t="s">
        <v>1815</v>
      </c>
      <c r="F101" s="14" t="s">
        <v>1816</v>
      </c>
      <c r="G101" s="14" t="s">
        <v>1173</v>
      </c>
      <c r="H101" s="14" t="s">
        <v>1817</v>
      </c>
      <c r="I101" s="14" t="s">
        <v>1818</v>
      </c>
      <c r="J101" s="15" t="s">
        <v>974</v>
      </c>
      <c r="K101" s="14" t="s">
        <v>850</v>
      </c>
      <c r="L101" s="14" t="s">
        <v>851</v>
      </c>
      <c r="M101" s="879">
        <v>21578</v>
      </c>
      <c r="N101" s="880" t="s">
        <v>852</v>
      </c>
      <c r="O101" s="881" t="s">
        <v>1624</v>
      </c>
      <c r="P101" s="879">
        <v>577</v>
      </c>
      <c r="Q101" s="879">
        <v>35623.98</v>
      </c>
      <c r="R101" s="884">
        <v>61.74</v>
      </c>
      <c r="S101" s="885">
        <v>0.5496</v>
      </c>
      <c r="T101" s="884">
        <v>18.55</v>
      </c>
      <c r="U101" s="886">
        <v>4.6</v>
      </c>
      <c r="V101" s="879">
        <v>15252</v>
      </c>
      <c r="W101" s="887">
        <v>0.1265</v>
      </c>
      <c r="X101" s="879">
        <v>73</v>
      </c>
      <c r="Y101" s="888"/>
      <c r="Z101" s="15" t="s">
        <v>876</v>
      </c>
      <c r="AA101" s="15" t="s">
        <v>1819</v>
      </c>
      <c r="AB101" s="889">
        <v>2419</v>
      </c>
      <c r="AC101" s="889">
        <v>1</v>
      </c>
      <c r="AD101" s="889">
        <v>1</v>
      </c>
      <c r="AE101" s="14" t="s">
        <v>867</v>
      </c>
      <c r="AF101" s="15" t="s">
        <v>65</v>
      </c>
      <c r="AG101" s="14" t="s">
        <v>65</v>
      </c>
      <c r="AH101" s="15" t="s">
        <v>856</v>
      </c>
      <c r="AI101" s="890" t="s">
        <v>1820</v>
      </c>
      <c r="AJ101" s="890" t="s">
        <v>1821</v>
      </c>
    </row>
    <row r="102" s="1" customFormat="1" ht="24" customHeight="1" spans="1:36">
      <c r="A102" s="15" t="s">
        <v>65</v>
      </c>
      <c r="B102" s="14" t="s">
        <v>148</v>
      </c>
      <c r="C102" s="14" t="s">
        <v>148</v>
      </c>
      <c r="D102" s="14" t="s">
        <v>65</v>
      </c>
      <c r="E102" s="14" t="s">
        <v>1822</v>
      </c>
      <c r="F102" s="14" t="s">
        <v>1823</v>
      </c>
      <c r="G102" s="14" t="s">
        <v>1408</v>
      </c>
      <c r="H102" s="14" t="s">
        <v>1824</v>
      </c>
      <c r="I102" s="14" t="s">
        <v>1825</v>
      </c>
      <c r="J102" s="15" t="s">
        <v>974</v>
      </c>
      <c r="K102" s="14" t="s">
        <v>850</v>
      </c>
      <c r="L102" s="14" t="s">
        <v>851</v>
      </c>
      <c r="M102" s="879">
        <v>17956</v>
      </c>
      <c r="N102" s="880" t="s">
        <v>1029</v>
      </c>
      <c r="O102" s="881" t="s">
        <v>1826</v>
      </c>
      <c r="P102" s="879">
        <v>561</v>
      </c>
      <c r="Q102" s="879">
        <v>72369</v>
      </c>
      <c r="R102" s="884">
        <v>129</v>
      </c>
      <c r="S102" s="885">
        <v>0.6509</v>
      </c>
      <c r="T102" s="884">
        <v>25.69</v>
      </c>
      <c r="U102" s="886">
        <v>4.2</v>
      </c>
      <c r="V102" s="879">
        <v>7603</v>
      </c>
      <c r="W102" s="887">
        <v>0.1123</v>
      </c>
      <c r="X102" s="879">
        <v>63</v>
      </c>
      <c r="Y102" s="888"/>
      <c r="Z102" s="15" t="s">
        <v>947</v>
      </c>
      <c r="AA102" s="15" t="s">
        <v>1827</v>
      </c>
      <c r="AB102" s="889">
        <v>1092</v>
      </c>
      <c r="AC102" s="889">
        <v>1</v>
      </c>
      <c r="AD102" s="889">
        <v>1</v>
      </c>
      <c r="AE102" s="14" t="s">
        <v>65</v>
      </c>
      <c r="AF102" s="15" t="s">
        <v>65</v>
      </c>
      <c r="AG102" s="14" t="s">
        <v>65</v>
      </c>
      <c r="AH102" s="15" t="s">
        <v>856</v>
      </c>
      <c r="AI102" s="890" t="s">
        <v>1828</v>
      </c>
      <c r="AJ102" s="890" t="s">
        <v>1829</v>
      </c>
    </row>
    <row r="103" s="1" customFormat="1" ht="24" customHeight="1" spans="1:36">
      <c r="A103" s="15" t="s">
        <v>65</v>
      </c>
      <c r="B103" s="14" t="s">
        <v>1830</v>
      </c>
      <c r="C103" s="14" t="s">
        <v>1830</v>
      </c>
      <c r="D103" s="14" t="s">
        <v>65</v>
      </c>
      <c r="E103" s="14" t="s">
        <v>1831</v>
      </c>
      <c r="F103" s="14" t="s">
        <v>1832</v>
      </c>
      <c r="G103" s="14" t="s">
        <v>1833</v>
      </c>
      <c r="H103" s="14" t="s">
        <v>1834</v>
      </c>
      <c r="I103" s="14" t="s">
        <v>1835</v>
      </c>
      <c r="J103" s="15" t="s">
        <v>974</v>
      </c>
      <c r="K103" s="14" t="s">
        <v>850</v>
      </c>
      <c r="L103" s="14" t="s">
        <v>851</v>
      </c>
      <c r="M103" s="879">
        <v>20148</v>
      </c>
      <c r="N103" s="880" t="s">
        <v>852</v>
      </c>
      <c r="O103" s="881" t="s">
        <v>1836</v>
      </c>
      <c r="P103" s="879">
        <v>241</v>
      </c>
      <c r="Q103" s="879">
        <v>16867.59</v>
      </c>
      <c r="R103" s="884">
        <v>69.99</v>
      </c>
      <c r="S103" s="885">
        <v>0.537</v>
      </c>
      <c r="T103" s="884">
        <v>21.91</v>
      </c>
      <c r="U103" s="886">
        <v>4.7</v>
      </c>
      <c r="V103" s="879">
        <v>547</v>
      </c>
      <c r="W103" s="887">
        <v>0.0664</v>
      </c>
      <c r="X103" s="879">
        <v>16</v>
      </c>
      <c r="Y103" s="888"/>
      <c r="Z103" s="15" t="s">
        <v>854</v>
      </c>
      <c r="AA103" s="15" t="s">
        <v>1837</v>
      </c>
      <c r="AB103" s="889">
        <v>1153</v>
      </c>
      <c r="AC103" s="889">
        <v>1</v>
      </c>
      <c r="AD103" s="889">
        <v>1</v>
      </c>
      <c r="AE103" s="14" t="s">
        <v>1330</v>
      </c>
      <c r="AF103" s="15" t="s">
        <v>65</v>
      </c>
      <c r="AG103" s="14" t="s">
        <v>1331</v>
      </c>
      <c r="AH103" s="15" t="s">
        <v>856</v>
      </c>
      <c r="AI103" s="890" t="s">
        <v>1838</v>
      </c>
      <c r="AJ103" s="890" t="s">
        <v>1839</v>
      </c>
    </row>
    <row r="104" s="1" customFormat="1" ht="24" customHeight="1" spans="1:36">
      <c r="A104" s="15" t="s">
        <v>65</v>
      </c>
      <c r="B104" s="14" t="s">
        <v>1840</v>
      </c>
      <c r="C104" s="14" t="s">
        <v>1840</v>
      </c>
      <c r="D104" s="14" t="s">
        <v>65</v>
      </c>
      <c r="E104" s="14" t="s">
        <v>1841</v>
      </c>
      <c r="F104" s="14" t="s">
        <v>1842</v>
      </c>
      <c r="G104" s="14" t="s">
        <v>1843</v>
      </c>
      <c r="H104" s="14" t="s">
        <v>1844</v>
      </c>
      <c r="I104" s="14" t="s">
        <v>1845</v>
      </c>
      <c r="J104" s="15" t="s">
        <v>934</v>
      </c>
      <c r="K104" s="14" t="s">
        <v>1846</v>
      </c>
      <c r="L104" s="14" t="s">
        <v>851</v>
      </c>
      <c r="M104" s="879">
        <v>8604</v>
      </c>
      <c r="N104" s="880" t="s">
        <v>1847</v>
      </c>
      <c r="O104" s="881" t="s">
        <v>965</v>
      </c>
      <c r="P104" s="879">
        <v>956</v>
      </c>
      <c r="Q104" s="879">
        <v>334552.22</v>
      </c>
      <c r="R104" s="884">
        <v>279.95</v>
      </c>
      <c r="S104" s="885">
        <v>0.7634</v>
      </c>
      <c r="T104" s="884">
        <v>30.31</v>
      </c>
      <c r="U104" s="886">
        <v>4.5</v>
      </c>
      <c r="V104" s="879">
        <v>1271</v>
      </c>
      <c r="W104" s="887">
        <v>0.0617</v>
      </c>
      <c r="X104" s="879">
        <v>59</v>
      </c>
      <c r="Y104" s="888"/>
      <c r="Z104" s="15" t="s">
        <v>1098</v>
      </c>
      <c r="AA104" s="15" t="s">
        <v>1848</v>
      </c>
      <c r="AB104" s="889">
        <v>290</v>
      </c>
      <c r="AC104" s="889">
        <v>1</v>
      </c>
      <c r="AD104" s="889">
        <v>7</v>
      </c>
      <c r="AE104" s="14" t="s">
        <v>1849</v>
      </c>
      <c r="AF104" s="15" t="s">
        <v>65</v>
      </c>
      <c r="AG104" s="14" t="s">
        <v>1850</v>
      </c>
      <c r="AH104" s="15" t="s">
        <v>856</v>
      </c>
      <c r="AI104" s="890" t="s">
        <v>1851</v>
      </c>
      <c r="AJ104" s="890" t="s">
        <v>1852</v>
      </c>
    </row>
    <row r="105" s="1" customFormat="1" ht="24" customHeight="1" spans="1:36">
      <c r="A105" s="15" t="s">
        <v>65</v>
      </c>
      <c r="B105" s="14" t="s">
        <v>1853</v>
      </c>
      <c r="C105" s="14" t="s">
        <v>1853</v>
      </c>
      <c r="D105" s="14" t="s">
        <v>65</v>
      </c>
      <c r="E105" s="14" t="s">
        <v>1854</v>
      </c>
      <c r="F105" s="14" t="s">
        <v>1855</v>
      </c>
      <c r="G105" s="14" t="s">
        <v>1856</v>
      </c>
      <c r="H105" s="14" t="s">
        <v>1857</v>
      </c>
      <c r="I105" s="14" t="s">
        <v>1858</v>
      </c>
      <c r="J105" s="15" t="s">
        <v>864</v>
      </c>
      <c r="K105" s="14" t="s">
        <v>850</v>
      </c>
      <c r="L105" s="14" t="s">
        <v>851</v>
      </c>
      <c r="M105" s="879">
        <v>28125</v>
      </c>
      <c r="N105" s="880" t="s">
        <v>1859</v>
      </c>
      <c r="O105" s="881" t="s">
        <v>1860</v>
      </c>
      <c r="P105" s="879">
        <v>406</v>
      </c>
      <c r="Q105" s="879">
        <v>54805.94</v>
      </c>
      <c r="R105" s="884">
        <v>134.99</v>
      </c>
      <c r="S105" s="885">
        <v>0.6752</v>
      </c>
      <c r="T105" s="884">
        <v>23.59</v>
      </c>
      <c r="U105" s="886">
        <v>4.4</v>
      </c>
      <c r="V105" s="879">
        <v>1772</v>
      </c>
      <c r="W105" s="887">
        <v>0</v>
      </c>
      <c r="X105" s="879">
        <v>0</v>
      </c>
      <c r="Y105" s="888"/>
      <c r="Z105" s="15" t="s">
        <v>947</v>
      </c>
      <c r="AA105" s="15" t="s">
        <v>1861</v>
      </c>
      <c r="AB105" s="889">
        <v>2557</v>
      </c>
      <c r="AC105" s="889">
        <v>1</v>
      </c>
      <c r="AD105" s="889">
        <v>22</v>
      </c>
      <c r="AE105" s="14" t="s">
        <v>1862</v>
      </c>
      <c r="AF105" s="15" t="s">
        <v>1401</v>
      </c>
      <c r="AG105" s="14" t="s">
        <v>1863</v>
      </c>
      <c r="AH105" s="15" t="s">
        <v>856</v>
      </c>
      <c r="AI105" s="890" t="s">
        <v>1864</v>
      </c>
      <c r="AJ105" s="890" t="s">
        <v>1865</v>
      </c>
    </row>
    <row r="106" s="1" customFormat="1" ht="24" customHeight="1" spans="1:36">
      <c r="A106" s="15" t="s">
        <v>65</v>
      </c>
      <c r="B106" s="14" t="s">
        <v>164</v>
      </c>
      <c r="C106" s="14" t="s">
        <v>164</v>
      </c>
      <c r="D106" s="14" t="s">
        <v>65</v>
      </c>
      <c r="E106" s="14" t="s">
        <v>1866</v>
      </c>
      <c r="F106" s="14" t="s">
        <v>1867</v>
      </c>
      <c r="G106" s="14" t="s">
        <v>1868</v>
      </c>
      <c r="H106" s="14" t="s">
        <v>1869</v>
      </c>
      <c r="I106" s="14" t="s">
        <v>1870</v>
      </c>
      <c r="J106" s="15" t="s">
        <v>65</v>
      </c>
      <c r="K106" s="14" t="s">
        <v>850</v>
      </c>
      <c r="L106" s="14" t="s">
        <v>851</v>
      </c>
      <c r="M106" s="879">
        <v>10397</v>
      </c>
      <c r="N106" s="880" t="s">
        <v>852</v>
      </c>
      <c r="O106" s="881" t="s">
        <v>1871</v>
      </c>
      <c r="P106" s="879">
        <v>3836</v>
      </c>
      <c r="Q106" s="879">
        <v>22478.96</v>
      </c>
      <c r="R106" s="884">
        <v>5.86</v>
      </c>
      <c r="S106" s="885">
        <v>0.85</v>
      </c>
      <c r="T106" s="896"/>
      <c r="U106" s="886">
        <v>2</v>
      </c>
      <c r="V106" s="879">
        <v>64</v>
      </c>
      <c r="W106" s="887">
        <v>0.0102</v>
      </c>
      <c r="X106" s="879">
        <v>39</v>
      </c>
      <c r="Y106" s="879">
        <v>3</v>
      </c>
      <c r="Z106" s="15" t="s">
        <v>1098</v>
      </c>
      <c r="AA106" s="15" t="s">
        <v>1145</v>
      </c>
      <c r="AB106" s="889">
        <v>1084</v>
      </c>
      <c r="AC106" s="889">
        <v>1</v>
      </c>
      <c r="AD106" s="889">
        <v>1</v>
      </c>
      <c r="AE106" s="14" t="s">
        <v>1872</v>
      </c>
      <c r="AF106" s="15" t="s">
        <v>65</v>
      </c>
      <c r="AG106" s="14" t="s">
        <v>65</v>
      </c>
      <c r="AH106" s="15" t="s">
        <v>856</v>
      </c>
      <c r="AI106" s="890" t="s">
        <v>1403</v>
      </c>
      <c r="AJ106" s="890" t="s">
        <v>1873</v>
      </c>
    </row>
    <row r="107" s="1" customFormat="1" ht="24" customHeight="1" spans="1:36">
      <c r="A107" s="15" t="s">
        <v>65</v>
      </c>
      <c r="B107" s="14" t="s">
        <v>1874</v>
      </c>
      <c r="C107" s="14" t="s">
        <v>1874</v>
      </c>
      <c r="D107" s="14" t="s">
        <v>65</v>
      </c>
      <c r="E107" s="14" t="s">
        <v>1875</v>
      </c>
      <c r="F107" s="14" t="s">
        <v>1876</v>
      </c>
      <c r="G107" s="14" t="s">
        <v>1173</v>
      </c>
      <c r="H107" s="14" t="s">
        <v>1877</v>
      </c>
      <c r="I107" s="14" t="s">
        <v>1878</v>
      </c>
      <c r="J107" s="15" t="s">
        <v>974</v>
      </c>
      <c r="K107" s="14" t="s">
        <v>850</v>
      </c>
      <c r="L107" s="14" t="s">
        <v>851</v>
      </c>
      <c r="M107" s="879">
        <v>13985</v>
      </c>
      <c r="N107" s="880" t="s">
        <v>1201</v>
      </c>
      <c r="O107" s="881" t="s">
        <v>1879</v>
      </c>
      <c r="P107" s="879">
        <v>586</v>
      </c>
      <c r="Q107" s="879">
        <v>7694.18</v>
      </c>
      <c r="R107" s="884">
        <v>15.2</v>
      </c>
      <c r="S107" s="885">
        <v>0.2917</v>
      </c>
      <c r="T107" s="884">
        <v>7.33</v>
      </c>
      <c r="U107" s="886">
        <v>4.4</v>
      </c>
      <c r="V107" s="879">
        <v>4395</v>
      </c>
      <c r="W107" s="887">
        <v>0.0785</v>
      </c>
      <c r="X107" s="879">
        <v>46</v>
      </c>
      <c r="Y107" s="888"/>
      <c r="Z107" s="15" t="s">
        <v>1098</v>
      </c>
      <c r="AA107" s="15" t="s">
        <v>1880</v>
      </c>
      <c r="AB107" s="889">
        <v>2044</v>
      </c>
      <c r="AC107" s="889">
        <v>1</v>
      </c>
      <c r="AD107" s="889">
        <v>2</v>
      </c>
      <c r="AE107" s="14" t="s">
        <v>65</v>
      </c>
      <c r="AF107" s="15" t="s">
        <v>65</v>
      </c>
      <c r="AG107" s="14" t="s">
        <v>65</v>
      </c>
      <c r="AH107" s="15" t="s">
        <v>856</v>
      </c>
      <c r="AI107" s="890" t="s">
        <v>1881</v>
      </c>
      <c r="AJ107" s="890" t="s">
        <v>1882</v>
      </c>
    </row>
    <row r="108" s="1" customFormat="1" ht="24" customHeight="1" spans="1:36">
      <c r="A108" s="15" t="s">
        <v>65</v>
      </c>
      <c r="B108" s="14" t="s">
        <v>1883</v>
      </c>
      <c r="C108" s="14" t="s">
        <v>1883</v>
      </c>
      <c r="D108" s="14" t="s">
        <v>65</v>
      </c>
      <c r="E108" s="14" t="s">
        <v>1884</v>
      </c>
      <c r="F108" s="14" t="s">
        <v>1885</v>
      </c>
      <c r="G108" s="14" t="s">
        <v>1886</v>
      </c>
      <c r="H108" s="14" t="s">
        <v>1887</v>
      </c>
      <c r="I108" s="14" t="s">
        <v>1888</v>
      </c>
      <c r="J108" s="15" t="s">
        <v>974</v>
      </c>
      <c r="K108" s="14" t="s">
        <v>850</v>
      </c>
      <c r="L108" s="14" t="s">
        <v>851</v>
      </c>
      <c r="M108" s="879">
        <v>17516</v>
      </c>
      <c r="N108" s="880" t="s">
        <v>1889</v>
      </c>
      <c r="O108" s="881" t="s">
        <v>1890</v>
      </c>
      <c r="P108" s="879">
        <v>510</v>
      </c>
      <c r="Q108" s="879">
        <v>60894</v>
      </c>
      <c r="R108" s="884">
        <v>119.4</v>
      </c>
      <c r="S108" s="885">
        <v>0.6288</v>
      </c>
      <c r="T108" s="884">
        <v>25.69</v>
      </c>
      <c r="U108" s="886">
        <v>3.9</v>
      </c>
      <c r="V108" s="879">
        <v>199</v>
      </c>
      <c r="W108" s="887">
        <v>0.0471</v>
      </c>
      <c r="X108" s="879">
        <v>24</v>
      </c>
      <c r="Y108" s="888"/>
      <c r="Z108" s="15" t="s">
        <v>65</v>
      </c>
      <c r="AA108" s="15" t="s">
        <v>1891</v>
      </c>
      <c r="AB108" s="889">
        <v>346</v>
      </c>
      <c r="AC108" s="889">
        <v>1</v>
      </c>
      <c r="AD108" s="889">
        <v>1</v>
      </c>
      <c r="AE108" s="14" t="s">
        <v>867</v>
      </c>
      <c r="AF108" s="15" t="s">
        <v>65</v>
      </c>
      <c r="AG108" s="14" t="s">
        <v>65</v>
      </c>
      <c r="AH108" s="15" t="s">
        <v>856</v>
      </c>
      <c r="AI108" s="890" t="s">
        <v>1435</v>
      </c>
      <c r="AJ108" s="890" t="s">
        <v>1892</v>
      </c>
    </row>
    <row r="109" ht="24" customHeight="1" spans="1:36">
      <c r="A109" s="15" t="s">
        <v>65</v>
      </c>
      <c r="B109" s="14" t="s">
        <v>1893</v>
      </c>
      <c r="C109" s="14" t="s">
        <v>1893</v>
      </c>
      <c r="D109" s="14" t="s">
        <v>65</v>
      </c>
      <c r="E109" s="14" t="s">
        <v>1894</v>
      </c>
      <c r="F109" s="14" t="s">
        <v>1895</v>
      </c>
      <c r="G109" s="14" t="s">
        <v>1896</v>
      </c>
      <c r="H109" s="14" t="s">
        <v>1897</v>
      </c>
      <c r="I109" s="14" t="s">
        <v>1898</v>
      </c>
      <c r="J109" s="15" t="s">
        <v>65</v>
      </c>
      <c r="K109" s="14" t="s">
        <v>850</v>
      </c>
      <c r="L109" s="14" t="s">
        <v>65</v>
      </c>
      <c r="M109" s="879" t="s">
        <v>65</v>
      </c>
      <c r="N109" s="880" t="s">
        <v>65</v>
      </c>
      <c r="O109" s="881" t="s">
        <v>65</v>
      </c>
      <c r="P109" s="879" t="s">
        <v>65</v>
      </c>
      <c r="Q109" s="879" t="s">
        <v>65</v>
      </c>
      <c r="R109" s="884">
        <v>25.95</v>
      </c>
      <c r="S109" s="885">
        <v>0</v>
      </c>
      <c r="U109" s="886">
        <v>4.6</v>
      </c>
      <c r="V109" s="879">
        <v>2182</v>
      </c>
      <c r="W109" s="887">
        <v>0</v>
      </c>
      <c r="Z109" s="15" t="s">
        <v>947</v>
      </c>
      <c r="AB109" s="889" t="s">
        <v>65</v>
      </c>
      <c r="AC109" s="889">
        <v>1</v>
      </c>
      <c r="AD109" s="889">
        <v>3</v>
      </c>
      <c r="AE109" s="14" t="s">
        <v>1899</v>
      </c>
      <c r="AF109" s="15" t="s">
        <v>65</v>
      </c>
      <c r="AG109" s="14" t="s">
        <v>65</v>
      </c>
      <c r="AH109" s="15" t="s">
        <v>997</v>
      </c>
    </row>
    <row r="110" s="1" customFormat="1" ht="24" customHeight="1" spans="1:36">
      <c r="A110" s="15" t="s">
        <v>65</v>
      </c>
      <c r="B110" s="14" t="s">
        <v>1900</v>
      </c>
      <c r="C110" s="14" t="s">
        <v>1900</v>
      </c>
      <c r="D110" s="14" t="s">
        <v>65</v>
      </c>
      <c r="E110" s="14" t="s">
        <v>1901</v>
      </c>
      <c r="F110" s="14" t="s">
        <v>1902</v>
      </c>
      <c r="G110" s="14" t="s">
        <v>1302</v>
      </c>
      <c r="H110" s="14" t="s">
        <v>1903</v>
      </c>
      <c r="I110" s="14" t="s">
        <v>1904</v>
      </c>
      <c r="J110" s="15" t="s">
        <v>934</v>
      </c>
      <c r="K110" s="14" t="s">
        <v>850</v>
      </c>
      <c r="L110" s="14" t="s">
        <v>851</v>
      </c>
      <c r="M110" s="879">
        <v>18419</v>
      </c>
      <c r="N110" s="880" t="s">
        <v>852</v>
      </c>
      <c r="O110" s="881" t="s">
        <v>1905</v>
      </c>
      <c r="P110" s="879">
        <v>589</v>
      </c>
      <c r="Q110" s="879">
        <v>53004.11</v>
      </c>
      <c r="R110" s="884">
        <v>79.99</v>
      </c>
      <c r="S110" s="885">
        <v>0.5972</v>
      </c>
      <c r="T110" s="884">
        <v>22.75</v>
      </c>
      <c r="U110" s="886">
        <v>4.5</v>
      </c>
      <c r="V110" s="879">
        <v>7326</v>
      </c>
      <c r="W110" s="887">
        <v>0.1511</v>
      </c>
      <c r="X110" s="879">
        <v>89</v>
      </c>
      <c r="Y110" s="888"/>
      <c r="Z110" s="15" t="s">
        <v>947</v>
      </c>
      <c r="AA110" s="15" t="s">
        <v>1906</v>
      </c>
      <c r="AB110" s="889">
        <v>1077</v>
      </c>
      <c r="AC110" s="889">
        <v>1</v>
      </c>
      <c r="AD110" s="889">
        <v>1</v>
      </c>
      <c r="AE110" s="14" t="s">
        <v>1307</v>
      </c>
      <c r="AF110" s="15" t="s">
        <v>65</v>
      </c>
      <c r="AG110" s="14" t="s">
        <v>1308</v>
      </c>
      <c r="AH110" s="15" t="s">
        <v>856</v>
      </c>
      <c r="AI110" s="890" t="s">
        <v>1907</v>
      </c>
      <c r="AJ110" s="890" t="s">
        <v>1908</v>
      </c>
    </row>
    <row r="111" s="1" customFormat="1" ht="24" customHeight="1" spans="1:36">
      <c r="A111" s="15" t="s">
        <v>65</v>
      </c>
      <c r="B111" s="14" t="s">
        <v>1909</v>
      </c>
      <c r="C111" s="14" t="s">
        <v>1909</v>
      </c>
      <c r="D111" s="14" t="s">
        <v>65</v>
      </c>
      <c r="E111" s="14" t="s">
        <v>1910</v>
      </c>
      <c r="F111" s="14" t="s">
        <v>1911</v>
      </c>
      <c r="G111" s="14" t="s">
        <v>1302</v>
      </c>
      <c r="H111" s="14" t="s">
        <v>1912</v>
      </c>
      <c r="I111" s="14" t="s">
        <v>1913</v>
      </c>
      <c r="J111" s="15" t="s">
        <v>934</v>
      </c>
      <c r="K111" s="14" t="s">
        <v>850</v>
      </c>
      <c r="L111" s="14" t="s">
        <v>851</v>
      </c>
      <c r="M111" s="879">
        <v>14404</v>
      </c>
      <c r="N111" s="880" t="s">
        <v>852</v>
      </c>
      <c r="O111" s="881" t="s">
        <v>1708</v>
      </c>
      <c r="P111" s="879">
        <v>555</v>
      </c>
      <c r="Q111" s="879">
        <v>49944.45</v>
      </c>
      <c r="R111" s="884">
        <v>89.99</v>
      </c>
      <c r="S111" s="885">
        <v>0.5599</v>
      </c>
      <c r="T111" s="884">
        <v>26.11</v>
      </c>
      <c r="U111" s="886">
        <v>4.4</v>
      </c>
      <c r="V111" s="879">
        <v>5402</v>
      </c>
      <c r="W111" s="887">
        <v>0.1207</v>
      </c>
      <c r="X111" s="879">
        <v>67</v>
      </c>
      <c r="Y111" s="888"/>
      <c r="Z111" s="15" t="s">
        <v>947</v>
      </c>
      <c r="AA111" s="15" t="s">
        <v>1914</v>
      </c>
      <c r="AB111" s="889">
        <v>1061</v>
      </c>
      <c r="AC111" s="889">
        <v>1</v>
      </c>
      <c r="AD111" s="889">
        <v>1</v>
      </c>
      <c r="AE111" s="14" t="s">
        <v>1307</v>
      </c>
      <c r="AF111" s="15" t="s">
        <v>65</v>
      </c>
      <c r="AG111" s="14" t="s">
        <v>1308</v>
      </c>
      <c r="AH111" s="15" t="s">
        <v>856</v>
      </c>
      <c r="AI111" s="890" t="s">
        <v>1915</v>
      </c>
      <c r="AJ111" s="890" t="s">
        <v>1916</v>
      </c>
    </row>
    <row r="112" s="1" customFormat="1" ht="24" customHeight="1" spans="1:36">
      <c r="A112" s="15" t="s">
        <v>65</v>
      </c>
      <c r="B112" s="14" t="s">
        <v>1917</v>
      </c>
      <c r="C112" s="14" t="s">
        <v>1917</v>
      </c>
      <c r="D112" s="14" t="s">
        <v>65</v>
      </c>
      <c r="E112" s="14" t="s">
        <v>1918</v>
      </c>
      <c r="F112" s="14" t="s">
        <v>1919</v>
      </c>
      <c r="G112" s="14" t="s">
        <v>1920</v>
      </c>
      <c r="H112" s="14" t="s">
        <v>1921</v>
      </c>
      <c r="I112" s="14" t="s">
        <v>1922</v>
      </c>
      <c r="J112" s="15" t="s">
        <v>934</v>
      </c>
      <c r="K112" s="14" t="s">
        <v>850</v>
      </c>
      <c r="L112" s="14" t="s">
        <v>851</v>
      </c>
      <c r="M112" s="879">
        <v>16717</v>
      </c>
      <c r="N112" s="880" t="s">
        <v>852</v>
      </c>
      <c r="O112" s="881" t="s">
        <v>1923</v>
      </c>
      <c r="P112" s="879">
        <v>851</v>
      </c>
      <c r="Q112" s="879">
        <v>93601.484</v>
      </c>
      <c r="R112" s="884">
        <v>109.99</v>
      </c>
      <c r="S112" s="885">
        <v>0.689</v>
      </c>
      <c r="T112" s="884">
        <v>17.71</v>
      </c>
      <c r="U112" s="886">
        <v>4.5</v>
      </c>
      <c r="V112" s="879">
        <v>848</v>
      </c>
      <c r="W112" s="887">
        <v>0.027</v>
      </c>
      <c r="X112" s="879">
        <v>23</v>
      </c>
      <c r="Y112" s="888"/>
      <c r="Z112" s="15" t="s">
        <v>854</v>
      </c>
      <c r="AA112" s="15" t="s">
        <v>1924</v>
      </c>
      <c r="AB112" s="889">
        <v>638</v>
      </c>
      <c r="AC112" s="889">
        <v>1</v>
      </c>
      <c r="AD112" s="889">
        <v>1</v>
      </c>
      <c r="AE112" s="14" t="s">
        <v>1925</v>
      </c>
      <c r="AF112" s="15" t="s">
        <v>65</v>
      </c>
      <c r="AG112" s="14" t="s">
        <v>1926</v>
      </c>
      <c r="AH112" s="15" t="s">
        <v>856</v>
      </c>
      <c r="AI112" s="890" t="s">
        <v>1927</v>
      </c>
      <c r="AJ112" s="890" t="s">
        <v>1928</v>
      </c>
    </row>
    <row r="113" s="1" customFormat="1" ht="24" customHeight="1" spans="1:36">
      <c r="A113" s="15" t="s">
        <v>65</v>
      </c>
      <c r="B113" s="14" t="s">
        <v>1929</v>
      </c>
      <c r="C113" s="14" t="s">
        <v>1929</v>
      </c>
      <c r="D113" s="14" t="s">
        <v>65</v>
      </c>
      <c r="E113" s="14" t="s">
        <v>1930</v>
      </c>
      <c r="F113" s="14" t="s">
        <v>1931</v>
      </c>
      <c r="G113" s="14" t="s">
        <v>1932</v>
      </c>
      <c r="H113" s="14" t="s">
        <v>1933</v>
      </c>
      <c r="I113" s="14" t="s">
        <v>1934</v>
      </c>
      <c r="J113" s="15" t="s">
        <v>934</v>
      </c>
      <c r="K113" s="14" t="s">
        <v>850</v>
      </c>
      <c r="L113" s="14" t="s">
        <v>851</v>
      </c>
      <c r="M113" s="879">
        <v>19139</v>
      </c>
      <c r="N113" s="880" t="s">
        <v>852</v>
      </c>
      <c r="O113" s="881" t="s">
        <v>1935</v>
      </c>
      <c r="P113" s="879">
        <v>309</v>
      </c>
      <c r="Q113" s="879">
        <v>15357.3</v>
      </c>
      <c r="R113" s="884">
        <v>49.7</v>
      </c>
      <c r="S113" s="885">
        <v>0.5444</v>
      </c>
      <c r="T113" s="884">
        <v>15.19</v>
      </c>
      <c r="U113" s="886">
        <v>4.6</v>
      </c>
      <c r="V113" s="879">
        <v>1625</v>
      </c>
      <c r="W113" s="887">
        <v>0.1553</v>
      </c>
      <c r="X113" s="879">
        <v>48</v>
      </c>
      <c r="Y113" s="888"/>
      <c r="Z113" s="15" t="s">
        <v>854</v>
      </c>
      <c r="AA113" s="15" t="s">
        <v>1936</v>
      </c>
      <c r="AB113" s="889">
        <v>666</v>
      </c>
      <c r="AC113" s="889">
        <v>1</v>
      </c>
      <c r="AD113" s="889">
        <v>1</v>
      </c>
      <c r="AE113" s="14" t="s">
        <v>867</v>
      </c>
      <c r="AF113" s="15" t="s">
        <v>65</v>
      </c>
      <c r="AG113" s="14" t="s">
        <v>65</v>
      </c>
      <c r="AH113" s="15" t="s">
        <v>856</v>
      </c>
      <c r="AI113" s="890" t="s">
        <v>1937</v>
      </c>
      <c r="AJ113" s="890" t="s">
        <v>1938</v>
      </c>
    </row>
    <row r="114" s="1" customFormat="1" ht="24" customHeight="1" spans="1:36">
      <c r="A114" s="15" t="s">
        <v>65</v>
      </c>
      <c r="B114" s="14" t="s">
        <v>1939</v>
      </c>
      <c r="C114" s="14" t="s">
        <v>1939</v>
      </c>
      <c r="D114" s="14" t="s">
        <v>65</v>
      </c>
      <c r="E114" s="14" t="s">
        <v>1940</v>
      </c>
      <c r="F114" s="14" t="s">
        <v>1941</v>
      </c>
      <c r="G114" s="14" t="s">
        <v>1942</v>
      </c>
      <c r="H114" s="14" t="s">
        <v>1943</v>
      </c>
      <c r="I114" s="14" t="s">
        <v>1944</v>
      </c>
      <c r="J114" s="15" t="s">
        <v>1634</v>
      </c>
      <c r="K114" s="14" t="s">
        <v>850</v>
      </c>
      <c r="L114" s="14" t="s">
        <v>851</v>
      </c>
      <c r="M114" s="879">
        <v>24418</v>
      </c>
      <c r="N114" s="880" t="s">
        <v>852</v>
      </c>
      <c r="O114" s="881" t="s">
        <v>1945</v>
      </c>
      <c r="P114" s="879">
        <v>578</v>
      </c>
      <c r="Q114" s="879">
        <v>35830.223</v>
      </c>
      <c r="R114" s="884">
        <v>61.99</v>
      </c>
      <c r="S114" s="885">
        <v>0.4898</v>
      </c>
      <c r="T114" s="884">
        <v>22.33</v>
      </c>
      <c r="U114" s="886">
        <v>4.2</v>
      </c>
      <c r="V114" s="879">
        <v>239</v>
      </c>
      <c r="W114" s="887">
        <v>0.0848</v>
      </c>
      <c r="X114" s="879">
        <v>49</v>
      </c>
      <c r="Y114" s="888"/>
      <c r="Z114" s="15" t="s">
        <v>876</v>
      </c>
      <c r="AA114" s="15" t="s">
        <v>1946</v>
      </c>
      <c r="AB114" s="889">
        <v>230</v>
      </c>
      <c r="AC114" s="889">
        <v>1</v>
      </c>
      <c r="AD114" s="889">
        <v>1</v>
      </c>
      <c r="AE114" s="14" t="s">
        <v>1947</v>
      </c>
      <c r="AF114" s="15" t="s">
        <v>1288</v>
      </c>
      <c r="AG114" s="14" t="s">
        <v>1948</v>
      </c>
      <c r="AH114" s="15" t="s">
        <v>856</v>
      </c>
      <c r="AI114" s="890" t="s">
        <v>1949</v>
      </c>
      <c r="AJ114" s="890" t="s">
        <v>1950</v>
      </c>
    </row>
    <row r="115" s="1" customFormat="1" ht="24" customHeight="1" spans="1:36">
      <c r="A115" s="15" t="s">
        <v>65</v>
      </c>
      <c r="B115" s="14" t="s">
        <v>1951</v>
      </c>
      <c r="C115" s="14" t="s">
        <v>1951</v>
      </c>
      <c r="D115" s="14" t="s">
        <v>65</v>
      </c>
      <c r="E115" s="14" t="s">
        <v>1952</v>
      </c>
      <c r="F115" s="14" t="s">
        <v>1953</v>
      </c>
      <c r="G115" s="14" t="s">
        <v>1059</v>
      </c>
      <c r="H115" s="14" t="s">
        <v>1954</v>
      </c>
      <c r="I115" s="14" t="s">
        <v>1955</v>
      </c>
      <c r="J115" s="15" t="s">
        <v>864</v>
      </c>
      <c r="K115" s="14" t="s">
        <v>850</v>
      </c>
      <c r="L115" s="14" t="s">
        <v>851</v>
      </c>
      <c r="M115" s="879">
        <v>22603</v>
      </c>
      <c r="N115" s="880" t="s">
        <v>852</v>
      </c>
      <c r="O115" s="881" t="s">
        <v>1956</v>
      </c>
      <c r="P115" s="879">
        <v>365</v>
      </c>
      <c r="Q115" s="879">
        <v>54746.35</v>
      </c>
      <c r="R115" s="884">
        <v>149.99</v>
      </c>
      <c r="S115" s="885">
        <v>0.6479</v>
      </c>
      <c r="T115" s="884">
        <v>30.31</v>
      </c>
      <c r="U115" s="886">
        <v>4.5</v>
      </c>
      <c r="V115" s="879">
        <v>2652</v>
      </c>
      <c r="W115" s="887">
        <v>0.1288</v>
      </c>
      <c r="X115" s="879">
        <v>47</v>
      </c>
      <c r="Y115" s="888"/>
      <c r="Z115" s="15" t="s">
        <v>947</v>
      </c>
      <c r="AA115" s="15" t="s">
        <v>1957</v>
      </c>
      <c r="AB115" s="889">
        <v>930</v>
      </c>
      <c r="AC115" s="889">
        <v>1</v>
      </c>
      <c r="AD115" s="889">
        <v>9</v>
      </c>
      <c r="AE115" s="14" t="s">
        <v>867</v>
      </c>
      <c r="AF115" s="15" t="s">
        <v>65</v>
      </c>
      <c r="AG115" s="14" t="s">
        <v>65</v>
      </c>
      <c r="AH115" s="15" t="s">
        <v>856</v>
      </c>
      <c r="AI115" s="890" t="s">
        <v>1751</v>
      </c>
      <c r="AJ115" s="890" t="s">
        <v>1958</v>
      </c>
    </row>
    <row r="116" s="1" customFormat="1" ht="24" customHeight="1" spans="1:36">
      <c r="A116" s="15" t="s">
        <v>65</v>
      </c>
      <c r="B116" s="14" t="s">
        <v>1959</v>
      </c>
      <c r="C116" s="14" t="s">
        <v>1959</v>
      </c>
      <c r="D116" s="14" t="s">
        <v>65</v>
      </c>
      <c r="E116" s="14" t="s">
        <v>1960</v>
      </c>
      <c r="F116" s="14" t="s">
        <v>1961</v>
      </c>
      <c r="G116" s="14" t="s">
        <v>1059</v>
      </c>
      <c r="H116" s="14" t="s">
        <v>1962</v>
      </c>
      <c r="I116" s="14" t="s">
        <v>1963</v>
      </c>
      <c r="J116" s="15" t="s">
        <v>934</v>
      </c>
      <c r="K116" s="14" t="s">
        <v>850</v>
      </c>
      <c r="L116" s="14" t="s">
        <v>851</v>
      </c>
      <c r="M116" s="879">
        <v>12961</v>
      </c>
      <c r="N116" s="880" t="s">
        <v>852</v>
      </c>
      <c r="O116" s="881" t="s">
        <v>1964</v>
      </c>
      <c r="P116" s="879">
        <v>610</v>
      </c>
      <c r="Q116" s="879">
        <v>30493.9</v>
      </c>
      <c r="R116" s="884">
        <v>49.99</v>
      </c>
      <c r="S116" s="885">
        <v>0.5629</v>
      </c>
      <c r="T116" s="884">
        <v>14.35</v>
      </c>
      <c r="U116" s="886">
        <v>4.3</v>
      </c>
      <c r="V116" s="879">
        <v>357</v>
      </c>
      <c r="W116" s="887">
        <v>0</v>
      </c>
      <c r="X116" s="879">
        <v>0</v>
      </c>
      <c r="Y116" s="888"/>
      <c r="Z116" s="15" t="s">
        <v>876</v>
      </c>
      <c r="AA116" s="15" t="s">
        <v>1965</v>
      </c>
      <c r="AB116" s="889">
        <v>276</v>
      </c>
      <c r="AC116" s="889">
        <v>1</v>
      </c>
      <c r="AD116" s="889">
        <v>12</v>
      </c>
      <c r="AE116" s="14" t="s">
        <v>867</v>
      </c>
      <c r="AF116" s="15" t="s">
        <v>65</v>
      </c>
      <c r="AG116" s="14" t="s">
        <v>65</v>
      </c>
      <c r="AH116" s="15" t="s">
        <v>856</v>
      </c>
      <c r="AI116" s="890" t="s">
        <v>1966</v>
      </c>
      <c r="AJ116" s="890" t="s">
        <v>1967</v>
      </c>
    </row>
    <row r="117" s="1" customFormat="1" ht="24" customHeight="1" spans="1:36">
      <c r="A117" s="15" t="s">
        <v>65</v>
      </c>
      <c r="B117" s="14" t="s">
        <v>1968</v>
      </c>
      <c r="C117" s="14" t="s">
        <v>1968</v>
      </c>
      <c r="D117" s="14" t="s">
        <v>65</v>
      </c>
      <c r="E117" s="14" t="s">
        <v>1969</v>
      </c>
      <c r="F117" s="14" t="s">
        <v>1970</v>
      </c>
      <c r="G117" s="14" t="s">
        <v>1799</v>
      </c>
      <c r="H117" s="14" t="s">
        <v>1971</v>
      </c>
      <c r="I117" s="14" t="s">
        <v>1972</v>
      </c>
      <c r="J117" s="15" t="s">
        <v>974</v>
      </c>
      <c r="K117" s="14" t="s">
        <v>850</v>
      </c>
      <c r="L117" s="14" t="s">
        <v>851</v>
      </c>
      <c r="M117" s="879">
        <v>32907</v>
      </c>
      <c r="N117" s="880" t="s">
        <v>852</v>
      </c>
      <c r="O117" s="881" t="s">
        <v>1973</v>
      </c>
      <c r="P117" s="879">
        <v>216</v>
      </c>
      <c r="Q117" s="879">
        <v>12627.359</v>
      </c>
      <c r="R117" s="884">
        <v>58.46</v>
      </c>
      <c r="S117" s="885">
        <v>0.5542</v>
      </c>
      <c r="T117" s="884">
        <v>17.29</v>
      </c>
      <c r="U117" s="886">
        <v>4.6</v>
      </c>
      <c r="V117" s="879">
        <v>4355</v>
      </c>
      <c r="W117" s="887">
        <v>0.0741</v>
      </c>
      <c r="X117" s="879">
        <v>16</v>
      </c>
      <c r="Y117" s="888"/>
      <c r="Z117" s="15" t="s">
        <v>876</v>
      </c>
      <c r="AA117" s="15" t="s">
        <v>1802</v>
      </c>
      <c r="AB117" s="889">
        <v>2187</v>
      </c>
      <c r="AC117" s="889">
        <v>1</v>
      </c>
      <c r="AD117" s="889">
        <v>2</v>
      </c>
      <c r="AE117" s="14" t="s">
        <v>867</v>
      </c>
      <c r="AF117" s="15" t="s">
        <v>65</v>
      </c>
      <c r="AG117" s="14" t="s">
        <v>65</v>
      </c>
      <c r="AH117" s="15" t="s">
        <v>856</v>
      </c>
      <c r="AI117" s="890" t="s">
        <v>1974</v>
      </c>
      <c r="AJ117" s="890" t="s">
        <v>1975</v>
      </c>
    </row>
    <row r="118" s="1" customFormat="1" ht="24" customHeight="1" spans="1:36">
      <c r="A118" s="15" t="s">
        <v>65</v>
      </c>
      <c r="B118" s="14" t="s">
        <v>1976</v>
      </c>
      <c r="C118" s="14" t="s">
        <v>1976</v>
      </c>
      <c r="D118" s="14" t="s">
        <v>65</v>
      </c>
      <c r="E118" s="14" t="s">
        <v>1977</v>
      </c>
      <c r="F118" s="14" t="s">
        <v>1978</v>
      </c>
      <c r="G118" s="14" t="s">
        <v>1979</v>
      </c>
      <c r="H118" s="14" t="s">
        <v>1980</v>
      </c>
      <c r="I118" s="14" t="s">
        <v>1981</v>
      </c>
      <c r="J118" s="15" t="s">
        <v>1384</v>
      </c>
      <c r="K118" s="14" t="s">
        <v>850</v>
      </c>
      <c r="L118" s="14" t="s">
        <v>851</v>
      </c>
      <c r="M118" s="879">
        <v>24078</v>
      </c>
      <c r="N118" s="880" t="s">
        <v>852</v>
      </c>
      <c r="O118" s="881" t="s">
        <v>1982</v>
      </c>
      <c r="P118" s="879">
        <v>459</v>
      </c>
      <c r="Q118" s="879">
        <v>5411.61</v>
      </c>
      <c r="R118" s="884">
        <v>13.99</v>
      </c>
      <c r="S118" s="885">
        <v>0.392</v>
      </c>
      <c r="T118" s="884">
        <v>5.4</v>
      </c>
      <c r="U118" s="886">
        <v>4.4</v>
      </c>
      <c r="V118" s="879">
        <v>92</v>
      </c>
      <c r="W118" s="887">
        <v>0.0632</v>
      </c>
      <c r="X118" s="879">
        <v>29</v>
      </c>
      <c r="Y118" s="888"/>
      <c r="Z118" s="15" t="s">
        <v>1267</v>
      </c>
      <c r="AA118" s="15" t="s">
        <v>1983</v>
      </c>
      <c r="AB118" s="889">
        <v>153</v>
      </c>
      <c r="AC118" s="889">
        <v>1</v>
      </c>
      <c r="AD118" s="889">
        <v>1</v>
      </c>
      <c r="AE118" s="14" t="s">
        <v>1979</v>
      </c>
      <c r="AF118" s="15" t="s">
        <v>1110</v>
      </c>
      <c r="AG118" s="14" t="s">
        <v>1984</v>
      </c>
      <c r="AH118" s="15" t="s">
        <v>856</v>
      </c>
      <c r="AI118" s="890" t="s">
        <v>1985</v>
      </c>
      <c r="AJ118" s="890" t="s">
        <v>1986</v>
      </c>
    </row>
    <row r="119" s="1" customFormat="1" ht="24" customHeight="1" spans="1:36">
      <c r="A119" s="15" t="s">
        <v>65</v>
      </c>
      <c r="B119" s="14" t="s">
        <v>401</v>
      </c>
      <c r="C119" s="14" t="s">
        <v>401</v>
      </c>
      <c r="D119" s="14" t="s">
        <v>65</v>
      </c>
      <c r="E119" s="14" t="s">
        <v>1987</v>
      </c>
      <c r="F119" s="14" t="s">
        <v>1988</v>
      </c>
      <c r="G119" s="14" t="s">
        <v>1989</v>
      </c>
      <c r="H119" s="14" t="s">
        <v>1990</v>
      </c>
      <c r="I119" s="14" t="s">
        <v>1991</v>
      </c>
      <c r="J119" s="15" t="s">
        <v>934</v>
      </c>
      <c r="K119" s="14" t="s">
        <v>850</v>
      </c>
      <c r="L119" s="14" t="s">
        <v>851</v>
      </c>
      <c r="M119" s="879">
        <v>24313</v>
      </c>
      <c r="N119" s="880" t="s">
        <v>852</v>
      </c>
      <c r="O119" s="881" t="s">
        <v>1992</v>
      </c>
      <c r="P119" s="879">
        <v>490</v>
      </c>
      <c r="Q119" s="879">
        <v>112695.1</v>
      </c>
      <c r="R119" s="884">
        <v>189.99</v>
      </c>
      <c r="S119" s="885">
        <v>0.7219</v>
      </c>
      <c r="T119" s="884">
        <v>29.47</v>
      </c>
      <c r="U119" s="886">
        <v>4.3</v>
      </c>
      <c r="V119" s="879">
        <v>731</v>
      </c>
      <c r="W119" s="887">
        <v>0.1061</v>
      </c>
      <c r="X119" s="879">
        <v>52</v>
      </c>
      <c r="Y119" s="888"/>
      <c r="Z119" s="15" t="s">
        <v>947</v>
      </c>
      <c r="AA119" s="15" t="s">
        <v>914</v>
      </c>
      <c r="AB119" s="889">
        <v>605</v>
      </c>
      <c r="AC119" s="889">
        <v>1</v>
      </c>
      <c r="AD119" s="889">
        <v>2</v>
      </c>
      <c r="AE119" s="14" t="s">
        <v>1993</v>
      </c>
      <c r="AF119" s="15" t="s">
        <v>1401</v>
      </c>
      <c r="AG119" s="14" t="s">
        <v>1994</v>
      </c>
      <c r="AH119" s="15" t="s">
        <v>856</v>
      </c>
      <c r="AI119" s="890" t="s">
        <v>1644</v>
      </c>
      <c r="AJ119" s="890" t="s">
        <v>1995</v>
      </c>
    </row>
    <row r="120" s="1" customFormat="1" ht="24" customHeight="1" spans="1:36">
      <c r="A120" s="15" t="s">
        <v>65</v>
      </c>
      <c r="B120" s="14" t="s">
        <v>1996</v>
      </c>
      <c r="C120" s="14" t="s">
        <v>1996</v>
      </c>
      <c r="D120" s="14" t="s">
        <v>65</v>
      </c>
      <c r="E120" s="14" t="s">
        <v>1997</v>
      </c>
      <c r="F120" s="14" t="s">
        <v>1998</v>
      </c>
      <c r="G120" s="14" t="s">
        <v>1999</v>
      </c>
      <c r="H120" s="14" t="s">
        <v>2000</v>
      </c>
      <c r="I120" s="14" t="s">
        <v>2001</v>
      </c>
      <c r="J120" s="15" t="s">
        <v>974</v>
      </c>
      <c r="K120" s="14" t="s">
        <v>850</v>
      </c>
      <c r="L120" s="14" t="s">
        <v>851</v>
      </c>
      <c r="M120" s="879">
        <v>24510</v>
      </c>
      <c r="N120" s="880" t="s">
        <v>852</v>
      </c>
      <c r="O120" s="881" t="s">
        <v>2002</v>
      </c>
      <c r="P120" s="879">
        <v>363</v>
      </c>
      <c r="Q120" s="879">
        <v>65321.848</v>
      </c>
      <c r="R120" s="884">
        <v>179.95</v>
      </c>
      <c r="S120" s="885">
        <v>0.7212</v>
      </c>
      <c r="T120" s="884">
        <v>23.17</v>
      </c>
      <c r="U120" s="886">
        <v>4.5</v>
      </c>
      <c r="V120" s="879">
        <v>1122</v>
      </c>
      <c r="W120" s="887">
        <v>0.0771</v>
      </c>
      <c r="X120" s="879">
        <v>28</v>
      </c>
      <c r="Y120" s="888"/>
      <c r="Z120" s="15" t="s">
        <v>876</v>
      </c>
      <c r="AA120" s="15" t="s">
        <v>2003</v>
      </c>
      <c r="AB120" s="889">
        <v>664</v>
      </c>
      <c r="AC120" s="889">
        <v>1</v>
      </c>
      <c r="AD120" s="889">
        <v>4</v>
      </c>
      <c r="AE120" s="14" t="s">
        <v>65</v>
      </c>
      <c r="AF120" s="15" t="s">
        <v>65</v>
      </c>
      <c r="AG120" s="14" t="s">
        <v>65</v>
      </c>
      <c r="AH120" s="15" t="s">
        <v>856</v>
      </c>
      <c r="AI120" s="890" t="s">
        <v>2004</v>
      </c>
      <c r="AJ120" s="890" t="s">
        <v>2005</v>
      </c>
    </row>
    <row r="121" s="1" customFormat="1" ht="24" customHeight="1" spans="1:36">
      <c r="A121" s="15" t="s">
        <v>65</v>
      </c>
      <c r="B121" s="14" t="s">
        <v>2006</v>
      </c>
      <c r="C121" s="14" t="s">
        <v>2006</v>
      </c>
      <c r="D121" s="14" t="s">
        <v>65</v>
      </c>
      <c r="E121" s="14" t="s">
        <v>2007</v>
      </c>
      <c r="F121" s="14" t="s">
        <v>2008</v>
      </c>
      <c r="G121" s="14" t="s">
        <v>846</v>
      </c>
      <c r="H121" s="14" t="s">
        <v>2009</v>
      </c>
      <c r="I121" s="14" t="s">
        <v>2010</v>
      </c>
      <c r="J121" s="15" t="s">
        <v>65</v>
      </c>
      <c r="K121" s="14" t="s">
        <v>850</v>
      </c>
      <c r="L121" s="14" t="s">
        <v>851</v>
      </c>
      <c r="M121" s="879">
        <v>19467</v>
      </c>
      <c r="N121" s="880" t="s">
        <v>852</v>
      </c>
      <c r="O121" s="881" t="s">
        <v>2011</v>
      </c>
      <c r="P121" s="879">
        <v>573</v>
      </c>
      <c r="Q121" s="879">
        <v>91078.35</v>
      </c>
      <c r="R121" s="884">
        <v>158.95</v>
      </c>
      <c r="S121" s="885">
        <v>0.7016</v>
      </c>
      <c r="T121" s="884">
        <v>23.59</v>
      </c>
      <c r="U121" s="886">
        <v>4.4</v>
      </c>
      <c r="V121" s="879">
        <v>97</v>
      </c>
      <c r="W121" s="887">
        <v>0.0558</v>
      </c>
      <c r="X121" s="879">
        <v>32</v>
      </c>
      <c r="Y121" s="888"/>
      <c r="Z121" s="15" t="s">
        <v>65</v>
      </c>
      <c r="AA121" s="15" t="s">
        <v>2012</v>
      </c>
      <c r="AB121" s="889">
        <v>465</v>
      </c>
      <c r="AC121" s="889">
        <v>1</v>
      </c>
      <c r="AD121" s="889">
        <v>1</v>
      </c>
      <c r="AE121" s="14" t="s">
        <v>1609</v>
      </c>
      <c r="AF121" s="15" t="s">
        <v>65</v>
      </c>
      <c r="AG121" s="14" t="s">
        <v>1610</v>
      </c>
      <c r="AH121" s="15" t="s">
        <v>856</v>
      </c>
      <c r="AI121" s="890" t="s">
        <v>2013</v>
      </c>
      <c r="AJ121" s="890" t="s">
        <v>1612</v>
      </c>
    </row>
    <row r="122" s="1" customFormat="1" ht="24" customHeight="1" spans="1:36">
      <c r="A122" s="15" t="s">
        <v>65</v>
      </c>
      <c r="B122" s="14" t="s">
        <v>2014</v>
      </c>
      <c r="C122" s="14" t="s">
        <v>2014</v>
      </c>
      <c r="D122" s="14" t="s">
        <v>65</v>
      </c>
      <c r="E122" s="14" t="s">
        <v>2015</v>
      </c>
      <c r="F122" s="14" t="s">
        <v>2016</v>
      </c>
      <c r="G122" s="14" t="s">
        <v>2017</v>
      </c>
      <c r="H122" s="14" t="s">
        <v>2018</v>
      </c>
      <c r="I122" s="14" t="s">
        <v>2019</v>
      </c>
      <c r="J122" s="15" t="s">
        <v>974</v>
      </c>
      <c r="K122" s="14" t="s">
        <v>850</v>
      </c>
      <c r="L122" s="14" t="s">
        <v>851</v>
      </c>
      <c r="M122" s="879">
        <v>15970</v>
      </c>
      <c r="N122" s="880" t="s">
        <v>852</v>
      </c>
      <c r="O122" s="881" t="s">
        <v>2020</v>
      </c>
      <c r="P122" s="879">
        <v>236</v>
      </c>
      <c r="Q122" s="879">
        <v>14157.641</v>
      </c>
      <c r="R122" s="884">
        <v>59.99</v>
      </c>
      <c r="S122" s="885">
        <v>0.5688</v>
      </c>
      <c r="T122" s="884">
        <v>16.87</v>
      </c>
      <c r="U122" s="886">
        <v>4.5</v>
      </c>
      <c r="V122" s="879">
        <v>53</v>
      </c>
      <c r="W122" s="887">
        <v>0.2076</v>
      </c>
      <c r="X122" s="879">
        <v>49</v>
      </c>
      <c r="Y122" s="888"/>
      <c r="Z122" s="15" t="s">
        <v>1267</v>
      </c>
      <c r="AA122" s="15" t="s">
        <v>2021</v>
      </c>
      <c r="AB122" s="889">
        <v>108</v>
      </c>
      <c r="AC122" s="889">
        <v>1</v>
      </c>
      <c r="AD122" s="889">
        <v>1</v>
      </c>
      <c r="AE122" s="14" t="s">
        <v>65</v>
      </c>
      <c r="AF122" s="15" t="s">
        <v>65</v>
      </c>
      <c r="AG122" s="14" t="s">
        <v>65</v>
      </c>
      <c r="AH122" s="15" t="s">
        <v>856</v>
      </c>
      <c r="AI122" s="890" t="s">
        <v>2022</v>
      </c>
      <c r="AJ122" s="890" t="s">
        <v>2023</v>
      </c>
    </row>
    <row r="123" s="1" customFormat="1" ht="24" customHeight="1" spans="1:36">
      <c r="A123" s="15" t="s">
        <v>65</v>
      </c>
      <c r="B123" s="14" t="s">
        <v>2024</v>
      </c>
      <c r="C123" s="14" t="s">
        <v>2024</v>
      </c>
      <c r="D123" s="14" t="s">
        <v>65</v>
      </c>
      <c r="E123" s="14" t="s">
        <v>2025</v>
      </c>
      <c r="F123" s="14" t="s">
        <v>2026</v>
      </c>
      <c r="G123" s="14" t="s">
        <v>2027</v>
      </c>
      <c r="H123" s="14" t="s">
        <v>2028</v>
      </c>
      <c r="I123" s="14" t="s">
        <v>2029</v>
      </c>
      <c r="J123" s="15" t="s">
        <v>1634</v>
      </c>
      <c r="K123" s="14" t="s">
        <v>850</v>
      </c>
      <c r="L123" s="14" t="s">
        <v>851</v>
      </c>
      <c r="M123" s="879">
        <v>25735</v>
      </c>
      <c r="N123" s="880" t="s">
        <v>852</v>
      </c>
      <c r="O123" s="881" t="s">
        <v>2030</v>
      </c>
      <c r="P123" s="879">
        <v>535</v>
      </c>
      <c r="Q123" s="879">
        <v>58839.3</v>
      </c>
      <c r="R123" s="884">
        <v>109.98</v>
      </c>
      <c r="S123" s="885">
        <v>0.6813</v>
      </c>
      <c r="T123" s="884">
        <v>18.55</v>
      </c>
      <c r="U123" s="886">
        <v>4.4</v>
      </c>
      <c r="V123" s="879">
        <v>254</v>
      </c>
      <c r="W123" s="887">
        <v>0.0785</v>
      </c>
      <c r="X123" s="879">
        <v>42</v>
      </c>
      <c r="Y123" s="888"/>
      <c r="Z123" s="15" t="s">
        <v>1267</v>
      </c>
      <c r="AA123" s="15" t="s">
        <v>2031</v>
      </c>
      <c r="AB123" s="889">
        <v>239</v>
      </c>
      <c r="AC123" s="889">
        <v>1</v>
      </c>
      <c r="AD123" s="889">
        <v>1</v>
      </c>
      <c r="AE123" s="14" t="s">
        <v>2032</v>
      </c>
      <c r="AF123" s="15" t="s">
        <v>1401</v>
      </c>
      <c r="AG123" s="14" t="s">
        <v>2033</v>
      </c>
      <c r="AH123" s="15" t="s">
        <v>856</v>
      </c>
      <c r="AI123" s="890" t="s">
        <v>1005</v>
      </c>
      <c r="AJ123" s="890" t="s">
        <v>2034</v>
      </c>
    </row>
    <row r="124" s="1" customFormat="1" ht="24" customHeight="1" spans="1:36">
      <c r="A124" s="15" t="s">
        <v>65</v>
      </c>
      <c r="B124" s="14" t="s">
        <v>2035</v>
      </c>
      <c r="C124" s="14" t="s">
        <v>2035</v>
      </c>
      <c r="D124" s="14" t="s">
        <v>65</v>
      </c>
      <c r="E124" s="14" t="s">
        <v>2036</v>
      </c>
      <c r="F124" s="14" t="s">
        <v>2037</v>
      </c>
      <c r="G124" s="14" t="s">
        <v>2038</v>
      </c>
      <c r="H124" s="14" t="s">
        <v>2039</v>
      </c>
      <c r="I124" s="14" t="s">
        <v>2040</v>
      </c>
      <c r="J124" s="15" t="s">
        <v>1003</v>
      </c>
      <c r="K124" s="14" t="s">
        <v>2041</v>
      </c>
      <c r="L124" s="14" t="s">
        <v>851</v>
      </c>
      <c r="M124" s="879">
        <v>20451</v>
      </c>
      <c r="N124" s="880" t="s">
        <v>2042</v>
      </c>
      <c r="O124" s="881" t="s">
        <v>2043</v>
      </c>
      <c r="P124" s="879">
        <v>313</v>
      </c>
      <c r="Q124" s="879">
        <v>8447.87</v>
      </c>
      <c r="R124" s="884">
        <v>26.99</v>
      </c>
      <c r="S124" s="885">
        <v>0.6392</v>
      </c>
      <c r="T124" s="884">
        <v>5.69</v>
      </c>
      <c r="U124" s="886">
        <v>4.2</v>
      </c>
      <c r="V124" s="879">
        <v>569</v>
      </c>
      <c r="W124" s="887">
        <v>0.0415</v>
      </c>
      <c r="X124" s="879">
        <v>13</v>
      </c>
      <c r="Y124" s="888"/>
      <c r="Z124" s="15" t="s">
        <v>947</v>
      </c>
      <c r="AA124" s="15" t="s">
        <v>2044</v>
      </c>
      <c r="AB124" s="889">
        <v>1037</v>
      </c>
      <c r="AC124" s="889">
        <v>1</v>
      </c>
      <c r="AD124" s="889">
        <v>1</v>
      </c>
      <c r="AE124" s="14" t="s">
        <v>65</v>
      </c>
      <c r="AF124" s="15" t="s">
        <v>65</v>
      </c>
      <c r="AG124" s="14" t="s">
        <v>65</v>
      </c>
      <c r="AH124" s="15" t="s">
        <v>856</v>
      </c>
      <c r="AI124" s="890" t="s">
        <v>2045</v>
      </c>
      <c r="AJ124" s="890" t="s">
        <v>2046</v>
      </c>
    </row>
    <row r="125" s="1" customFormat="1" ht="24" customHeight="1" spans="1:36">
      <c r="A125" s="15" t="s">
        <v>65</v>
      </c>
      <c r="B125" s="14" t="s">
        <v>473</v>
      </c>
      <c r="C125" s="14" t="s">
        <v>473</v>
      </c>
      <c r="D125" s="14" t="s">
        <v>65</v>
      </c>
      <c r="E125" s="14" t="s">
        <v>2047</v>
      </c>
      <c r="F125" s="14" t="s">
        <v>2048</v>
      </c>
      <c r="G125" s="14" t="s">
        <v>1152</v>
      </c>
      <c r="H125" s="14" t="s">
        <v>2049</v>
      </c>
      <c r="I125" s="14" t="s">
        <v>2050</v>
      </c>
      <c r="J125" s="15" t="s">
        <v>934</v>
      </c>
      <c r="K125" s="14" t="s">
        <v>850</v>
      </c>
      <c r="L125" s="14" t="s">
        <v>851</v>
      </c>
      <c r="M125" s="879">
        <v>17209</v>
      </c>
      <c r="N125" s="880" t="s">
        <v>852</v>
      </c>
      <c r="O125" s="881" t="s">
        <v>2051</v>
      </c>
      <c r="P125" s="879">
        <v>691</v>
      </c>
      <c r="Q125" s="879">
        <v>55273.09</v>
      </c>
      <c r="R125" s="884">
        <v>59.99</v>
      </c>
      <c r="S125" s="885">
        <v>0.6129</v>
      </c>
      <c r="T125" s="884">
        <v>18.97</v>
      </c>
      <c r="U125" s="886">
        <v>4.7</v>
      </c>
      <c r="V125" s="879">
        <v>11019</v>
      </c>
      <c r="W125" s="887">
        <v>0.1201</v>
      </c>
      <c r="X125" s="879">
        <v>83</v>
      </c>
      <c r="Y125" s="888"/>
      <c r="Z125" s="15" t="s">
        <v>854</v>
      </c>
      <c r="AA125" s="15" t="s">
        <v>2052</v>
      </c>
      <c r="AB125" s="889">
        <v>1173</v>
      </c>
      <c r="AC125" s="889">
        <v>1</v>
      </c>
      <c r="AD125" s="889">
        <v>1</v>
      </c>
      <c r="AE125" s="14" t="s">
        <v>65</v>
      </c>
      <c r="AF125" s="15" t="s">
        <v>65</v>
      </c>
      <c r="AG125" s="14" t="s">
        <v>65</v>
      </c>
      <c r="AH125" s="15" t="s">
        <v>856</v>
      </c>
      <c r="AI125" s="890" t="s">
        <v>2053</v>
      </c>
      <c r="AJ125" s="890" t="s">
        <v>2054</v>
      </c>
    </row>
    <row r="126" s="1" customFormat="1" ht="24" customHeight="1" spans="1:36">
      <c r="A126" s="15" t="s">
        <v>65</v>
      </c>
      <c r="B126" s="14" t="s">
        <v>2055</v>
      </c>
      <c r="C126" s="14" t="s">
        <v>2055</v>
      </c>
      <c r="D126" s="14" t="s">
        <v>65</v>
      </c>
      <c r="E126" s="14" t="s">
        <v>2056</v>
      </c>
      <c r="F126" s="14" t="s">
        <v>2057</v>
      </c>
      <c r="G126" s="14" t="s">
        <v>1531</v>
      </c>
      <c r="H126" s="14" t="s">
        <v>2058</v>
      </c>
      <c r="I126" s="14" t="s">
        <v>2059</v>
      </c>
      <c r="J126" s="15" t="s">
        <v>1003</v>
      </c>
      <c r="K126" s="14" t="s">
        <v>850</v>
      </c>
      <c r="L126" s="14" t="s">
        <v>851</v>
      </c>
      <c r="M126" s="879">
        <v>29255</v>
      </c>
      <c r="N126" s="880" t="s">
        <v>852</v>
      </c>
      <c r="O126" s="881" t="s">
        <v>2060</v>
      </c>
      <c r="P126" s="879">
        <v>272</v>
      </c>
      <c r="Q126" s="879">
        <v>3261.28</v>
      </c>
      <c r="R126" s="884">
        <v>11.99</v>
      </c>
      <c r="S126" s="885">
        <v>0.5665</v>
      </c>
      <c r="T126" s="884">
        <v>3.4</v>
      </c>
      <c r="U126" s="886">
        <v>4.4</v>
      </c>
      <c r="V126" s="879">
        <v>61</v>
      </c>
      <c r="W126" s="887">
        <v>0.0404</v>
      </c>
      <c r="X126" s="879">
        <v>11</v>
      </c>
      <c r="Y126" s="888"/>
      <c r="Z126" s="15" t="s">
        <v>1267</v>
      </c>
      <c r="AA126" s="15" t="s">
        <v>2061</v>
      </c>
      <c r="AB126" s="889">
        <v>313</v>
      </c>
      <c r="AC126" s="889">
        <v>1</v>
      </c>
      <c r="AD126" s="889">
        <v>1</v>
      </c>
      <c r="AE126" s="14" t="s">
        <v>1531</v>
      </c>
      <c r="AF126" s="15" t="s">
        <v>1288</v>
      </c>
      <c r="AG126" s="14" t="s">
        <v>1537</v>
      </c>
      <c r="AH126" s="15" t="s">
        <v>856</v>
      </c>
      <c r="AI126" s="890" t="s">
        <v>2062</v>
      </c>
      <c r="AJ126" s="890" t="s">
        <v>2063</v>
      </c>
    </row>
    <row r="127" s="1" customFormat="1" ht="24" customHeight="1" spans="1:36">
      <c r="A127" s="15" t="s">
        <v>65</v>
      </c>
      <c r="B127" s="14" t="s">
        <v>2064</v>
      </c>
      <c r="C127" s="14" t="s">
        <v>2064</v>
      </c>
      <c r="D127" s="14" t="s">
        <v>65</v>
      </c>
      <c r="E127" s="14" t="s">
        <v>2065</v>
      </c>
      <c r="F127" s="14" t="s">
        <v>2066</v>
      </c>
      <c r="G127" s="14" t="s">
        <v>1173</v>
      </c>
      <c r="H127" s="14" t="s">
        <v>2067</v>
      </c>
      <c r="I127" s="14" t="s">
        <v>2068</v>
      </c>
      <c r="J127" s="15" t="s">
        <v>974</v>
      </c>
      <c r="K127" s="14" t="s">
        <v>850</v>
      </c>
      <c r="L127" s="14" t="s">
        <v>851</v>
      </c>
      <c r="M127" s="879">
        <v>25715</v>
      </c>
      <c r="N127" s="880" t="s">
        <v>852</v>
      </c>
      <c r="O127" s="881" t="s">
        <v>2069</v>
      </c>
      <c r="P127" s="879">
        <v>900</v>
      </c>
      <c r="Q127" s="879">
        <v>58446.004</v>
      </c>
      <c r="R127" s="884">
        <v>78.34</v>
      </c>
      <c r="S127" s="885">
        <v>0.5385</v>
      </c>
      <c r="T127" s="884">
        <v>20.23</v>
      </c>
      <c r="U127" s="886">
        <v>4.7</v>
      </c>
      <c r="V127" s="879">
        <v>3329</v>
      </c>
      <c r="W127" s="887">
        <v>0.0244</v>
      </c>
      <c r="X127" s="879">
        <v>22</v>
      </c>
      <c r="Y127" s="888"/>
      <c r="Z127" s="15" t="s">
        <v>876</v>
      </c>
      <c r="AA127" s="15" t="s">
        <v>2070</v>
      </c>
      <c r="AB127" s="889">
        <v>1355</v>
      </c>
      <c r="AC127" s="889">
        <v>1</v>
      </c>
      <c r="AD127" s="889">
        <v>1</v>
      </c>
      <c r="AE127" s="14" t="s">
        <v>65</v>
      </c>
      <c r="AF127" s="15" t="s">
        <v>65</v>
      </c>
      <c r="AG127" s="14" t="s">
        <v>65</v>
      </c>
      <c r="AH127" s="15" t="s">
        <v>856</v>
      </c>
      <c r="AI127" s="890" t="s">
        <v>1636</v>
      </c>
      <c r="AJ127" s="890" t="s">
        <v>2071</v>
      </c>
    </row>
    <row r="128" s="1" customFormat="1" ht="24" customHeight="1" spans="1:36">
      <c r="A128" s="15" t="s">
        <v>65</v>
      </c>
      <c r="B128" s="14" t="s">
        <v>319</v>
      </c>
      <c r="C128" s="14" t="s">
        <v>319</v>
      </c>
      <c r="D128" s="14" t="s">
        <v>65</v>
      </c>
      <c r="E128" s="14" t="s">
        <v>2072</v>
      </c>
      <c r="F128" s="14" t="s">
        <v>2073</v>
      </c>
      <c r="G128" s="14" t="s">
        <v>1026</v>
      </c>
      <c r="H128" s="14" t="s">
        <v>2074</v>
      </c>
      <c r="I128" s="14" t="s">
        <v>2075</v>
      </c>
      <c r="J128" s="15" t="s">
        <v>1003</v>
      </c>
      <c r="K128" s="14" t="s">
        <v>850</v>
      </c>
      <c r="L128" s="14" t="s">
        <v>851</v>
      </c>
      <c r="M128" s="879">
        <v>20407</v>
      </c>
      <c r="N128" s="880" t="s">
        <v>1029</v>
      </c>
      <c r="O128" s="881" t="s">
        <v>2076</v>
      </c>
      <c r="P128" s="879">
        <v>496</v>
      </c>
      <c r="Q128" s="879">
        <v>99195.04</v>
      </c>
      <c r="R128" s="884">
        <v>199.99</v>
      </c>
      <c r="S128" s="885">
        <v>0.6732</v>
      </c>
      <c r="T128" s="884">
        <v>35.35</v>
      </c>
      <c r="U128" s="886">
        <v>4.5</v>
      </c>
      <c r="V128" s="879">
        <v>3233</v>
      </c>
      <c r="W128" s="887">
        <v>0.0746</v>
      </c>
      <c r="X128" s="879">
        <v>37</v>
      </c>
      <c r="Y128" s="888"/>
      <c r="Z128" s="15" t="s">
        <v>876</v>
      </c>
      <c r="AA128" s="15" t="s">
        <v>2077</v>
      </c>
      <c r="AB128" s="889">
        <v>1252</v>
      </c>
      <c r="AC128" s="889">
        <v>1</v>
      </c>
      <c r="AD128" s="889">
        <v>1</v>
      </c>
      <c r="AE128" s="14" t="s">
        <v>1032</v>
      </c>
      <c r="AF128" s="15" t="s">
        <v>65</v>
      </c>
      <c r="AG128" s="14" t="s">
        <v>1033</v>
      </c>
      <c r="AH128" s="15" t="s">
        <v>856</v>
      </c>
      <c r="AI128" s="890" t="s">
        <v>2078</v>
      </c>
      <c r="AJ128" s="890" t="s">
        <v>2079</v>
      </c>
    </row>
    <row r="129" s="1" customFormat="1" ht="24" customHeight="1" spans="1:36">
      <c r="A129" s="15" t="s">
        <v>65</v>
      </c>
      <c r="B129" s="14" t="s">
        <v>510</v>
      </c>
      <c r="C129" s="14" t="s">
        <v>510</v>
      </c>
      <c r="D129" s="14" t="s">
        <v>65</v>
      </c>
      <c r="E129" s="14" t="s">
        <v>2080</v>
      </c>
      <c r="F129" s="14" t="s">
        <v>2081</v>
      </c>
      <c r="G129" s="14" t="s">
        <v>1238</v>
      </c>
      <c r="H129" s="14" t="s">
        <v>2082</v>
      </c>
      <c r="I129" s="14" t="s">
        <v>2083</v>
      </c>
      <c r="J129" s="15" t="s">
        <v>934</v>
      </c>
      <c r="K129" s="14" t="s">
        <v>850</v>
      </c>
      <c r="L129" s="14" t="s">
        <v>851</v>
      </c>
      <c r="M129" s="879">
        <v>15286</v>
      </c>
      <c r="N129" s="880" t="s">
        <v>852</v>
      </c>
      <c r="O129" s="881" t="s">
        <v>1935</v>
      </c>
      <c r="P129" s="879">
        <v>512</v>
      </c>
      <c r="Q129" s="879">
        <v>46074.88</v>
      </c>
      <c r="R129" s="884">
        <v>62.99</v>
      </c>
      <c r="S129" s="885">
        <v>0.6345</v>
      </c>
      <c r="T129" s="884">
        <v>19.39</v>
      </c>
      <c r="U129" s="886">
        <v>4.6</v>
      </c>
      <c r="V129" s="879">
        <v>1600</v>
      </c>
      <c r="W129" s="887">
        <v>0.0645</v>
      </c>
      <c r="X129" s="879">
        <v>33</v>
      </c>
      <c r="Y129" s="888"/>
      <c r="Z129" s="15" t="s">
        <v>876</v>
      </c>
      <c r="AA129" s="15" t="s">
        <v>966</v>
      </c>
      <c r="AB129" s="889">
        <v>937</v>
      </c>
      <c r="AC129" s="889">
        <v>1</v>
      </c>
      <c r="AD129" s="889">
        <v>14</v>
      </c>
      <c r="AE129" s="14" t="s">
        <v>867</v>
      </c>
      <c r="AF129" s="15" t="s">
        <v>65</v>
      </c>
      <c r="AG129" s="14" t="s">
        <v>65</v>
      </c>
      <c r="AH129" s="15" t="s">
        <v>856</v>
      </c>
      <c r="AI129" s="890" t="s">
        <v>2084</v>
      </c>
      <c r="AJ129" s="890" t="s">
        <v>2085</v>
      </c>
    </row>
    <row r="130" s="1" customFormat="1" ht="24" customHeight="1" spans="1:36">
      <c r="A130" s="15" t="s">
        <v>65</v>
      </c>
      <c r="B130" s="14" t="s">
        <v>2086</v>
      </c>
      <c r="C130" s="14" t="s">
        <v>2086</v>
      </c>
      <c r="D130" s="14" t="s">
        <v>65</v>
      </c>
      <c r="E130" s="14" t="s">
        <v>2087</v>
      </c>
      <c r="F130" s="14" t="s">
        <v>2088</v>
      </c>
      <c r="G130" s="14" t="s">
        <v>2089</v>
      </c>
      <c r="H130" s="14" t="s">
        <v>2090</v>
      </c>
      <c r="I130" s="14" t="s">
        <v>2091</v>
      </c>
      <c r="J130" s="15" t="s">
        <v>65</v>
      </c>
      <c r="K130" s="14" t="s">
        <v>924</v>
      </c>
      <c r="L130" s="14" t="s">
        <v>851</v>
      </c>
      <c r="M130" s="879">
        <v>41724</v>
      </c>
      <c r="N130" s="880" t="s">
        <v>1201</v>
      </c>
      <c r="O130" s="881" t="s">
        <v>2092</v>
      </c>
      <c r="P130" s="879">
        <v>19</v>
      </c>
      <c r="Q130" s="879">
        <v>455.81</v>
      </c>
      <c r="R130" s="884">
        <v>23.99</v>
      </c>
      <c r="S130" s="885">
        <v>0</v>
      </c>
      <c r="T130" s="896"/>
      <c r="U130" s="898"/>
      <c r="V130" s="888"/>
      <c r="W130" s="887">
        <v>0</v>
      </c>
      <c r="X130" s="888"/>
      <c r="Y130" s="888"/>
      <c r="Z130" s="15" t="s">
        <v>65</v>
      </c>
      <c r="AA130" s="15" t="s">
        <v>2093</v>
      </c>
      <c r="AB130" s="889">
        <v>40</v>
      </c>
      <c r="AC130" s="889">
        <v>1</v>
      </c>
      <c r="AD130" s="889">
        <v>1</v>
      </c>
      <c r="AE130" s="14" t="s">
        <v>2089</v>
      </c>
      <c r="AF130" s="15" t="s">
        <v>1288</v>
      </c>
      <c r="AG130" s="14" t="s">
        <v>2094</v>
      </c>
      <c r="AH130" s="15" t="s">
        <v>856</v>
      </c>
      <c r="AI130" s="890" t="s">
        <v>2095</v>
      </c>
      <c r="AJ130" s="890" t="s">
        <v>2096</v>
      </c>
    </row>
    <row r="131" s="1" customFormat="1" ht="24" customHeight="1" spans="1:36">
      <c r="A131" s="15" t="s">
        <v>65</v>
      </c>
      <c r="B131" s="14" t="s">
        <v>2097</v>
      </c>
      <c r="C131" s="14" t="s">
        <v>2097</v>
      </c>
      <c r="D131" s="14" t="s">
        <v>65</v>
      </c>
      <c r="E131" s="14" t="s">
        <v>2098</v>
      </c>
      <c r="F131" s="14" t="s">
        <v>2099</v>
      </c>
      <c r="G131" s="14" t="s">
        <v>2100</v>
      </c>
      <c r="H131" s="14" t="s">
        <v>2101</v>
      </c>
      <c r="I131" s="14" t="s">
        <v>2102</v>
      </c>
      <c r="J131" s="15" t="s">
        <v>934</v>
      </c>
      <c r="K131" s="14" t="s">
        <v>850</v>
      </c>
      <c r="L131" s="14" t="s">
        <v>851</v>
      </c>
      <c r="M131" s="879">
        <v>15325</v>
      </c>
      <c r="N131" s="880" t="s">
        <v>852</v>
      </c>
      <c r="O131" s="881" t="s">
        <v>2103</v>
      </c>
      <c r="P131" s="879">
        <v>590</v>
      </c>
      <c r="Q131" s="879">
        <v>94394.1</v>
      </c>
      <c r="R131" s="884">
        <v>135.95</v>
      </c>
      <c r="S131" s="885">
        <v>0.6921</v>
      </c>
      <c r="T131" s="884">
        <v>25.27</v>
      </c>
      <c r="U131" s="886">
        <v>4.5</v>
      </c>
      <c r="V131" s="879">
        <v>1502</v>
      </c>
      <c r="W131" s="887">
        <v>0.0746</v>
      </c>
      <c r="X131" s="879">
        <v>44</v>
      </c>
      <c r="Y131" s="888"/>
      <c r="Z131" s="15" t="s">
        <v>854</v>
      </c>
      <c r="AA131" s="15" t="s">
        <v>1554</v>
      </c>
      <c r="AB131" s="889">
        <v>825</v>
      </c>
      <c r="AC131" s="889">
        <v>1</v>
      </c>
      <c r="AD131" s="889">
        <v>3</v>
      </c>
      <c r="AE131" s="14" t="s">
        <v>2104</v>
      </c>
      <c r="AF131" s="15" t="s">
        <v>1288</v>
      </c>
      <c r="AG131" s="14" t="s">
        <v>2105</v>
      </c>
      <c r="AH131" s="15" t="s">
        <v>856</v>
      </c>
      <c r="AI131" s="890" t="s">
        <v>1298</v>
      </c>
      <c r="AJ131" s="890" t="s">
        <v>2106</v>
      </c>
    </row>
    <row r="132" s="1" customFormat="1" ht="24" customHeight="1" spans="1:36">
      <c r="A132" s="15" t="s">
        <v>65</v>
      </c>
      <c r="B132" s="14" t="s">
        <v>2107</v>
      </c>
      <c r="C132" s="14" t="s">
        <v>2107</v>
      </c>
      <c r="D132" s="14" t="s">
        <v>65</v>
      </c>
      <c r="E132" s="14" t="s">
        <v>2108</v>
      </c>
      <c r="F132" s="14" t="s">
        <v>2109</v>
      </c>
      <c r="G132" s="14" t="s">
        <v>931</v>
      </c>
      <c r="H132" s="14" t="s">
        <v>2110</v>
      </c>
      <c r="I132" s="14" t="s">
        <v>2111</v>
      </c>
      <c r="J132" s="15" t="s">
        <v>934</v>
      </c>
      <c r="K132" s="14" t="s">
        <v>850</v>
      </c>
      <c r="L132" s="14" t="s">
        <v>851</v>
      </c>
      <c r="M132" s="879">
        <v>24070</v>
      </c>
      <c r="N132" s="880" t="s">
        <v>852</v>
      </c>
      <c r="O132" s="881" t="s">
        <v>1718</v>
      </c>
      <c r="P132" s="879">
        <v>439</v>
      </c>
      <c r="Q132" s="879">
        <v>25699.06</v>
      </c>
      <c r="R132" s="884">
        <v>58.5</v>
      </c>
      <c r="S132" s="885">
        <v>0.5813</v>
      </c>
      <c r="T132" s="884">
        <v>16.03</v>
      </c>
      <c r="U132" s="886">
        <v>4.5</v>
      </c>
      <c r="V132" s="879">
        <v>4338</v>
      </c>
      <c r="W132" s="887">
        <v>0.1321</v>
      </c>
      <c r="X132" s="879">
        <v>58</v>
      </c>
      <c r="Y132" s="888"/>
      <c r="Z132" s="15" t="s">
        <v>876</v>
      </c>
      <c r="AA132" s="15" t="s">
        <v>2112</v>
      </c>
      <c r="AB132" s="889">
        <v>1294</v>
      </c>
      <c r="AC132" s="889">
        <v>1</v>
      </c>
      <c r="AD132" s="889">
        <v>26</v>
      </c>
      <c r="AE132" s="14" t="s">
        <v>2113</v>
      </c>
      <c r="AF132" s="15" t="s">
        <v>1110</v>
      </c>
      <c r="AG132" s="14" t="s">
        <v>2114</v>
      </c>
      <c r="AH132" s="15" t="s">
        <v>856</v>
      </c>
      <c r="AI132" s="890" t="s">
        <v>2115</v>
      </c>
      <c r="AJ132" s="890" t="s">
        <v>2116</v>
      </c>
    </row>
    <row r="133" s="1" customFormat="1" ht="24" customHeight="1" spans="1:36">
      <c r="A133" s="15" t="s">
        <v>65</v>
      </c>
      <c r="B133" s="14" t="s">
        <v>2117</v>
      </c>
      <c r="C133" s="14" t="s">
        <v>2117</v>
      </c>
      <c r="D133" s="14" t="s">
        <v>65</v>
      </c>
      <c r="E133" s="14" t="s">
        <v>2118</v>
      </c>
      <c r="F133" s="14" t="s">
        <v>2119</v>
      </c>
      <c r="G133" s="14" t="s">
        <v>2120</v>
      </c>
      <c r="H133" s="14" t="s">
        <v>2121</v>
      </c>
      <c r="I133" s="14" t="s">
        <v>2122</v>
      </c>
      <c r="J133" s="15" t="s">
        <v>974</v>
      </c>
      <c r="K133" s="14" t="s">
        <v>850</v>
      </c>
      <c r="L133" s="14" t="s">
        <v>851</v>
      </c>
      <c r="M133" s="879">
        <v>22907</v>
      </c>
      <c r="N133" s="880" t="s">
        <v>1201</v>
      </c>
      <c r="O133" s="881" t="s">
        <v>2123</v>
      </c>
      <c r="P133" s="879">
        <v>310</v>
      </c>
      <c r="Q133" s="879">
        <v>3716.9</v>
      </c>
      <c r="R133" s="884">
        <v>11.99</v>
      </c>
      <c r="S133" s="885">
        <v>0.5665</v>
      </c>
      <c r="T133" s="884">
        <v>3.4</v>
      </c>
      <c r="U133" s="886">
        <v>4.2</v>
      </c>
      <c r="V133" s="879">
        <v>664</v>
      </c>
      <c r="W133" s="887">
        <v>0.071</v>
      </c>
      <c r="X133" s="879">
        <v>22</v>
      </c>
      <c r="Y133" s="888"/>
      <c r="Z133" s="15" t="s">
        <v>947</v>
      </c>
      <c r="AA133" s="15" t="s">
        <v>2124</v>
      </c>
      <c r="AB133" s="889">
        <v>704</v>
      </c>
      <c r="AC133" s="889">
        <v>1</v>
      </c>
      <c r="AD133" s="889">
        <v>1</v>
      </c>
      <c r="AE133" s="14" t="s">
        <v>2125</v>
      </c>
      <c r="AF133" s="15" t="s">
        <v>1288</v>
      </c>
      <c r="AG133" s="14" t="s">
        <v>2126</v>
      </c>
      <c r="AH133" s="15" t="s">
        <v>856</v>
      </c>
      <c r="AI133" s="890" t="s">
        <v>2127</v>
      </c>
      <c r="AJ133" s="890" t="s">
        <v>2128</v>
      </c>
    </row>
    <row r="134" s="1" customFormat="1" ht="24" customHeight="1" spans="1:36">
      <c r="A134" s="15" t="s">
        <v>65</v>
      </c>
      <c r="B134" s="14" t="s">
        <v>2129</v>
      </c>
      <c r="C134" s="14" t="s">
        <v>2129</v>
      </c>
      <c r="D134" s="14" t="s">
        <v>65</v>
      </c>
      <c r="E134" s="14" t="s">
        <v>2130</v>
      </c>
      <c r="F134" s="14" t="s">
        <v>2131</v>
      </c>
      <c r="G134" s="14" t="s">
        <v>1932</v>
      </c>
      <c r="H134" s="14" t="s">
        <v>2132</v>
      </c>
      <c r="I134" s="14" t="s">
        <v>2133</v>
      </c>
      <c r="J134" s="15" t="s">
        <v>934</v>
      </c>
      <c r="K134" s="14" t="s">
        <v>850</v>
      </c>
      <c r="L134" s="14" t="s">
        <v>851</v>
      </c>
      <c r="M134" s="879">
        <v>21734</v>
      </c>
      <c r="N134" s="880" t="s">
        <v>852</v>
      </c>
      <c r="O134" s="881" t="s">
        <v>2134</v>
      </c>
      <c r="P134" s="879">
        <v>462</v>
      </c>
      <c r="Q134" s="879">
        <v>18544.68</v>
      </c>
      <c r="R134" s="884">
        <v>40.14</v>
      </c>
      <c r="S134" s="885">
        <v>0.482</v>
      </c>
      <c r="T134" s="884">
        <v>14.77</v>
      </c>
      <c r="U134" s="886">
        <v>4.6</v>
      </c>
      <c r="V134" s="879">
        <v>2303</v>
      </c>
      <c r="W134" s="887">
        <v>0.1385</v>
      </c>
      <c r="X134" s="879">
        <v>64</v>
      </c>
      <c r="Y134" s="888"/>
      <c r="Z134" s="15" t="s">
        <v>876</v>
      </c>
      <c r="AA134" s="15" t="s">
        <v>2135</v>
      </c>
      <c r="AB134" s="889">
        <v>711</v>
      </c>
      <c r="AC134" s="889">
        <v>1</v>
      </c>
      <c r="AD134" s="889">
        <v>11</v>
      </c>
      <c r="AE134" s="14" t="s">
        <v>867</v>
      </c>
      <c r="AF134" s="15" t="s">
        <v>65</v>
      </c>
      <c r="AG134" s="14" t="s">
        <v>65</v>
      </c>
      <c r="AH134" s="15" t="s">
        <v>856</v>
      </c>
      <c r="AI134" s="890" t="s">
        <v>2136</v>
      </c>
      <c r="AJ134" s="890" t="s">
        <v>2137</v>
      </c>
    </row>
    <row r="135" s="1" customFormat="1" ht="24" customHeight="1" spans="1:36">
      <c r="A135" s="15" t="s">
        <v>65</v>
      </c>
      <c r="B135" s="14" t="s">
        <v>305</v>
      </c>
      <c r="C135" s="14" t="s">
        <v>305</v>
      </c>
      <c r="D135" s="14" t="s">
        <v>65</v>
      </c>
      <c r="E135" s="14" t="s">
        <v>2138</v>
      </c>
      <c r="F135" s="14" t="s">
        <v>2139</v>
      </c>
      <c r="G135" s="14" t="s">
        <v>2140</v>
      </c>
      <c r="H135" s="14" t="s">
        <v>2141</v>
      </c>
      <c r="I135" s="14" t="s">
        <v>2142</v>
      </c>
      <c r="J135" s="15" t="s">
        <v>934</v>
      </c>
      <c r="K135" s="14" t="s">
        <v>850</v>
      </c>
      <c r="L135" s="14" t="s">
        <v>851</v>
      </c>
      <c r="M135" s="879">
        <v>17330</v>
      </c>
      <c r="N135" s="880" t="s">
        <v>852</v>
      </c>
      <c r="O135" s="881" t="s">
        <v>2143</v>
      </c>
      <c r="P135" s="879">
        <v>526</v>
      </c>
      <c r="Q135" s="879">
        <v>66270.74</v>
      </c>
      <c r="R135" s="884">
        <v>149.99</v>
      </c>
      <c r="S135" s="885">
        <v>0.6594</v>
      </c>
      <c r="T135" s="884">
        <v>24.01</v>
      </c>
      <c r="U135" s="886">
        <v>4.3</v>
      </c>
      <c r="V135" s="879">
        <v>172</v>
      </c>
      <c r="W135" s="887">
        <v>0.0589</v>
      </c>
      <c r="X135" s="879">
        <v>31</v>
      </c>
      <c r="Y135" s="888"/>
      <c r="Z135" s="15" t="s">
        <v>854</v>
      </c>
      <c r="AA135" s="15" t="s">
        <v>2144</v>
      </c>
      <c r="AB135" s="889">
        <v>357</v>
      </c>
      <c r="AC135" s="889">
        <v>1</v>
      </c>
      <c r="AD135" s="889">
        <v>1</v>
      </c>
      <c r="AE135" s="14" t="s">
        <v>2140</v>
      </c>
      <c r="AF135" s="15" t="s">
        <v>1401</v>
      </c>
      <c r="AG135" s="14" t="s">
        <v>2145</v>
      </c>
      <c r="AH135" s="15" t="s">
        <v>856</v>
      </c>
      <c r="AI135" s="890" t="s">
        <v>2146</v>
      </c>
      <c r="AJ135" s="890" t="s">
        <v>2147</v>
      </c>
    </row>
    <row r="136" s="1" customFormat="1" ht="24" customHeight="1" spans="1:36">
      <c r="A136" s="15" t="s">
        <v>65</v>
      </c>
      <c r="B136" s="14" t="s">
        <v>2148</v>
      </c>
      <c r="C136" s="14" t="s">
        <v>2148</v>
      </c>
      <c r="D136" s="14" t="s">
        <v>65</v>
      </c>
      <c r="E136" s="14" t="s">
        <v>2149</v>
      </c>
      <c r="F136" s="14" t="s">
        <v>2150</v>
      </c>
      <c r="G136" s="14" t="s">
        <v>931</v>
      </c>
      <c r="H136" s="14" t="s">
        <v>2151</v>
      </c>
      <c r="I136" s="14" t="s">
        <v>2152</v>
      </c>
      <c r="J136" s="15" t="s">
        <v>65</v>
      </c>
      <c r="K136" s="14" t="s">
        <v>850</v>
      </c>
      <c r="L136" s="14" t="s">
        <v>851</v>
      </c>
      <c r="M136" s="879">
        <v>28893</v>
      </c>
      <c r="N136" s="880" t="s">
        <v>852</v>
      </c>
      <c r="O136" s="881" t="s">
        <v>2153</v>
      </c>
      <c r="P136" s="879">
        <v>89</v>
      </c>
      <c r="Q136" s="879">
        <v>3648.11</v>
      </c>
      <c r="R136" s="884">
        <v>40.99</v>
      </c>
      <c r="S136" s="885">
        <v>0.295</v>
      </c>
      <c r="T136" s="884">
        <v>22.75</v>
      </c>
      <c r="U136" s="886">
        <v>3.7</v>
      </c>
      <c r="V136" s="879">
        <v>8</v>
      </c>
      <c r="W136" s="887">
        <v>0.0112</v>
      </c>
      <c r="X136" s="879">
        <v>1</v>
      </c>
      <c r="Y136" s="888"/>
      <c r="Z136" s="15" t="s">
        <v>1098</v>
      </c>
      <c r="AA136" s="15" t="s">
        <v>2154</v>
      </c>
      <c r="AB136" s="889">
        <v>1029</v>
      </c>
      <c r="AC136" s="889">
        <v>1</v>
      </c>
      <c r="AD136" s="889">
        <v>3</v>
      </c>
      <c r="AE136" s="14" t="s">
        <v>2155</v>
      </c>
      <c r="AF136" s="15" t="s">
        <v>2156</v>
      </c>
      <c r="AG136" s="14" t="s">
        <v>2157</v>
      </c>
      <c r="AH136" s="15" t="s">
        <v>856</v>
      </c>
      <c r="AI136" s="890" t="s">
        <v>2158</v>
      </c>
      <c r="AJ136" s="890" t="s">
        <v>2159</v>
      </c>
    </row>
    <row r="137" s="1" customFormat="1" ht="24" customHeight="1" spans="1:36">
      <c r="A137" s="15" t="s">
        <v>65</v>
      </c>
      <c r="B137" s="14" t="s">
        <v>2160</v>
      </c>
      <c r="C137" s="14" t="s">
        <v>2160</v>
      </c>
      <c r="D137" s="14" t="s">
        <v>65</v>
      </c>
      <c r="E137" s="14" t="s">
        <v>2161</v>
      </c>
      <c r="F137" s="14" t="s">
        <v>2162</v>
      </c>
      <c r="G137" s="14" t="s">
        <v>861</v>
      </c>
      <c r="H137" s="14" t="s">
        <v>2163</v>
      </c>
      <c r="I137" s="14" t="s">
        <v>2164</v>
      </c>
      <c r="J137" s="15" t="s">
        <v>974</v>
      </c>
      <c r="K137" s="14" t="s">
        <v>850</v>
      </c>
      <c r="L137" s="14" t="s">
        <v>851</v>
      </c>
      <c r="M137" s="879">
        <v>19079</v>
      </c>
      <c r="N137" s="880" t="s">
        <v>852</v>
      </c>
      <c r="O137" s="881" t="s">
        <v>2165</v>
      </c>
      <c r="P137" s="879">
        <v>302</v>
      </c>
      <c r="Q137" s="879">
        <v>6390.32</v>
      </c>
      <c r="R137" s="884">
        <v>16.99</v>
      </c>
      <c r="S137" s="885">
        <v>0.548</v>
      </c>
      <c r="T137" s="884">
        <v>6.39</v>
      </c>
      <c r="U137" s="886">
        <v>4.6</v>
      </c>
      <c r="V137" s="879">
        <v>201</v>
      </c>
      <c r="W137" s="887">
        <v>0.0464</v>
      </c>
      <c r="X137" s="879">
        <v>14</v>
      </c>
      <c r="Y137" s="888"/>
      <c r="Z137" s="15" t="s">
        <v>947</v>
      </c>
      <c r="AA137" s="15" t="s">
        <v>2166</v>
      </c>
      <c r="AB137" s="889">
        <v>830</v>
      </c>
      <c r="AC137" s="889">
        <v>1</v>
      </c>
      <c r="AD137" s="889">
        <v>1</v>
      </c>
      <c r="AE137" s="14" t="s">
        <v>65</v>
      </c>
      <c r="AF137" s="15" t="s">
        <v>65</v>
      </c>
      <c r="AG137" s="14" t="s">
        <v>65</v>
      </c>
      <c r="AH137" s="15" t="s">
        <v>856</v>
      </c>
      <c r="AI137" s="890" t="s">
        <v>2167</v>
      </c>
      <c r="AJ137" s="890" t="s">
        <v>2168</v>
      </c>
    </row>
    <row r="138" s="1" customFormat="1" ht="24" customHeight="1" spans="1:36">
      <c r="A138" s="15" t="s">
        <v>65</v>
      </c>
      <c r="B138" s="14" t="s">
        <v>2169</v>
      </c>
      <c r="C138" s="14" t="s">
        <v>2169</v>
      </c>
      <c r="D138" s="14" t="s">
        <v>65</v>
      </c>
      <c r="E138" s="14" t="s">
        <v>2170</v>
      </c>
      <c r="F138" s="14" t="s">
        <v>2171</v>
      </c>
      <c r="G138" s="14" t="s">
        <v>1152</v>
      </c>
      <c r="H138" s="14" t="s">
        <v>2172</v>
      </c>
      <c r="I138" s="14" t="s">
        <v>2173</v>
      </c>
      <c r="J138" s="15" t="s">
        <v>934</v>
      </c>
      <c r="K138" s="14" t="s">
        <v>850</v>
      </c>
      <c r="L138" s="14" t="s">
        <v>851</v>
      </c>
      <c r="M138" s="879">
        <v>23804</v>
      </c>
      <c r="N138" s="880" t="s">
        <v>852</v>
      </c>
      <c r="O138" s="881" t="s">
        <v>2174</v>
      </c>
      <c r="P138" s="879">
        <v>543</v>
      </c>
      <c r="Q138" s="879">
        <v>57552.57</v>
      </c>
      <c r="R138" s="884">
        <v>105.99</v>
      </c>
      <c r="S138" s="885">
        <v>0.6156</v>
      </c>
      <c r="T138" s="884">
        <v>24.85</v>
      </c>
      <c r="U138" s="886">
        <v>4.7</v>
      </c>
      <c r="V138" s="879">
        <v>1060</v>
      </c>
      <c r="W138" s="887">
        <v>0.0792</v>
      </c>
      <c r="X138" s="879">
        <v>43</v>
      </c>
      <c r="Y138" s="888"/>
      <c r="Z138" s="15" t="s">
        <v>854</v>
      </c>
      <c r="AA138" s="15" t="s">
        <v>1099</v>
      </c>
      <c r="AB138" s="889">
        <v>535</v>
      </c>
      <c r="AC138" s="889">
        <v>1</v>
      </c>
      <c r="AD138" s="889">
        <v>1</v>
      </c>
      <c r="AE138" s="14" t="s">
        <v>1157</v>
      </c>
      <c r="AF138" s="15" t="s">
        <v>65</v>
      </c>
      <c r="AG138" s="14" t="s">
        <v>1158</v>
      </c>
      <c r="AH138" s="15" t="s">
        <v>856</v>
      </c>
      <c r="AI138" s="890" t="s">
        <v>2175</v>
      </c>
      <c r="AJ138" s="890" t="s">
        <v>2176</v>
      </c>
    </row>
    <row r="139" s="1" customFormat="1" ht="24" customHeight="1" spans="1:36">
      <c r="A139" s="15" t="s">
        <v>65</v>
      </c>
      <c r="B139" s="14" t="s">
        <v>2177</v>
      </c>
      <c r="C139" s="14" t="s">
        <v>2177</v>
      </c>
      <c r="D139" s="14" t="s">
        <v>65</v>
      </c>
      <c r="E139" s="14" t="s">
        <v>2178</v>
      </c>
      <c r="F139" s="14" t="s">
        <v>2179</v>
      </c>
      <c r="G139" s="14" t="s">
        <v>2180</v>
      </c>
      <c r="H139" s="14" t="s">
        <v>2181</v>
      </c>
      <c r="I139" s="14" t="s">
        <v>2182</v>
      </c>
      <c r="J139" s="15" t="s">
        <v>1384</v>
      </c>
      <c r="K139" s="14" t="s">
        <v>850</v>
      </c>
      <c r="L139" s="14" t="s">
        <v>851</v>
      </c>
      <c r="M139" s="879">
        <v>44755</v>
      </c>
      <c r="N139" s="880" t="s">
        <v>1201</v>
      </c>
      <c r="O139" s="881" t="s">
        <v>2183</v>
      </c>
      <c r="P139" s="879">
        <v>130</v>
      </c>
      <c r="Q139" s="879">
        <v>2208.7</v>
      </c>
      <c r="R139" s="884">
        <v>16.99</v>
      </c>
      <c r="S139" s="885">
        <v>0.4186</v>
      </c>
      <c r="T139" s="884">
        <v>7.33</v>
      </c>
      <c r="U139" s="886">
        <v>4.7</v>
      </c>
      <c r="V139" s="879">
        <v>68</v>
      </c>
      <c r="W139" s="887">
        <v>0.2231</v>
      </c>
      <c r="X139" s="879">
        <v>29</v>
      </c>
      <c r="Y139" s="888"/>
      <c r="Z139" s="15" t="s">
        <v>1267</v>
      </c>
      <c r="AA139" s="15" t="s">
        <v>2184</v>
      </c>
      <c r="AB139" s="889">
        <v>118</v>
      </c>
      <c r="AC139" s="889">
        <v>1</v>
      </c>
      <c r="AD139" s="889">
        <v>1</v>
      </c>
      <c r="AE139" s="14" t="s">
        <v>2185</v>
      </c>
      <c r="AF139" s="15" t="s">
        <v>1288</v>
      </c>
      <c r="AG139" s="14" t="s">
        <v>2186</v>
      </c>
      <c r="AH139" s="15" t="s">
        <v>856</v>
      </c>
      <c r="AI139" s="890" t="s">
        <v>2187</v>
      </c>
      <c r="AJ139" s="890" t="s">
        <v>2188</v>
      </c>
    </row>
    <row r="140" s="1" customFormat="1" ht="24" customHeight="1" spans="1:36">
      <c r="A140" s="15" t="s">
        <v>65</v>
      </c>
      <c r="B140" s="14" t="s">
        <v>2189</v>
      </c>
      <c r="C140" s="14" t="s">
        <v>2189</v>
      </c>
      <c r="D140" s="14" t="s">
        <v>65</v>
      </c>
      <c r="E140" s="14" t="s">
        <v>2190</v>
      </c>
      <c r="F140" s="14" t="s">
        <v>2191</v>
      </c>
      <c r="G140" s="14" t="s">
        <v>1247</v>
      </c>
      <c r="H140" s="14" t="s">
        <v>2192</v>
      </c>
      <c r="I140" s="14" t="s">
        <v>2193</v>
      </c>
      <c r="J140" s="15" t="s">
        <v>974</v>
      </c>
      <c r="K140" s="14" t="s">
        <v>850</v>
      </c>
      <c r="L140" s="14" t="s">
        <v>851</v>
      </c>
      <c r="M140" s="879">
        <v>19728</v>
      </c>
      <c r="N140" s="880" t="s">
        <v>852</v>
      </c>
      <c r="O140" s="881" t="s">
        <v>2194</v>
      </c>
      <c r="P140" s="879">
        <v>323</v>
      </c>
      <c r="Q140" s="879">
        <v>41986.773</v>
      </c>
      <c r="R140" s="884">
        <v>149.99</v>
      </c>
      <c r="S140" s="885">
        <v>0.7008</v>
      </c>
      <c r="T140" s="884">
        <v>19.39</v>
      </c>
      <c r="U140" s="886">
        <v>4.3</v>
      </c>
      <c r="V140" s="879">
        <v>542</v>
      </c>
      <c r="W140" s="887">
        <v>0</v>
      </c>
      <c r="X140" s="879">
        <v>380</v>
      </c>
      <c r="Y140" s="888"/>
      <c r="Z140" s="15" t="s">
        <v>65</v>
      </c>
      <c r="AA140" s="15" t="s">
        <v>1793</v>
      </c>
      <c r="AB140" s="889">
        <v>315</v>
      </c>
      <c r="AC140" s="889">
        <v>1</v>
      </c>
      <c r="AD140" s="889">
        <v>1</v>
      </c>
      <c r="AE140" s="14" t="s">
        <v>65</v>
      </c>
      <c r="AF140" s="15" t="s">
        <v>65</v>
      </c>
      <c r="AG140" s="14" t="s">
        <v>65</v>
      </c>
      <c r="AH140" s="15" t="s">
        <v>856</v>
      </c>
      <c r="AI140" s="890" t="s">
        <v>2195</v>
      </c>
      <c r="AJ140" s="890" t="s">
        <v>2196</v>
      </c>
    </row>
    <row r="141" s="1" customFormat="1" ht="24" customHeight="1" spans="1:36">
      <c r="A141" s="15" t="s">
        <v>65</v>
      </c>
      <c r="B141" s="14" t="s">
        <v>2197</v>
      </c>
      <c r="C141" s="14" t="s">
        <v>2197</v>
      </c>
      <c r="D141" s="14" t="s">
        <v>65</v>
      </c>
      <c r="E141" s="14" t="s">
        <v>2198</v>
      </c>
      <c r="F141" s="14" t="s">
        <v>2199</v>
      </c>
      <c r="G141" s="14" t="s">
        <v>931</v>
      </c>
      <c r="H141" s="14" t="s">
        <v>2200</v>
      </c>
      <c r="I141" s="14" t="s">
        <v>2201</v>
      </c>
      <c r="J141" s="15" t="s">
        <v>934</v>
      </c>
      <c r="K141" s="14" t="s">
        <v>850</v>
      </c>
      <c r="L141" s="14" t="s">
        <v>851</v>
      </c>
      <c r="M141" s="879">
        <v>24849</v>
      </c>
      <c r="N141" s="880" t="s">
        <v>852</v>
      </c>
      <c r="O141" s="881" t="s">
        <v>2202</v>
      </c>
      <c r="P141" s="879">
        <v>397</v>
      </c>
      <c r="Q141" s="879">
        <v>6903.8296</v>
      </c>
      <c r="R141" s="884">
        <v>17.39</v>
      </c>
      <c r="S141" s="885">
        <v>0.4993</v>
      </c>
      <c r="T141" s="884">
        <v>6.1</v>
      </c>
      <c r="U141" s="886">
        <v>4.4</v>
      </c>
      <c r="V141" s="879">
        <v>1958</v>
      </c>
      <c r="W141" s="887">
        <v>0.0756</v>
      </c>
      <c r="X141" s="879">
        <v>30</v>
      </c>
      <c r="Y141" s="888"/>
      <c r="Z141" s="15" t="s">
        <v>947</v>
      </c>
      <c r="AA141" s="15" t="s">
        <v>2203</v>
      </c>
      <c r="AB141" s="889">
        <v>1516</v>
      </c>
      <c r="AC141" s="889">
        <v>1</v>
      </c>
      <c r="AD141" s="889">
        <v>6</v>
      </c>
      <c r="AE141" s="14" t="s">
        <v>1515</v>
      </c>
      <c r="AF141" s="15" t="s">
        <v>65</v>
      </c>
      <c r="AG141" s="14" t="s">
        <v>65</v>
      </c>
      <c r="AH141" s="15" t="s">
        <v>1516</v>
      </c>
      <c r="AI141" s="890" t="s">
        <v>2204</v>
      </c>
      <c r="AJ141" s="890" t="s">
        <v>2205</v>
      </c>
    </row>
    <row r="142" s="1" customFormat="1" ht="24" customHeight="1" spans="1:36">
      <c r="A142" s="15" t="s">
        <v>65</v>
      </c>
      <c r="B142" s="14" t="s">
        <v>2206</v>
      </c>
      <c r="C142" s="14" t="s">
        <v>2206</v>
      </c>
      <c r="D142" s="14" t="s">
        <v>65</v>
      </c>
      <c r="E142" s="14" t="s">
        <v>2207</v>
      </c>
      <c r="F142" s="14" t="s">
        <v>2208</v>
      </c>
      <c r="G142" s="14" t="s">
        <v>1247</v>
      </c>
      <c r="H142" s="14" t="s">
        <v>2209</v>
      </c>
      <c r="I142" s="14" t="s">
        <v>2210</v>
      </c>
      <c r="J142" s="15" t="s">
        <v>974</v>
      </c>
      <c r="K142" s="14" t="s">
        <v>850</v>
      </c>
      <c r="L142" s="14" t="s">
        <v>851</v>
      </c>
      <c r="M142" s="879">
        <v>26141</v>
      </c>
      <c r="N142" s="880" t="s">
        <v>852</v>
      </c>
      <c r="O142" s="881" t="s">
        <v>1992</v>
      </c>
      <c r="P142" s="879">
        <v>690</v>
      </c>
      <c r="Q142" s="879">
        <v>117293.1</v>
      </c>
      <c r="R142" s="884">
        <v>169.99</v>
      </c>
      <c r="S142" s="885">
        <v>0.6816</v>
      </c>
      <c r="T142" s="884">
        <v>28.63</v>
      </c>
      <c r="U142" s="886">
        <v>4.5</v>
      </c>
      <c r="V142" s="879">
        <v>260</v>
      </c>
      <c r="W142" s="887">
        <v>0</v>
      </c>
      <c r="X142" s="879">
        <v>0</v>
      </c>
      <c r="Y142" s="888"/>
      <c r="Z142" s="15" t="s">
        <v>947</v>
      </c>
      <c r="AA142" s="15" t="s">
        <v>2211</v>
      </c>
      <c r="AB142" s="889">
        <v>73</v>
      </c>
      <c r="AC142" s="889">
        <v>1</v>
      </c>
      <c r="AD142" s="889">
        <v>1</v>
      </c>
      <c r="AE142" s="14" t="s">
        <v>2212</v>
      </c>
      <c r="AF142" s="15" t="s">
        <v>65</v>
      </c>
      <c r="AG142" s="14" t="s">
        <v>2213</v>
      </c>
      <c r="AH142" s="15" t="s">
        <v>856</v>
      </c>
      <c r="AI142" s="890" t="s">
        <v>2214</v>
      </c>
      <c r="AJ142" s="890" t="s">
        <v>2215</v>
      </c>
    </row>
    <row r="143" s="1" customFormat="1" ht="24" customHeight="1" spans="1:36">
      <c r="A143" s="15" t="s">
        <v>65</v>
      </c>
      <c r="B143" s="14" t="s">
        <v>2216</v>
      </c>
      <c r="C143" s="14" t="s">
        <v>2216</v>
      </c>
      <c r="D143" s="14" t="s">
        <v>65</v>
      </c>
      <c r="E143" s="14" t="s">
        <v>2217</v>
      </c>
      <c r="F143" s="14" t="s">
        <v>2218</v>
      </c>
      <c r="G143" s="14" t="s">
        <v>2219</v>
      </c>
      <c r="H143" s="14" t="s">
        <v>2220</v>
      </c>
      <c r="I143" s="14" t="s">
        <v>2221</v>
      </c>
      <c r="J143" s="15" t="s">
        <v>1003</v>
      </c>
      <c r="K143" s="14" t="s">
        <v>850</v>
      </c>
      <c r="L143" s="14" t="s">
        <v>851</v>
      </c>
      <c r="M143" s="879">
        <v>22203</v>
      </c>
      <c r="N143" s="880" t="s">
        <v>852</v>
      </c>
      <c r="O143" s="881" t="s">
        <v>2222</v>
      </c>
      <c r="P143" s="879">
        <v>209</v>
      </c>
      <c r="Q143" s="879">
        <v>3341.91</v>
      </c>
      <c r="R143" s="884">
        <v>15.99</v>
      </c>
      <c r="S143" s="885">
        <v>0.5123</v>
      </c>
      <c r="T143" s="884">
        <v>5.4</v>
      </c>
      <c r="U143" s="886">
        <v>4.3</v>
      </c>
      <c r="V143" s="879">
        <v>227</v>
      </c>
      <c r="W143" s="887">
        <v>0.0526</v>
      </c>
      <c r="X143" s="879">
        <v>11</v>
      </c>
      <c r="Y143" s="888"/>
      <c r="Z143" s="15" t="s">
        <v>854</v>
      </c>
      <c r="AA143" s="15" t="s">
        <v>2223</v>
      </c>
      <c r="AB143" s="889">
        <v>690</v>
      </c>
      <c r="AC143" s="889">
        <v>1</v>
      </c>
      <c r="AD143" s="889">
        <v>5</v>
      </c>
      <c r="AE143" s="14" t="s">
        <v>2224</v>
      </c>
      <c r="AF143" s="15" t="s">
        <v>1288</v>
      </c>
      <c r="AG143" s="14" t="s">
        <v>2225</v>
      </c>
      <c r="AH143" s="15" t="s">
        <v>856</v>
      </c>
      <c r="AI143" s="890" t="s">
        <v>1538</v>
      </c>
      <c r="AJ143" s="890" t="s">
        <v>2226</v>
      </c>
    </row>
    <row r="144" s="1" customFormat="1" ht="24" customHeight="1" spans="1:36">
      <c r="A144" s="15" t="s">
        <v>65</v>
      </c>
      <c r="B144" s="14" t="s">
        <v>2227</v>
      </c>
      <c r="C144" s="14" t="s">
        <v>2227</v>
      </c>
      <c r="D144" s="14" t="s">
        <v>65</v>
      </c>
      <c r="E144" s="14" t="s">
        <v>2228</v>
      </c>
      <c r="F144" s="14" t="s">
        <v>2229</v>
      </c>
      <c r="G144" s="14" t="s">
        <v>2230</v>
      </c>
      <c r="H144" s="14" t="s">
        <v>2231</v>
      </c>
      <c r="I144" s="14" t="s">
        <v>2232</v>
      </c>
      <c r="J144" s="15" t="s">
        <v>934</v>
      </c>
      <c r="K144" s="14" t="s">
        <v>850</v>
      </c>
      <c r="L144" s="14" t="s">
        <v>851</v>
      </c>
      <c r="M144" s="879">
        <v>27490</v>
      </c>
      <c r="N144" s="880" t="s">
        <v>1201</v>
      </c>
      <c r="O144" s="881" t="s">
        <v>2233</v>
      </c>
      <c r="P144" s="879">
        <v>268</v>
      </c>
      <c r="Q144" s="879">
        <v>2130.5999</v>
      </c>
      <c r="R144" s="884">
        <v>7.95</v>
      </c>
      <c r="S144" s="885">
        <v>0.445</v>
      </c>
      <c r="T144" s="884">
        <v>3.22</v>
      </c>
      <c r="U144" s="886">
        <v>4.6</v>
      </c>
      <c r="V144" s="879">
        <v>356</v>
      </c>
      <c r="W144" s="887">
        <v>0.1567</v>
      </c>
      <c r="X144" s="879">
        <v>42</v>
      </c>
      <c r="Y144" s="888"/>
      <c r="Z144" s="15" t="s">
        <v>947</v>
      </c>
      <c r="AA144" s="15" t="s">
        <v>2234</v>
      </c>
      <c r="AB144" s="889">
        <v>390</v>
      </c>
      <c r="AC144" s="889">
        <v>1</v>
      </c>
      <c r="AD144" s="889">
        <v>1</v>
      </c>
      <c r="AE144" s="14" t="s">
        <v>2230</v>
      </c>
      <c r="AF144" s="15" t="s">
        <v>2235</v>
      </c>
      <c r="AG144" s="14" t="s">
        <v>2236</v>
      </c>
      <c r="AH144" s="15" t="s">
        <v>856</v>
      </c>
      <c r="AI144" s="890" t="s">
        <v>2237</v>
      </c>
      <c r="AJ144" s="890" t="s">
        <v>2238</v>
      </c>
    </row>
    <row r="145" s="1" customFormat="1" ht="24" customHeight="1" spans="1:36">
      <c r="A145" s="15" t="s">
        <v>65</v>
      </c>
      <c r="B145" s="14" t="s">
        <v>2239</v>
      </c>
      <c r="C145" s="14" t="s">
        <v>2239</v>
      </c>
      <c r="D145" s="14" t="s">
        <v>65</v>
      </c>
      <c r="E145" s="14" t="s">
        <v>2240</v>
      </c>
      <c r="F145" s="14" t="s">
        <v>2241</v>
      </c>
      <c r="G145" s="14" t="s">
        <v>1173</v>
      </c>
      <c r="H145" s="14" t="s">
        <v>2242</v>
      </c>
      <c r="I145" s="14" t="s">
        <v>2243</v>
      </c>
      <c r="J145" s="15" t="s">
        <v>934</v>
      </c>
      <c r="K145" s="14" t="s">
        <v>850</v>
      </c>
      <c r="L145" s="14" t="s">
        <v>851</v>
      </c>
      <c r="M145" s="879">
        <v>23120</v>
      </c>
      <c r="N145" s="880" t="s">
        <v>852</v>
      </c>
      <c r="O145" s="881" t="s">
        <v>2244</v>
      </c>
      <c r="P145" s="879">
        <v>319</v>
      </c>
      <c r="Q145" s="879">
        <v>21315.58</v>
      </c>
      <c r="R145" s="884">
        <v>66.82</v>
      </c>
      <c r="S145" s="885">
        <v>0.5095</v>
      </c>
      <c r="T145" s="884">
        <v>22.75</v>
      </c>
      <c r="U145" s="886">
        <v>4.6</v>
      </c>
      <c r="V145" s="879">
        <v>934</v>
      </c>
      <c r="W145" s="887">
        <v>0.2163</v>
      </c>
      <c r="X145" s="879">
        <v>69</v>
      </c>
      <c r="Y145" s="888"/>
      <c r="Z145" s="15" t="s">
        <v>947</v>
      </c>
      <c r="AA145" s="15" t="s">
        <v>2245</v>
      </c>
      <c r="AB145" s="889">
        <v>767</v>
      </c>
      <c r="AC145" s="889">
        <v>1</v>
      </c>
      <c r="AD145" s="889">
        <v>1</v>
      </c>
      <c r="AE145" s="14" t="s">
        <v>867</v>
      </c>
      <c r="AF145" s="15" t="s">
        <v>65</v>
      </c>
      <c r="AG145" s="14" t="s">
        <v>65</v>
      </c>
      <c r="AH145" s="15" t="s">
        <v>856</v>
      </c>
      <c r="AI145" s="890" t="s">
        <v>2246</v>
      </c>
      <c r="AJ145" s="890" t="s">
        <v>2247</v>
      </c>
    </row>
    <row r="146" s="1" customFormat="1" ht="24" customHeight="1" spans="1:36">
      <c r="A146" s="15" t="s">
        <v>65</v>
      </c>
      <c r="B146" s="14" t="s">
        <v>2248</v>
      </c>
      <c r="C146" s="14" t="s">
        <v>2249</v>
      </c>
      <c r="D146" s="14" t="s">
        <v>2250</v>
      </c>
      <c r="E146" s="14" t="s">
        <v>2251</v>
      </c>
      <c r="F146" s="14" t="s">
        <v>2252</v>
      </c>
      <c r="G146" s="14" t="s">
        <v>2253</v>
      </c>
      <c r="H146" s="14" t="s">
        <v>2254</v>
      </c>
      <c r="I146" s="14" t="s">
        <v>2255</v>
      </c>
      <c r="J146" s="15" t="s">
        <v>934</v>
      </c>
      <c r="K146" s="14" t="s">
        <v>850</v>
      </c>
      <c r="L146" s="14" t="s">
        <v>851</v>
      </c>
      <c r="M146" s="879">
        <v>18741</v>
      </c>
      <c r="N146" s="880" t="s">
        <v>852</v>
      </c>
      <c r="O146" s="881" t="s">
        <v>2256</v>
      </c>
      <c r="P146" s="879">
        <v>367</v>
      </c>
      <c r="Q146" s="879">
        <v>46238.33</v>
      </c>
      <c r="R146" s="884">
        <v>125.99</v>
      </c>
      <c r="S146" s="885">
        <v>0.6928</v>
      </c>
      <c r="T146" s="884">
        <v>19.81</v>
      </c>
      <c r="U146" s="886">
        <v>4.3</v>
      </c>
      <c r="V146" s="879">
        <v>838</v>
      </c>
      <c r="W146" s="887">
        <v>0.1253</v>
      </c>
      <c r="X146" s="879">
        <v>46</v>
      </c>
      <c r="Y146" s="888"/>
      <c r="Z146" s="15" t="s">
        <v>947</v>
      </c>
      <c r="AA146" s="15" t="s">
        <v>2257</v>
      </c>
      <c r="AB146" s="889">
        <v>377</v>
      </c>
      <c r="AC146" s="889">
        <v>2</v>
      </c>
      <c r="AD146" s="889">
        <v>9</v>
      </c>
      <c r="AE146" s="14" t="s">
        <v>2258</v>
      </c>
      <c r="AF146" s="15" t="s">
        <v>1288</v>
      </c>
      <c r="AG146" s="14" t="s">
        <v>2259</v>
      </c>
      <c r="AH146" s="15" t="s">
        <v>997</v>
      </c>
      <c r="AI146" s="890" t="s">
        <v>2260</v>
      </c>
      <c r="AJ146" s="890" t="s">
        <v>2261</v>
      </c>
    </row>
    <row r="147" s="1" customFormat="1" ht="24" customHeight="1" spans="1:36">
      <c r="A147" s="15" t="s">
        <v>65</v>
      </c>
      <c r="B147" s="14" t="s">
        <v>2262</v>
      </c>
      <c r="C147" s="14" t="s">
        <v>2262</v>
      </c>
      <c r="D147" s="14" t="s">
        <v>65</v>
      </c>
      <c r="E147" s="14" t="s">
        <v>2263</v>
      </c>
      <c r="F147" s="14" t="s">
        <v>2264</v>
      </c>
      <c r="G147" s="14" t="s">
        <v>1069</v>
      </c>
      <c r="H147" s="14" t="s">
        <v>2265</v>
      </c>
      <c r="I147" s="14" t="s">
        <v>2266</v>
      </c>
      <c r="J147" s="15" t="s">
        <v>974</v>
      </c>
      <c r="K147" s="14" t="s">
        <v>850</v>
      </c>
      <c r="L147" s="14" t="s">
        <v>851</v>
      </c>
      <c r="M147" s="879">
        <v>21846</v>
      </c>
      <c r="N147" s="880" t="s">
        <v>852</v>
      </c>
      <c r="O147" s="881" t="s">
        <v>2267</v>
      </c>
      <c r="P147" s="879">
        <v>629</v>
      </c>
      <c r="Q147" s="879">
        <v>28518.86</v>
      </c>
      <c r="R147" s="884">
        <v>45.34</v>
      </c>
      <c r="S147" s="885">
        <v>0.5706</v>
      </c>
      <c r="T147" s="884">
        <v>12.67</v>
      </c>
      <c r="U147" s="886">
        <v>4.5</v>
      </c>
      <c r="V147" s="879">
        <v>2767</v>
      </c>
      <c r="W147" s="887">
        <v>0.1049</v>
      </c>
      <c r="X147" s="879">
        <v>66</v>
      </c>
      <c r="Y147" s="888"/>
      <c r="Z147" s="15" t="s">
        <v>876</v>
      </c>
      <c r="AA147" s="15" t="s">
        <v>2268</v>
      </c>
      <c r="AB147" s="889">
        <v>1107</v>
      </c>
      <c r="AC147" s="889">
        <v>1</v>
      </c>
      <c r="AD147" s="889">
        <v>5</v>
      </c>
      <c r="AE147" s="14" t="s">
        <v>867</v>
      </c>
      <c r="AF147" s="15" t="s">
        <v>65</v>
      </c>
      <c r="AG147" s="14" t="s">
        <v>65</v>
      </c>
      <c r="AH147" s="15" t="s">
        <v>856</v>
      </c>
      <c r="AI147" s="890" t="s">
        <v>2269</v>
      </c>
      <c r="AJ147" s="890" t="s">
        <v>1075</v>
      </c>
    </row>
    <row r="148" s="1" customFormat="1" ht="24" customHeight="1" spans="1:36">
      <c r="A148" s="15" t="s">
        <v>65</v>
      </c>
      <c r="B148" s="14" t="s">
        <v>2270</v>
      </c>
      <c r="C148" s="14" t="s">
        <v>2270</v>
      </c>
      <c r="D148" s="14" t="s">
        <v>65</v>
      </c>
      <c r="E148" s="14" t="s">
        <v>2271</v>
      </c>
      <c r="F148" s="14" t="s">
        <v>2272</v>
      </c>
      <c r="G148" s="14" t="s">
        <v>2273</v>
      </c>
      <c r="H148" s="14" t="s">
        <v>2274</v>
      </c>
      <c r="I148" s="14" t="s">
        <v>2275</v>
      </c>
      <c r="J148" s="15" t="s">
        <v>974</v>
      </c>
      <c r="K148" s="14" t="s">
        <v>924</v>
      </c>
      <c r="L148" s="14" t="s">
        <v>851</v>
      </c>
      <c r="M148" s="879">
        <v>32357</v>
      </c>
      <c r="N148" s="880" t="s">
        <v>1201</v>
      </c>
      <c r="O148" s="881" t="s">
        <v>2276</v>
      </c>
      <c r="P148" s="879">
        <v>207</v>
      </c>
      <c r="Q148" s="879">
        <v>5379.93</v>
      </c>
      <c r="R148" s="884">
        <v>25.99</v>
      </c>
      <c r="S148" s="885">
        <v>0.5372</v>
      </c>
      <c r="T148" s="884">
        <v>8.13</v>
      </c>
      <c r="U148" s="886">
        <v>4.2</v>
      </c>
      <c r="V148" s="879">
        <v>217</v>
      </c>
      <c r="W148" s="887">
        <v>0.0821</v>
      </c>
      <c r="X148" s="879">
        <v>17</v>
      </c>
      <c r="Y148" s="888"/>
      <c r="Z148" s="15" t="s">
        <v>1098</v>
      </c>
      <c r="AA148" s="15" t="s">
        <v>1782</v>
      </c>
      <c r="AB148" s="889">
        <v>292</v>
      </c>
      <c r="AC148" s="889">
        <v>1</v>
      </c>
      <c r="AD148" s="889">
        <v>1</v>
      </c>
      <c r="AE148" s="14" t="s">
        <v>2277</v>
      </c>
      <c r="AF148" s="15" t="s">
        <v>1288</v>
      </c>
      <c r="AG148" s="14" t="s">
        <v>2278</v>
      </c>
      <c r="AH148" s="15" t="s">
        <v>856</v>
      </c>
      <c r="AI148" s="890" t="s">
        <v>2279</v>
      </c>
      <c r="AJ148" s="890" t="s">
        <v>2280</v>
      </c>
    </row>
    <row r="149" s="1" customFormat="1" ht="24" customHeight="1" spans="1:36">
      <c r="A149" s="15" t="s">
        <v>65</v>
      </c>
      <c r="B149" s="14" t="s">
        <v>2281</v>
      </c>
      <c r="C149" s="14" t="s">
        <v>2281</v>
      </c>
      <c r="D149" s="14" t="s">
        <v>65</v>
      </c>
      <c r="E149" s="14" t="s">
        <v>2282</v>
      </c>
      <c r="F149" s="14" t="s">
        <v>2283</v>
      </c>
      <c r="G149" s="14" t="s">
        <v>2284</v>
      </c>
      <c r="H149" s="14" t="s">
        <v>2285</v>
      </c>
      <c r="I149" s="14" t="s">
        <v>2286</v>
      </c>
      <c r="J149" s="15" t="s">
        <v>934</v>
      </c>
      <c r="K149" s="14" t="s">
        <v>850</v>
      </c>
      <c r="L149" s="14" t="s">
        <v>851</v>
      </c>
      <c r="M149" s="879">
        <v>24280</v>
      </c>
      <c r="N149" s="880" t="s">
        <v>852</v>
      </c>
      <c r="O149" s="881" t="s">
        <v>1945</v>
      </c>
      <c r="P149" s="879">
        <v>411</v>
      </c>
      <c r="Q149" s="879">
        <v>118269.37</v>
      </c>
      <c r="R149" s="884">
        <v>287.77</v>
      </c>
      <c r="S149" s="885">
        <v>0.7505</v>
      </c>
      <c r="T149" s="884">
        <v>28.63</v>
      </c>
      <c r="U149" s="886">
        <v>4.5</v>
      </c>
      <c r="V149" s="879">
        <v>1960</v>
      </c>
      <c r="W149" s="887">
        <v>0.0706</v>
      </c>
      <c r="X149" s="879">
        <v>29</v>
      </c>
      <c r="Y149" s="888"/>
      <c r="Z149" s="15" t="s">
        <v>947</v>
      </c>
      <c r="AA149" s="15" t="s">
        <v>966</v>
      </c>
      <c r="AB149" s="889">
        <v>937</v>
      </c>
      <c r="AC149" s="889">
        <v>1</v>
      </c>
      <c r="AD149" s="889">
        <v>8</v>
      </c>
      <c r="AE149" s="14" t="s">
        <v>867</v>
      </c>
      <c r="AF149" s="15" t="s">
        <v>65</v>
      </c>
      <c r="AG149" s="14" t="s">
        <v>65</v>
      </c>
      <c r="AH149" s="15" t="s">
        <v>856</v>
      </c>
      <c r="AI149" s="890" t="s">
        <v>2287</v>
      </c>
      <c r="AJ149" s="890" t="s">
        <v>2288</v>
      </c>
    </row>
    <row r="150" s="1" customFormat="1" ht="24" customHeight="1" spans="1:36">
      <c r="A150" s="15" t="s">
        <v>65</v>
      </c>
      <c r="B150" s="14" t="s">
        <v>257</v>
      </c>
      <c r="C150" s="14" t="s">
        <v>257</v>
      </c>
      <c r="D150" s="14" t="s">
        <v>65</v>
      </c>
      <c r="E150" s="14" t="s">
        <v>2289</v>
      </c>
      <c r="F150" s="14" t="s">
        <v>2290</v>
      </c>
      <c r="G150" s="14" t="s">
        <v>861</v>
      </c>
      <c r="H150" s="14" t="s">
        <v>2291</v>
      </c>
      <c r="I150" s="14" t="s">
        <v>2292</v>
      </c>
      <c r="J150" s="15" t="s">
        <v>893</v>
      </c>
      <c r="K150" s="14" t="s">
        <v>850</v>
      </c>
      <c r="L150" s="14" t="s">
        <v>851</v>
      </c>
      <c r="M150" s="879">
        <v>17170</v>
      </c>
      <c r="N150" s="880" t="s">
        <v>1201</v>
      </c>
      <c r="O150" s="881" t="s">
        <v>2293</v>
      </c>
      <c r="P150" s="879">
        <v>16095</v>
      </c>
      <c r="Q150" s="879">
        <v>1769967.1</v>
      </c>
      <c r="R150" s="884">
        <v>129.98</v>
      </c>
      <c r="S150" s="885">
        <v>0.85</v>
      </c>
      <c r="T150" s="896"/>
      <c r="U150" s="886">
        <v>5</v>
      </c>
      <c r="V150" s="879">
        <v>10</v>
      </c>
      <c r="W150" s="887">
        <v>0</v>
      </c>
      <c r="X150" s="879">
        <v>0</v>
      </c>
      <c r="Y150" s="888"/>
      <c r="Z150" s="15" t="s">
        <v>65</v>
      </c>
      <c r="AA150" s="15" t="s">
        <v>2294</v>
      </c>
      <c r="AB150" s="889">
        <v>482</v>
      </c>
      <c r="AC150" s="889">
        <v>1</v>
      </c>
      <c r="AD150" s="889">
        <v>1</v>
      </c>
      <c r="AE150" s="14" t="s">
        <v>867</v>
      </c>
      <c r="AF150" s="15" t="s">
        <v>65</v>
      </c>
      <c r="AG150" s="14" t="s">
        <v>65</v>
      </c>
      <c r="AH150" s="15" t="s">
        <v>856</v>
      </c>
      <c r="AI150" s="890" t="s">
        <v>2295</v>
      </c>
      <c r="AJ150" s="890" t="s">
        <v>2296</v>
      </c>
    </row>
    <row r="151" s="1" customFormat="1" ht="24" customHeight="1" spans="1:36">
      <c r="A151" s="15" t="s">
        <v>65</v>
      </c>
      <c r="B151" s="14" t="s">
        <v>2297</v>
      </c>
      <c r="C151" s="14" t="s">
        <v>2297</v>
      </c>
      <c r="D151" s="14" t="s">
        <v>65</v>
      </c>
      <c r="E151" s="14" t="s">
        <v>2298</v>
      </c>
      <c r="F151" s="14" t="s">
        <v>2299</v>
      </c>
      <c r="G151" s="14" t="s">
        <v>1189</v>
      </c>
      <c r="H151" s="14" t="s">
        <v>2300</v>
      </c>
      <c r="I151" s="14" t="s">
        <v>2301</v>
      </c>
      <c r="J151" s="15" t="s">
        <v>934</v>
      </c>
      <c r="K151" s="14" t="s">
        <v>850</v>
      </c>
      <c r="L151" s="14" t="s">
        <v>851</v>
      </c>
      <c r="M151" s="879">
        <v>40911</v>
      </c>
      <c r="N151" s="880" t="s">
        <v>852</v>
      </c>
      <c r="O151" s="881" t="s">
        <v>2302</v>
      </c>
      <c r="P151" s="879">
        <v>184</v>
      </c>
      <c r="Q151" s="879">
        <v>16190.159</v>
      </c>
      <c r="R151" s="884">
        <v>87.99</v>
      </c>
      <c r="S151" s="885">
        <v>0.6296</v>
      </c>
      <c r="T151" s="884">
        <v>19.39</v>
      </c>
      <c r="U151" s="886">
        <v>4.6</v>
      </c>
      <c r="V151" s="879">
        <v>328</v>
      </c>
      <c r="W151" s="887">
        <v>0.0543</v>
      </c>
      <c r="X151" s="879">
        <v>10</v>
      </c>
      <c r="Y151" s="888"/>
      <c r="Z151" s="15" t="s">
        <v>876</v>
      </c>
      <c r="AA151" s="15" t="s">
        <v>2303</v>
      </c>
      <c r="AB151" s="889">
        <v>1124</v>
      </c>
      <c r="AC151" s="889">
        <v>1</v>
      </c>
      <c r="AD151" s="889">
        <v>8</v>
      </c>
      <c r="AE151" s="14" t="s">
        <v>867</v>
      </c>
      <c r="AF151" s="15" t="s">
        <v>65</v>
      </c>
      <c r="AG151" s="14" t="s">
        <v>65</v>
      </c>
      <c r="AH151" s="15" t="s">
        <v>856</v>
      </c>
      <c r="AI151" s="890" t="s">
        <v>1636</v>
      </c>
      <c r="AJ151" s="890" t="s">
        <v>2304</v>
      </c>
    </row>
    <row r="152" s="1" customFormat="1" ht="24" customHeight="1" spans="1:36">
      <c r="A152" s="15" t="s">
        <v>65</v>
      </c>
      <c r="B152" s="14" t="s">
        <v>2305</v>
      </c>
      <c r="C152" s="14" t="s">
        <v>2305</v>
      </c>
      <c r="D152" s="14" t="s">
        <v>65</v>
      </c>
      <c r="E152" s="14" t="s">
        <v>2306</v>
      </c>
      <c r="F152" s="14" t="s">
        <v>2307</v>
      </c>
      <c r="G152" s="14" t="s">
        <v>920</v>
      </c>
      <c r="H152" s="14" t="s">
        <v>2308</v>
      </c>
      <c r="I152" s="14" t="s">
        <v>2309</v>
      </c>
      <c r="J152" s="15" t="s">
        <v>934</v>
      </c>
      <c r="K152" s="14" t="s">
        <v>850</v>
      </c>
      <c r="L152" s="14" t="s">
        <v>851</v>
      </c>
      <c r="M152" s="879">
        <v>32473</v>
      </c>
      <c r="N152" s="880" t="s">
        <v>895</v>
      </c>
      <c r="O152" s="881" t="s">
        <v>2310</v>
      </c>
      <c r="P152" s="879">
        <v>290</v>
      </c>
      <c r="Q152" s="879">
        <v>8697.1</v>
      </c>
      <c r="R152" s="884">
        <v>29.99</v>
      </c>
      <c r="S152" s="885">
        <v>0.6466</v>
      </c>
      <c r="T152" s="884">
        <v>6.1</v>
      </c>
      <c r="U152" s="886">
        <v>4.4</v>
      </c>
      <c r="V152" s="879">
        <v>997</v>
      </c>
      <c r="W152" s="887">
        <v>0.2172</v>
      </c>
      <c r="X152" s="879">
        <v>63</v>
      </c>
      <c r="Y152" s="888"/>
      <c r="Z152" s="15" t="s">
        <v>1098</v>
      </c>
      <c r="AA152" s="15" t="s">
        <v>2311</v>
      </c>
      <c r="AB152" s="889">
        <v>389</v>
      </c>
      <c r="AC152" s="889">
        <v>1</v>
      </c>
      <c r="AD152" s="889">
        <v>1</v>
      </c>
      <c r="AE152" s="14" t="s">
        <v>65</v>
      </c>
      <c r="AF152" s="15" t="s">
        <v>65</v>
      </c>
      <c r="AG152" s="14" t="s">
        <v>65</v>
      </c>
      <c r="AH152" s="15" t="s">
        <v>856</v>
      </c>
      <c r="AI152" s="890" t="s">
        <v>2312</v>
      </c>
      <c r="AJ152" s="890" t="s">
        <v>2313</v>
      </c>
    </row>
    <row r="153" s="1" customFormat="1" ht="24" customHeight="1" spans="1:36">
      <c r="A153" s="15" t="s">
        <v>65</v>
      </c>
      <c r="B153" s="14" t="s">
        <v>2314</v>
      </c>
      <c r="C153" s="14" t="s">
        <v>2314</v>
      </c>
      <c r="D153" s="14" t="s">
        <v>65</v>
      </c>
      <c r="E153" s="14" t="s">
        <v>2315</v>
      </c>
      <c r="F153" s="14" t="s">
        <v>2316</v>
      </c>
      <c r="G153" s="14" t="s">
        <v>1209</v>
      </c>
      <c r="H153" s="14" t="s">
        <v>2317</v>
      </c>
      <c r="I153" s="14" t="s">
        <v>2318</v>
      </c>
      <c r="J153" s="15" t="s">
        <v>65</v>
      </c>
      <c r="K153" s="14" t="s">
        <v>2041</v>
      </c>
      <c r="L153" s="14" t="s">
        <v>851</v>
      </c>
      <c r="M153" s="879">
        <v>21008</v>
      </c>
      <c r="N153" s="880" t="s">
        <v>2042</v>
      </c>
      <c r="O153" s="881" t="s">
        <v>2319</v>
      </c>
      <c r="P153" s="879">
        <v>303</v>
      </c>
      <c r="Q153" s="879">
        <v>6056.9697</v>
      </c>
      <c r="R153" s="884">
        <v>19.99</v>
      </c>
      <c r="S153" s="885">
        <v>0.6124</v>
      </c>
      <c r="T153" s="884">
        <v>4.75</v>
      </c>
      <c r="U153" s="886">
        <v>4.1</v>
      </c>
      <c r="V153" s="879">
        <v>1017</v>
      </c>
      <c r="W153" s="887">
        <v>0.0924</v>
      </c>
      <c r="X153" s="879">
        <v>28</v>
      </c>
      <c r="Y153" s="888"/>
      <c r="Z153" s="15" t="s">
        <v>947</v>
      </c>
      <c r="AA153" s="15" t="s">
        <v>2320</v>
      </c>
      <c r="AB153" s="889">
        <v>444</v>
      </c>
      <c r="AC153" s="889">
        <v>1</v>
      </c>
      <c r="AD153" s="889">
        <v>1</v>
      </c>
      <c r="AE153" s="14" t="s">
        <v>65</v>
      </c>
      <c r="AF153" s="15" t="s">
        <v>65</v>
      </c>
      <c r="AG153" s="14" t="s">
        <v>65</v>
      </c>
      <c r="AH153" s="15" t="s">
        <v>856</v>
      </c>
      <c r="AI153" s="890" t="s">
        <v>2321</v>
      </c>
      <c r="AJ153" s="890" t="s">
        <v>2322</v>
      </c>
    </row>
    <row r="154" s="1" customFormat="1" ht="24" customHeight="1" spans="1:36">
      <c r="A154" s="15" t="s">
        <v>65</v>
      </c>
      <c r="B154" s="14" t="s">
        <v>2323</v>
      </c>
      <c r="C154" s="14" t="s">
        <v>2323</v>
      </c>
      <c r="D154" s="14" t="s">
        <v>65</v>
      </c>
      <c r="E154" s="14" t="s">
        <v>2324</v>
      </c>
      <c r="F154" s="14" t="s">
        <v>2325</v>
      </c>
      <c r="G154" s="14" t="s">
        <v>2326</v>
      </c>
      <c r="H154" s="14" t="s">
        <v>2327</v>
      </c>
      <c r="I154" s="14" t="s">
        <v>2328</v>
      </c>
      <c r="J154" s="15" t="s">
        <v>974</v>
      </c>
      <c r="K154" s="14" t="s">
        <v>850</v>
      </c>
      <c r="L154" s="14" t="s">
        <v>851</v>
      </c>
      <c r="M154" s="879">
        <v>17566</v>
      </c>
      <c r="N154" s="880" t="s">
        <v>852</v>
      </c>
      <c r="O154" s="881" t="s">
        <v>2329</v>
      </c>
      <c r="P154" s="879">
        <v>345</v>
      </c>
      <c r="Q154" s="879">
        <v>20696.55</v>
      </c>
      <c r="R154" s="884">
        <v>59.99</v>
      </c>
      <c r="S154" s="885">
        <v>0.6825</v>
      </c>
      <c r="T154" s="884">
        <v>10.05</v>
      </c>
      <c r="U154" s="886">
        <v>3.9</v>
      </c>
      <c r="V154" s="879">
        <v>97</v>
      </c>
      <c r="W154" s="887">
        <v>0.0406</v>
      </c>
      <c r="X154" s="879">
        <v>14</v>
      </c>
      <c r="Y154" s="888"/>
      <c r="Z154" s="15" t="s">
        <v>1267</v>
      </c>
      <c r="AA154" s="15" t="s">
        <v>2330</v>
      </c>
      <c r="AB154" s="889">
        <v>350</v>
      </c>
      <c r="AC154" s="889">
        <v>1</v>
      </c>
      <c r="AD154" s="889">
        <v>1</v>
      </c>
      <c r="AE154" s="14" t="s">
        <v>2331</v>
      </c>
      <c r="AF154" s="15" t="s">
        <v>1288</v>
      </c>
      <c r="AG154" s="14" t="s">
        <v>2332</v>
      </c>
      <c r="AH154" s="15" t="s">
        <v>856</v>
      </c>
      <c r="AI154" s="890" t="s">
        <v>2333</v>
      </c>
      <c r="AJ154" s="890" t="s">
        <v>2334</v>
      </c>
    </row>
    <row r="155" s="1" customFormat="1" ht="24" customHeight="1" spans="1:36">
      <c r="A155" s="15" t="s">
        <v>65</v>
      </c>
      <c r="B155" s="14" t="s">
        <v>2335</v>
      </c>
      <c r="C155" s="14" t="s">
        <v>2335</v>
      </c>
      <c r="D155" s="14" t="s">
        <v>65</v>
      </c>
      <c r="E155" s="14" t="s">
        <v>2336</v>
      </c>
      <c r="F155" s="14" t="s">
        <v>2337</v>
      </c>
      <c r="G155" s="14" t="s">
        <v>2120</v>
      </c>
      <c r="H155" s="14" t="s">
        <v>2338</v>
      </c>
      <c r="I155" s="14" t="s">
        <v>2339</v>
      </c>
      <c r="J155" s="15" t="s">
        <v>934</v>
      </c>
      <c r="K155" s="14" t="s">
        <v>850</v>
      </c>
      <c r="L155" s="14" t="s">
        <v>851</v>
      </c>
      <c r="M155" s="879">
        <v>26699</v>
      </c>
      <c r="N155" s="880" t="s">
        <v>1201</v>
      </c>
      <c r="O155" s="881" t="s">
        <v>2340</v>
      </c>
      <c r="P155" s="879">
        <v>169</v>
      </c>
      <c r="Q155" s="879">
        <v>5068.31</v>
      </c>
      <c r="R155" s="884">
        <v>29.99</v>
      </c>
      <c r="S155" s="885">
        <v>0.5936</v>
      </c>
      <c r="T155" s="884">
        <v>7.69</v>
      </c>
      <c r="U155" s="886">
        <v>4.5</v>
      </c>
      <c r="V155" s="879">
        <v>4194</v>
      </c>
      <c r="W155" s="887">
        <v>0.2959</v>
      </c>
      <c r="X155" s="879">
        <v>50</v>
      </c>
      <c r="Y155" s="888"/>
      <c r="Z155" s="15" t="s">
        <v>947</v>
      </c>
      <c r="AA155" s="15" t="s">
        <v>2341</v>
      </c>
      <c r="AB155" s="889">
        <v>1496</v>
      </c>
      <c r="AC155" s="889">
        <v>1</v>
      </c>
      <c r="AD155" s="889">
        <v>2</v>
      </c>
      <c r="AE155" s="14" t="s">
        <v>65</v>
      </c>
      <c r="AF155" s="15" t="s">
        <v>65</v>
      </c>
      <c r="AG155" s="14" t="s">
        <v>65</v>
      </c>
      <c r="AH155" s="15" t="s">
        <v>856</v>
      </c>
      <c r="AI155" s="890" t="s">
        <v>2342</v>
      </c>
      <c r="AJ155" s="890" t="s">
        <v>2343</v>
      </c>
    </row>
    <row r="156" s="1" customFormat="1" ht="24" customHeight="1" spans="1:36">
      <c r="A156" s="15" t="s">
        <v>65</v>
      </c>
      <c r="B156" s="14" t="s">
        <v>2344</v>
      </c>
      <c r="C156" s="14" t="s">
        <v>2344</v>
      </c>
      <c r="D156" s="14" t="s">
        <v>65</v>
      </c>
      <c r="E156" s="14" t="s">
        <v>2345</v>
      </c>
      <c r="F156" s="14" t="s">
        <v>2346</v>
      </c>
      <c r="G156" s="14" t="s">
        <v>971</v>
      </c>
      <c r="H156" s="14" t="s">
        <v>2347</v>
      </c>
      <c r="I156" s="14" t="s">
        <v>2348</v>
      </c>
      <c r="J156" s="15" t="s">
        <v>1003</v>
      </c>
      <c r="K156" s="14" t="s">
        <v>850</v>
      </c>
      <c r="L156" s="14" t="s">
        <v>851</v>
      </c>
      <c r="M156" s="879">
        <v>18448</v>
      </c>
      <c r="N156" s="880" t="s">
        <v>1201</v>
      </c>
      <c r="O156" s="881" t="s">
        <v>2349</v>
      </c>
      <c r="P156" s="879">
        <v>290</v>
      </c>
      <c r="Q156" s="879">
        <v>8668.1</v>
      </c>
      <c r="R156" s="884">
        <v>29.89</v>
      </c>
      <c r="S156" s="885">
        <v>0.578</v>
      </c>
      <c r="T156" s="884">
        <v>8.13</v>
      </c>
      <c r="U156" s="886">
        <v>4.5</v>
      </c>
      <c r="V156" s="879">
        <v>1296</v>
      </c>
      <c r="W156" s="887">
        <v>0.0379</v>
      </c>
      <c r="X156" s="879">
        <v>11</v>
      </c>
      <c r="Y156" s="888"/>
      <c r="Z156" s="15" t="s">
        <v>947</v>
      </c>
      <c r="AA156" s="15" t="s">
        <v>2350</v>
      </c>
      <c r="AB156" s="889">
        <v>2355</v>
      </c>
      <c r="AC156" s="889">
        <v>1</v>
      </c>
      <c r="AD156" s="889">
        <v>3</v>
      </c>
      <c r="AE156" s="14" t="s">
        <v>867</v>
      </c>
      <c r="AF156" s="15" t="s">
        <v>65</v>
      </c>
      <c r="AG156" s="14" t="s">
        <v>65</v>
      </c>
      <c r="AH156" s="15" t="s">
        <v>856</v>
      </c>
      <c r="AI156" s="890" t="s">
        <v>2351</v>
      </c>
      <c r="AJ156" s="890" t="s">
        <v>2352</v>
      </c>
    </row>
    <row r="157" s="1" customFormat="1" ht="24" customHeight="1" spans="1:36">
      <c r="A157" s="15" t="s">
        <v>65</v>
      </c>
      <c r="B157" s="14" t="s">
        <v>2353</v>
      </c>
      <c r="C157" s="14" t="s">
        <v>2353</v>
      </c>
      <c r="D157" s="14" t="s">
        <v>65</v>
      </c>
      <c r="E157" s="14" t="s">
        <v>2354</v>
      </c>
      <c r="F157" s="14" t="s">
        <v>2355</v>
      </c>
      <c r="G157" s="14" t="s">
        <v>1238</v>
      </c>
      <c r="H157" s="14" t="s">
        <v>2356</v>
      </c>
      <c r="I157" s="14" t="s">
        <v>2357</v>
      </c>
      <c r="J157" s="15" t="s">
        <v>934</v>
      </c>
      <c r="K157" s="14" t="s">
        <v>850</v>
      </c>
      <c r="L157" s="14" t="s">
        <v>851</v>
      </c>
      <c r="M157" s="879">
        <v>20352</v>
      </c>
      <c r="N157" s="880" t="s">
        <v>2358</v>
      </c>
      <c r="O157" s="881" t="s">
        <v>2359</v>
      </c>
      <c r="P157" s="879">
        <v>444</v>
      </c>
      <c r="Q157" s="879">
        <v>84355.56</v>
      </c>
      <c r="R157" s="884">
        <v>189.99</v>
      </c>
      <c r="S157" s="885">
        <v>0.6618</v>
      </c>
      <c r="T157" s="884">
        <v>31.99</v>
      </c>
      <c r="U157" s="886">
        <v>4.4</v>
      </c>
      <c r="V157" s="879">
        <v>7069</v>
      </c>
      <c r="W157" s="887">
        <v>0.0811</v>
      </c>
      <c r="X157" s="879">
        <v>36</v>
      </c>
      <c r="Y157" s="888"/>
      <c r="Z157" s="15" t="s">
        <v>947</v>
      </c>
      <c r="AA157" s="15" t="s">
        <v>2360</v>
      </c>
      <c r="AB157" s="889">
        <v>504</v>
      </c>
      <c r="AC157" s="889">
        <v>1</v>
      </c>
      <c r="AD157" s="889">
        <v>2</v>
      </c>
      <c r="AE157" s="14" t="s">
        <v>867</v>
      </c>
      <c r="AF157" s="15" t="s">
        <v>65</v>
      </c>
      <c r="AG157" s="14" t="s">
        <v>65</v>
      </c>
      <c r="AH157" s="15" t="s">
        <v>856</v>
      </c>
      <c r="AI157" s="890" t="s">
        <v>2361</v>
      </c>
      <c r="AJ157" s="890" t="s">
        <v>2362</v>
      </c>
    </row>
    <row r="158" s="1" customFormat="1" ht="24" customHeight="1" spans="1:36">
      <c r="A158" s="15" t="s">
        <v>65</v>
      </c>
      <c r="B158" s="14" t="s">
        <v>2363</v>
      </c>
      <c r="C158" s="14" t="s">
        <v>2364</v>
      </c>
      <c r="D158" s="14" t="s">
        <v>2365</v>
      </c>
      <c r="E158" s="14" t="s">
        <v>2366</v>
      </c>
      <c r="F158" s="14" t="s">
        <v>2367</v>
      </c>
      <c r="G158" s="14" t="s">
        <v>2368</v>
      </c>
      <c r="H158" s="14" t="s">
        <v>2369</v>
      </c>
      <c r="I158" s="14" t="s">
        <v>2370</v>
      </c>
      <c r="J158" s="15" t="s">
        <v>934</v>
      </c>
      <c r="K158" s="14" t="s">
        <v>850</v>
      </c>
      <c r="L158" s="14" t="s">
        <v>851</v>
      </c>
      <c r="M158" s="879">
        <v>32247</v>
      </c>
      <c r="N158" s="880" t="s">
        <v>852</v>
      </c>
      <c r="O158" s="881" t="s">
        <v>2371</v>
      </c>
      <c r="P158" s="879">
        <v>409</v>
      </c>
      <c r="Q158" s="879">
        <v>20445.91</v>
      </c>
      <c r="R158" s="884">
        <v>49.99</v>
      </c>
      <c r="S158" s="885">
        <v>0.5209</v>
      </c>
      <c r="T158" s="884">
        <v>16.45</v>
      </c>
      <c r="U158" s="886">
        <v>4.7</v>
      </c>
      <c r="V158" s="879">
        <v>1099</v>
      </c>
      <c r="W158" s="887">
        <v>0.066</v>
      </c>
      <c r="X158" s="879">
        <v>27</v>
      </c>
      <c r="Y158" s="888"/>
      <c r="Z158" s="15" t="s">
        <v>876</v>
      </c>
      <c r="AA158" s="15" t="s">
        <v>2372</v>
      </c>
      <c r="AB158" s="889">
        <v>827</v>
      </c>
      <c r="AC158" s="889">
        <v>2</v>
      </c>
      <c r="AD158" s="889">
        <v>1</v>
      </c>
      <c r="AE158" s="14" t="s">
        <v>2373</v>
      </c>
      <c r="AF158" s="15" t="s">
        <v>2374</v>
      </c>
      <c r="AG158" s="14" t="s">
        <v>2375</v>
      </c>
      <c r="AH158" s="15" t="s">
        <v>997</v>
      </c>
      <c r="AI158" s="890" t="s">
        <v>1137</v>
      </c>
      <c r="AJ158" s="890" t="s">
        <v>2376</v>
      </c>
    </row>
    <row r="159" s="1" customFormat="1" ht="24" customHeight="1" spans="1:36">
      <c r="A159" s="15" t="s">
        <v>65</v>
      </c>
      <c r="B159" s="14" t="s">
        <v>2377</v>
      </c>
      <c r="C159" s="14" t="s">
        <v>2377</v>
      </c>
      <c r="D159" s="14" t="s">
        <v>65</v>
      </c>
      <c r="E159" s="14" t="s">
        <v>2378</v>
      </c>
      <c r="F159" s="14" t="s">
        <v>2379</v>
      </c>
      <c r="G159" s="14" t="s">
        <v>1132</v>
      </c>
      <c r="H159" s="14" t="s">
        <v>2380</v>
      </c>
      <c r="I159" s="14" t="s">
        <v>2381</v>
      </c>
      <c r="J159" s="15" t="s">
        <v>934</v>
      </c>
      <c r="K159" s="14" t="s">
        <v>850</v>
      </c>
      <c r="L159" s="14" t="s">
        <v>851</v>
      </c>
      <c r="M159" s="879">
        <v>30800</v>
      </c>
      <c r="N159" s="880" t="s">
        <v>852</v>
      </c>
      <c r="O159" s="881" t="s">
        <v>2382</v>
      </c>
      <c r="P159" s="879">
        <v>318</v>
      </c>
      <c r="Q159" s="879">
        <v>53420.82</v>
      </c>
      <c r="R159" s="884">
        <v>167.99</v>
      </c>
      <c r="S159" s="885">
        <v>0.7446</v>
      </c>
      <c r="T159" s="884">
        <v>17.71</v>
      </c>
      <c r="U159" s="886">
        <v>4.4</v>
      </c>
      <c r="V159" s="879">
        <v>742</v>
      </c>
      <c r="W159" s="887">
        <v>0.0157</v>
      </c>
      <c r="X159" s="879">
        <v>5</v>
      </c>
      <c r="Y159" s="888"/>
      <c r="Z159" s="15" t="s">
        <v>876</v>
      </c>
      <c r="AA159" s="15" t="s">
        <v>2383</v>
      </c>
      <c r="AB159" s="889">
        <v>1347</v>
      </c>
      <c r="AC159" s="889">
        <v>1</v>
      </c>
      <c r="AD159" s="889">
        <v>10</v>
      </c>
      <c r="AE159" s="14" t="s">
        <v>2384</v>
      </c>
      <c r="AF159" s="15" t="s">
        <v>2156</v>
      </c>
      <c r="AG159" s="14" t="s">
        <v>2385</v>
      </c>
      <c r="AH159" s="15" t="s">
        <v>856</v>
      </c>
      <c r="AI159" s="890" t="s">
        <v>2386</v>
      </c>
      <c r="AJ159" s="890" t="s">
        <v>2387</v>
      </c>
    </row>
    <row r="160" s="1" customFormat="1" ht="24" customHeight="1" spans="1:36">
      <c r="A160" s="15" t="s">
        <v>65</v>
      </c>
      <c r="B160" s="14" t="s">
        <v>566</v>
      </c>
      <c r="C160" s="14" t="s">
        <v>566</v>
      </c>
      <c r="D160" s="14" t="s">
        <v>65</v>
      </c>
      <c r="E160" s="14" t="s">
        <v>2388</v>
      </c>
      <c r="F160" s="14" t="s">
        <v>2389</v>
      </c>
      <c r="G160" s="14" t="s">
        <v>1364</v>
      </c>
      <c r="H160" s="14" t="s">
        <v>2390</v>
      </c>
      <c r="I160" s="14" t="s">
        <v>2391</v>
      </c>
      <c r="J160" s="15" t="s">
        <v>934</v>
      </c>
      <c r="K160" s="14" t="s">
        <v>850</v>
      </c>
      <c r="L160" s="14" t="s">
        <v>851</v>
      </c>
      <c r="M160" s="879">
        <v>33291</v>
      </c>
      <c r="N160" s="880" t="s">
        <v>852</v>
      </c>
      <c r="O160" s="881" t="s">
        <v>2392</v>
      </c>
      <c r="P160" s="879">
        <v>722</v>
      </c>
      <c r="Q160" s="879">
        <v>50532.777</v>
      </c>
      <c r="R160" s="884">
        <v>69.99</v>
      </c>
      <c r="S160" s="885">
        <v>0.603</v>
      </c>
      <c r="T160" s="884">
        <v>17.29</v>
      </c>
      <c r="U160" s="886">
        <v>4.7</v>
      </c>
      <c r="V160" s="879">
        <v>3840</v>
      </c>
      <c r="W160" s="887">
        <v>0.0499</v>
      </c>
      <c r="X160" s="879">
        <v>36</v>
      </c>
      <c r="Y160" s="888"/>
      <c r="Z160" s="15" t="s">
        <v>854</v>
      </c>
      <c r="AA160" s="15" t="s">
        <v>1924</v>
      </c>
      <c r="AB160" s="889">
        <v>638</v>
      </c>
      <c r="AC160" s="889">
        <v>1</v>
      </c>
      <c r="AD160" s="889">
        <v>2</v>
      </c>
      <c r="AE160" s="14" t="s">
        <v>867</v>
      </c>
      <c r="AF160" s="15" t="s">
        <v>65</v>
      </c>
      <c r="AG160" s="14" t="s">
        <v>65</v>
      </c>
      <c r="AH160" s="15" t="s">
        <v>856</v>
      </c>
      <c r="AI160" s="890" t="s">
        <v>2393</v>
      </c>
      <c r="AJ160" s="890" t="s">
        <v>2394</v>
      </c>
    </row>
    <row r="161" s="1" customFormat="1" ht="24" customHeight="1" spans="1:36">
      <c r="A161" s="15" t="s">
        <v>65</v>
      </c>
      <c r="B161" s="14" t="s">
        <v>583</v>
      </c>
      <c r="C161" s="14" t="s">
        <v>583</v>
      </c>
      <c r="D161" s="14" t="s">
        <v>65</v>
      </c>
      <c r="E161" s="14" t="s">
        <v>2395</v>
      </c>
      <c r="F161" s="14" t="s">
        <v>2396</v>
      </c>
      <c r="G161" s="14" t="s">
        <v>1221</v>
      </c>
      <c r="H161" s="14" t="s">
        <v>2397</v>
      </c>
      <c r="I161" s="14" t="s">
        <v>2398</v>
      </c>
      <c r="J161" s="15" t="s">
        <v>934</v>
      </c>
      <c r="K161" s="14" t="s">
        <v>850</v>
      </c>
      <c r="L161" s="14" t="s">
        <v>851</v>
      </c>
      <c r="M161" s="879">
        <v>28735</v>
      </c>
      <c r="N161" s="880" t="s">
        <v>2399</v>
      </c>
      <c r="O161" s="881" t="s">
        <v>2400</v>
      </c>
      <c r="P161" s="879">
        <v>348</v>
      </c>
      <c r="Q161" s="879">
        <v>24356.52</v>
      </c>
      <c r="R161" s="884">
        <v>66.79</v>
      </c>
      <c r="S161" s="885">
        <v>0.609</v>
      </c>
      <c r="T161" s="884">
        <v>16.87</v>
      </c>
      <c r="U161" s="886">
        <v>4.4</v>
      </c>
      <c r="V161" s="879">
        <v>2079</v>
      </c>
      <c r="W161" s="887">
        <v>0.092</v>
      </c>
      <c r="X161" s="879">
        <v>32</v>
      </c>
      <c r="Y161" s="888"/>
      <c r="Z161" s="15" t="s">
        <v>876</v>
      </c>
      <c r="AA161" s="15" t="s">
        <v>2401</v>
      </c>
      <c r="AB161" s="889">
        <v>1566</v>
      </c>
      <c r="AC161" s="889">
        <v>1</v>
      </c>
      <c r="AD161" s="889">
        <v>3</v>
      </c>
      <c r="AE161" s="14" t="s">
        <v>65</v>
      </c>
      <c r="AF161" s="15" t="s">
        <v>65</v>
      </c>
      <c r="AG161" s="14" t="s">
        <v>65</v>
      </c>
      <c r="AH161" s="15" t="s">
        <v>856</v>
      </c>
      <c r="AI161" s="890" t="s">
        <v>2402</v>
      </c>
      <c r="AJ161" s="890" t="s">
        <v>2403</v>
      </c>
    </row>
    <row r="162" s="1" customFormat="1" ht="24" customHeight="1" spans="1:36">
      <c r="A162" s="15" t="s">
        <v>65</v>
      </c>
      <c r="B162" s="14" t="s">
        <v>2404</v>
      </c>
      <c r="C162" s="14" t="s">
        <v>2404</v>
      </c>
      <c r="D162" s="14" t="s">
        <v>65</v>
      </c>
      <c r="E162" s="14" t="s">
        <v>2405</v>
      </c>
      <c r="F162" s="14" t="s">
        <v>2406</v>
      </c>
      <c r="G162" s="14" t="s">
        <v>2407</v>
      </c>
      <c r="H162" s="14" t="s">
        <v>2408</v>
      </c>
      <c r="I162" s="14" t="s">
        <v>2409</v>
      </c>
      <c r="J162" s="15" t="s">
        <v>1384</v>
      </c>
      <c r="K162" s="14" t="s">
        <v>850</v>
      </c>
      <c r="L162" s="14" t="s">
        <v>851</v>
      </c>
      <c r="M162" s="879">
        <v>28361</v>
      </c>
      <c r="N162" s="880" t="s">
        <v>852</v>
      </c>
      <c r="O162" s="881" t="s">
        <v>2410</v>
      </c>
      <c r="P162" s="879">
        <v>386</v>
      </c>
      <c r="Q162" s="879">
        <v>45926.28</v>
      </c>
      <c r="R162" s="884">
        <v>99.98</v>
      </c>
      <c r="S162" s="885">
        <v>0.6623</v>
      </c>
      <c r="T162" s="884">
        <v>22.33</v>
      </c>
      <c r="U162" s="886">
        <v>4.5</v>
      </c>
      <c r="V162" s="879">
        <v>291</v>
      </c>
      <c r="W162" s="887">
        <v>0.0829</v>
      </c>
      <c r="X162" s="879">
        <v>32</v>
      </c>
      <c r="Y162" s="888"/>
      <c r="Z162" s="15" t="s">
        <v>876</v>
      </c>
      <c r="AA162" s="15" t="s">
        <v>2411</v>
      </c>
      <c r="AB162" s="889">
        <v>267</v>
      </c>
      <c r="AC162" s="889">
        <v>1</v>
      </c>
      <c r="AD162" s="889">
        <v>1</v>
      </c>
      <c r="AE162" s="14" t="s">
        <v>2412</v>
      </c>
      <c r="AF162" s="15" t="s">
        <v>1288</v>
      </c>
      <c r="AG162" s="14" t="s">
        <v>2413</v>
      </c>
      <c r="AH162" s="15" t="s">
        <v>856</v>
      </c>
      <c r="AI162" s="890" t="s">
        <v>2260</v>
      </c>
      <c r="AJ162" s="890" t="s">
        <v>2414</v>
      </c>
    </row>
    <row r="163" s="1" customFormat="1" ht="24" customHeight="1" spans="1:36">
      <c r="A163" s="15" t="s">
        <v>65</v>
      </c>
      <c r="B163" s="14" t="s">
        <v>2415</v>
      </c>
      <c r="C163" s="14" t="s">
        <v>2415</v>
      </c>
      <c r="D163" s="14" t="s">
        <v>65</v>
      </c>
      <c r="E163" s="14" t="s">
        <v>2416</v>
      </c>
      <c r="F163" s="14" t="s">
        <v>2417</v>
      </c>
      <c r="G163" s="14" t="s">
        <v>2418</v>
      </c>
      <c r="H163" s="14" t="s">
        <v>2419</v>
      </c>
      <c r="I163" s="14" t="s">
        <v>2420</v>
      </c>
      <c r="J163" s="15" t="s">
        <v>1003</v>
      </c>
      <c r="K163" s="14" t="s">
        <v>850</v>
      </c>
      <c r="L163" s="14" t="s">
        <v>851</v>
      </c>
      <c r="M163" s="879">
        <v>45613</v>
      </c>
      <c r="N163" s="880" t="s">
        <v>852</v>
      </c>
      <c r="O163" s="881" t="s">
        <v>2421</v>
      </c>
      <c r="P163" s="879">
        <v>195</v>
      </c>
      <c r="Q163" s="879">
        <v>19498.049</v>
      </c>
      <c r="R163" s="884">
        <v>99.99</v>
      </c>
      <c r="S163" s="885">
        <v>0.6183</v>
      </c>
      <c r="T163" s="884">
        <v>23.17</v>
      </c>
      <c r="U163" s="886">
        <v>4.4</v>
      </c>
      <c r="V163" s="879">
        <v>319</v>
      </c>
      <c r="W163" s="887">
        <v>0.0513</v>
      </c>
      <c r="X163" s="879">
        <v>10</v>
      </c>
      <c r="Y163" s="879">
        <v>15</v>
      </c>
      <c r="Z163" s="15" t="s">
        <v>1098</v>
      </c>
      <c r="AA163" s="15" t="s">
        <v>2422</v>
      </c>
      <c r="AB163" s="889">
        <v>1102</v>
      </c>
      <c r="AC163" s="889">
        <v>1</v>
      </c>
      <c r="AD163" s="889">
        <v>3</v>
      </c>
      <c r="AE163" s="14" t="s">
        <v>65</v>
      </c>
      <c r="AF163" s="15" t="s">
        <v>65</v>
      </c>
      <c r="AG163" s="14" t="s">
        <v>65</v>
      </c>
      <c r="AH163" s="15" t="s">
        <v>856</v>
      </c>
      <c r="AI163" s="890" t="s">
        <v>868</v>
      </c>
      <c r="AJ163" s="890" t="s">
        <v>2423</v>
      </c>
    </row>
    <row r="164" s="1" customFormat="1" ht="24" customHeight="1" spans="1:36">
      <c r="A164" s="15" t="s">
        <v>65</v>
      </c>
      <c r="B164" s="14" t="s">
        <v>2424</v>
      </c>
      <c r="C164" s="14" t="s">
        <v>2424</v>
      </c>
      <c r="D164" s="14" t="s">
        <v>65</v>
      </c>
      <c r="E164" s="14" t="s">
        <v>2425</v>
      </c>
      <c r="F164" s="14" t="s">
        <v>2426</v>
      </c>
      <c r="G164" s="14" t="s">
        <v>2427</v>
      </c>
      <c r="H164" s="14" t="s">
        <v>2428</v>
      </c>
      <c r="I164" s="14" t="s">
        <v>2429</v>
      </c>
      <c r="J164" s="15" t="s">
        <v>934</v>
      </c>
      <c r="K164" s="14" t="s">
        <v>850</v>
      </c>
      <c r="L164" s="14" t="s">
        <v>851</v>
      </c>
      <c r="M164" s="879">
        <v>15176</v>
      </c>
      <c r="N164" s="880" t="s">
        <v>852</v>
      </c>
      <c r="O164" s="881" t="s">
        <v>2430</v>
      </c>
      <c r="P164" s="879">
        <v>301</v>
      </c>
      <c r="Q164" s="879">
        <v>36116.99</v>
      </c>
      <c r="R164" s="884">
        <v>119.99</v>
      </c>
      <c r="S164" s="885">
        <v>0.6429</v>
      </c>
      <c r="T164" s="884">
        <v>24.85</v>
      </c>
      <c r="U164" s="886">
        <v>4.3</v>
      </c>
      <c r="V164" s="879">
        <v>389</v>
      </c>
      <c r="W164" s="887">
        <v>0.093</v>
      </c>
      <c r="X164" s="879">
        <v>28</v>
      </c>
      <c r="Y164" s="888"/>
      <c r="Z164" s="15" t="s">
        <v>947</v>
      </c>
      <c r="AA164" s="15" t="s">
        <v>2431</v>
      </c>
      <c r="AB164" s="889">
        <v>1252</v>
      </c>
      <c r="AC164" s="889">
        <v>1</v>
      </c>
      <c r="AD164" s="889">
        <v>1</v>
      </c>
      <c r="AE164" s="14" t="s">
        <v>2432</v>
      </c>
      <c r="AF164" s="15" t="s">
        <v>65</v>
      </c>
      <c r="AG164" s="14" t="s">
        <v>2433</v>
      </c>
      <c r="AH164" s="15" t="s">
        <v>856</v>
      </c>
      <c r="AI164" s="890" t="s">
        <v>878</v>
      </c>
      <c r="AJ164" s="890" t="s">
        <v>2434</v>
      </c>
    </row>
    <row r="165" s="1" customFormat="1" ht="24" customHeight="1" spans="1:36">
      <c r="A165" s="15" t="s">
        <v>65</v>
      </c>
      <c r="B165" s="14" t="s">
        <v>2435</v>
      </c>
      <c r="C165" s="14" t="s">
        <v>2435</v>
      </c>
      <c r="D165" s="14" t="s">
        <v>65</v>
      </c>
      <c r="E165" s="14" t="s">
        <v>2436</v>
      </c>
      <c r="F165" s="14" t="s">
        <v>2437</v>
      </c>
      <c r="G165" s="14" t="s">
        <v>1132</v>
      </c>
      <c r="H165" s="14" t="s">
        <v>2438</v>
      </c>
      <c r="I165" s="14" t="s">
        <v>2439</v>
      </c>
      <c r="J165" s="15" t="s">
        <v>974</v>
      </c>
      <c r="K165" s="14" t="s">
        <v>850</v>
      </c>
      <c r="L165" s="14" t="s">
        <v>851</v>
      </c>
      <c r="M165" s="879">
        <v>28866</v>
      </c>
      <c r="N165" s="880" t="s">
        <v>2440</v>
      </c>
      <c r="O165" s="881" t="s">
        <v>2441</v>
      </c>
      <c r="P165" s="879">
        <v>248</v>
      </c>
      <c r="Q165" s="879">
        <v>11797.36</v>
      </c>
      <c r="R165" s="884">
        <v>47.57</v>
      </c>
      <c r="S165" s="885">
        <v>0.7218</v>
      </c>
      <c r="T165" s="884">
        <v>6.1</v>
      </c>
      <c r="U165" s="886">
        <v>4.5</v>
      </c>
      <c r="V165" s="879">
        <v>662</v>
      </c>
      <c r="W165" s="887">
        <v>0.0484</v>
      </c>
      <c r="X165" s="879">
        <v>12</v>
      </c>
      <c r="Y165" s="888"/>
      <c r="Z165" s="15" t="s">
        <v>1098</v>
      </c>
      <c r="AA165" s="15" t="s">
        <v>2442</v>
      </c>
      <c r="AB165" s="889">
        <v>1783</v>
      </c>
      <c r="AC165" s="889">
        <v>1</v>
      </c>
      <c r="AD165" s="889">
        <v>1</v>
      </c>
      <c r="AE165" s="14" t="s">
        <v>867</v>
      </c>
      <c r="AF165" s="15" t="s">
        <v>65</v>
      </c>
      <c r="AG165" s="14" t="s">
        <v>65</v>
      </c>
      <c r="AH165" s="15" t="s">
        <v>856</v>
      </c>
      <c r="AI165" s="890" t="s">
        <v>2443</v>
      </c>
      <c r="AJ165" s="890" t="s">
        <v>2444</v>
      </c>
    </row>
    <row r="166" s="1" customFormat="1" ht="24" customHeight="1" spans="1:36">
      <c r="A166" s="15" t="s">
        <v>65</v>
      </c>
      <c r="B166" s="14" t="s">
        <v>2445</v>
      </c>
      <c r="C166" s="14" t="s">
        <v>2445</v>
      </c>
      <c r="D166" s="14" t="s">
        <v>65</v>
      </c>
      <c r="E166" s="14" t="s">
        <v>2446</v>
      </c>
      <c r="F166" s="14" t="s">
        <v>2447</v>
      </c>
      <c r="G166" s="14" t="s">
        <v>2448</v>
      </c>
      <c r="H166" s="14" t="s">
        <v>2449</v>
      </c>
      <c r="I166" s="14" t="s">
        <v>2450</v>
      </c>
      <c r="J166" s="15" t="s">
        <v>974</v>
      </c>
      <c r="K166" s="14" t="s">
        <v>850</v>
      </c>
      <c r="L166" s="14" t="s">
        <v>851</v>
      </c>
      <c r="M166" s="879">
        <v>28476</v>
      </c>
      <c r="N166" s="880" t="s">
        <v>852</v>
      </c>
      <c r="O166" s="881" t="s">
        <v>2451</v>
      </c>
      <c r="P166" s="879">
        <v>241</v>
      </c>
      <c r="Q166" s="879">
        <v>2407.5898</v>
      </c>
      <c r="R166" s="884">
        <v>9.99</v>
      </c>
      <c r="S166" s="885">
        <v>0.5097</v>
      </c>
      <c r="T166" s="884">
        <v>3.4</v>
      </c>
      <c r="U166" s="886">
        <v>4</v>
      </c>
      <c r="V166" s="879">
        <v>105</v>
      </c>
      <c r="W166" s="887">
        <v>0.0913</v>
      </c>
      <c r="X166" s="879">
        <v>22</v>
      </c>
      <c r="Y166" s="888"/>
      <c r="Z166" s="15" t="s">
        <v>947</v>
      </c>
      <c r="AA166" s="15" t="s">
        <v>2452</v>
      </c>
      <c r="AB166" s="889">
        <v>441</v>
      </c>
      <c r="AC166" s="889">
        <v>1</v>
      </c>
      <c r="AD166" s="889">
        <v>1</v>
      </c>
      <c r="AE166" s="14" t="s">
        <v>2453</v>
      </c>
      <c r="AF166" s="15" t="s">
        <v>1110</v>
      </c>
      <c r="AG166" s="14" t="s">
        <v>2454</v>
      </c>
      <c r="AH166" s="15" t="s">
        <v>856</v>
      </c>
      <c r="AI166" s="890" t="s">
        <v>2455</v>
      </c>
      <c r="AJ166" s="890" t="s">
        <v>2456</v>
      </c>
    </row>
    <row r="167" s="1" customFormat="1" ht="24" customHeight="1" spans="1:36">
      <c r="A167" s="15" t="s">
        <v>65</v>
      </c>
      <c r="B167" s="14" t="s">
        <v>2457</v>
      </c>
      <c r="C167" s="14" t="s">
        <v>2457</v>
      </c>
      <c r="D167" s="14" t="s">
        <v>65</v>
      </c>
      <c r="E167" s="14" t="s">
        <v>2458</v>
      </c>
      <c r="F167" s="14" t="s">
        <v>2459</v>
      </c>
      <c r="G167" s="14" t="s">
        <v>2460</v>
      </c>
      <c r="H167" s="14" t="s">
        <v>2461</v>
      </c>
      <c r="I167" s="14" t="s">
        <v>2462</v>
      </c>
      <c r="J167" s="15" t="s">
        <v>934</v>
      </c>
      <c r="K167" s="14" t="s">
        <v>850</v>
      </c>
      <c r="L167" s="14" t="s">
        <v>851</v>
      </c>
      <c r="M167" s="879">
        <v>27653</v>
      </c>
      <c r="N167" s="880" t="s">
        <v>852</v>
      </c>
      <c r="O167" s="881" t="s">
        <v>2153</v>
      </c>
      <c r="P167" s="879">
        <v>220</v>
      </c>
      <c r="Q167" s="879">
        <v>2849</v>
      </c>
      <c r="R167" s="884">
        <v>12.95</v>
      </c>
      <c r="S167" s="885">
        <v>0.5875</v>
      </c>
      <c r="T167" s="884">
        <v>3.4</v>
      </c>
      <c r="U167" s="886">
        <v>4.9</v>
      </c>
      <c r="V167" s="879">
        <v>27</v>
      </c>
      <c r="W167" s="887">
        <v>0.0818</v>
      </c>
      <c r="X167" s="879">
        <v>18</v>
      </c>
      <c r="Y167" s="888"/>
      <c r="Z167" s="15" t="s">
        <v>65</v>
      </c>
      <c r="AA167" s="15" t="s">
        <v>2211</v>
      </c>
      <c r="AB167" s="889">
        <v>73</v>
      </c>
      <c r="AC167" s="889">
        <v>1</v>
      </c>
      <c r="AD167" s="889">
        <v>1</v>
      </c>
      <c r="AE167" s="14" t="s">
        <v>2460</v>
      </c>
      <c r="AF167" s="15" t="s">
        <v>1110</v>
      </c>
      <c r="AG167" s="14" t="s">
        <v>2463</v>
      </c>
      <c r="AH167" s="15" t="s">
        <v>856</v>
      </c>
      <c r="AI167" s="890" t="s">
        <v>2464</v>
      </c>
      <c r="AJ167" s="890" t="s">
        <v>2465</v>
      </c>
    </row>
    <row r="168" s="1" customFormat="1" ht="24" customHeight="1" spans="1:36">
      <c r="A168" s="15" t="s">
        <v>65</v>
      </c>
      <c r="B168" s="14" t="s">
        <v>2466</v>
      </c>
      <c r="C168" s="14" t="s">
        <v>2466</v>
      </c>
      <c r="D168" s="14" t="s">
        <v>65</v>
      </c>
      <c r="E168" s="14" t="s">
        <v>2467</v>
      </c>
      <c r="F168" s="14" t="s">
        <v>2468</v>
      </c>
      <c r="G168" s="14" t="s">
        <v>2469</v>
      </c>
      <c r="H168" s="14" t="s">
        <v>2470</v>
      </c>
      <c r="I168" s="14" t="s">
        <v>2471</v>
      </c>
      <c r="J168" s="15" t="s">
        <v>1003</v>
      </c>
      <c r="K168" s="14" t="s">
        <v>850</v>
      </c>
      <c r="L168" s="14" t="s">
        <v>851</v>
      </c>
      <c r="M168" s="879">
        <v>37812</v>
      </c>
      <c r="N168" s="880" t="s">
        <v>852</v>
      </c>
      <c r="O168" s="881" t="s">
        <v>2472</v>
      </c>
      <c r="P168" s="879">
        <v>227</v>
      </c>
      <c r="Q168" s="879">
        <v>2040.73</v>
      </c>
      <c r="R168" s="884">
        <v>8.99</v>
      </c>
      <c r="S168" s="885">
        <v>0.3784</v>
      </c>
      <c r="T168" s="884">
        <v>4.24</v>
      </c>
      <c r="U168" s="886">
        <v>4.1</v>
      </c>
      <c r="V168" s="879">
        <v>57</v>
      </c>
      <c r="W168" s="887">
        <v>0.0396</v>
      </c>
      <c r="X168" s="879">
        <v>9</v>
      </c>
      <c r="Y168" s="888"/>
      <c r="Z168" s="15" t="s">
        <v>65</v>
      </c>
      <c r="AA168" s="15" t="s">
        <v>2473</v>
      </c>
      <c r="AB168" s="889">
        <v>220</v>
      </c>
      <c r="AC168" s="889">
        <v>1</v>
      </c>
      <c r="AD168" s="889">
        <v>1</v>
      </c>
      <c r="AE168" s="14" t="s">
        <v>2469</v>
      </c>
      <c r="AF168" s="15" t="s">
        <v>1288</v>
      </c>
      <c r="AG168" s="14" t="s">
        <v>2474</v>
      </c>
      <c r="AH168" s="15" t="s">
        <v>856</v>
      </c>
      <c r="AI168" s="890" t="s">
        <v>2062</v>
      </c>
      <c r="AJ168" s="890" t="s">
        <v>2475</v>
      </c>
    </row>
    <row r="169" s="1" customFormat="1" ht="24" customHeight="1" spans="1:36">
      <c r="A169" s="15" t="s">
        <v>65</v>
      </c>
      <c r="B169" s="14" t="s">
        <v>2476</v>
      </c>
      <c r="C169" s="14" t="s">
        <v>2476</v>
      </c>
      <c r="D169" s="14" t="s">
        <v>65</v>
      </c>
      <c r="E169" s="14" t="s">
        <v>2477</v>
      </c>
      <c r="F169" s="14" t="s">
        <v>2478</v>
      </c>
      <c r="G169" s="14" t="s">
        <v>1247</v>
      </c>
      <c r="H169" s="14" t="s">
        <v>2479</v>
      </c>
      <c r="I169" s="14" t="s">
        <v>2480</v>
      </c>
      <c r="J169" s="15" t="s">
        <v>974</v>
      </c>
      <c r="K169" s="14" t="s">
        <v>850</v>
      </c>
      <c r="L169" s="14" t="s">
        <v>851</v>
      </c>
      <c r="M169" s="879">
        <v>28272</v>
      </c>
      <c r="N169" s="880" t="s">
        <v>852</v>
      </c>
      <c r="O169" s="881" t="s">
        <v>2481</v>
      </c>
      <c r="P169" s="879">
        <v>647</v>
      </c>
      <c r="Q169" s="879">
        <v>103190.03</v>
      </c>
      <c r="R169" s="884">
        <v>159.49</v>
      </c>
      <c r="S169" s="885">
        <v>0.6863</v>
      </c>
      <c r="T169" s="884">
        <v>26.11</v>
      </c>
      <c r="U169" s="886">
        <v>4</v>
      </c>
      <c r="V169" s="879">
        <v>6466</v>
      </c>
      <c r="W169" s="887">
        <v>0</v>
      </c>
      <c r="X169" s="879">
        <v>0</v>
      </c>
      <c r="Y169" s="888"/>
      <c r="Z169" s="15" t="s">
        <v>854</v>
      </c>
      <c r="AA169" s="15" t="s">
        <v>2482</v>
      </c>
      <c r="AB169" s="889">
        <v>901</v>
      </c>
      <c r="AC169" s="889">
        <v>1</v>
      </c>
      <c r="AD169" s="889">
        <v>4</v>
      </c>
      <c r="AE169" s="14" t="s">
        <v>867</v>
      </c>
      <c r="AF169" s="15" t="s">
        <v>65</v>
      </c>
      <c r="AG169" s="14" t="s">
        <v>65</v>
      </c>
      <c r="AH169" s="15" t="s">
        <v>856</v>
      </c>
      <c r="AI169" s="890" t="s">
        <v>2483</v>
      </c>
      <c r="AJ169" s="890" t="s">
        <v>2215</v>
      </c>
    </row>
    <row r="170" s="1" customFormat="1" ht="24" customHeight="1" spans="1:36">
      <c r="A170" s="15" t="s">
        <v>65</v>
      </c>
      <c r="B170" s="14" t="s">
        <v>2484</v>
      </c>
      <c r="C170" s="14" t="s">
        <v>2484</v>
      </c>
      <c r="D170" s="14" t="s">
        <v>65</v>
      </c>
      <c r="E170" s="14" t="s">
        <v>2485</v>
      </c>
      <c r="F170" s="14" t="s">
        <v>2486</v>
      </c>
      <c r="G170" s="14" t="s">
        <v>1209</v>
      </c>
      <c r="H170" s="14" t="s">
        <v>2487</v>
      </c>
      <c r="I170" s="14" t="s">
        <v>2488</v>
      </c>
      <c r="J170" s="15" t="s">
        <v>934</v>
      </c>
      <c r="K170" s="14" t="s">
        <v>1534</v>
      </c>
      <c r="L170" s="14" t="s">
        <v>851</v>
      </c>
      <c r="M170" s="879">
        <v>24434</v>
      </c>
      <c r="N170" s="880" t="s">
        <v>884</v>
      </c>
      <c r="O170" s="881" t="s">
        <v>2489</v>
      </c>
      <c r="P170" s="879">
        <v>509</v>
      </c>
      <c r="Q170" s="879">
        <v>7629.9097</v>
      </c>
      <c r="R170" s="884">
        <v>14.99</v>
      </c>
      <c r="S170" s="885">
        <v>0.4704</v>
      </c>
      <c r="T170" s="884">
        <v>5.69</v>
      </c>
      <c r="U170" s="886">
        <v>4.5</v>
      </c>
      <c r="V170" s="879">
        <v>146</v>
      </c>
      <c r="W170" s="887">
        <v>0.0629</v>
      </c>
      <c r="X170" s="879">
        <v>32</v>
      </c>
      <c r="Y170" s="888"/>
      <c r="Z170" s="15" t="s">
        <v>947</v>
      </c>
      <c r="AA170" s="15" t="s">
        <v>2490</v>
      </c>
      <c r="AB170" s="889">
        <v>319</v>
      </c>
      <c r="AC170" s="889">
        <v>1</v>
      </c>
      <c r="AD170" s="889">
        <v>1</v>
      </c>
      <c r="AE170" s="14" t="s">
        <v>65</v>
      </c>
      <c r="AF170" s="15" t="s">
        <v>65</v>
      </c>
      <c r="AG170" s="14" t="s">
        <v>65</v>
      </c>
      <c r="AH170" s="15" t="s">
        <v>856</v>
      </c>
      <c r="AI170" s="890" t="s">
        <v>2491</v>
      </c>
      <c r="AJ170" s="890" t="s">
        <v>2492</v>
      </c>
    </row>
    <row r="171" s="1" customFormat="1" ht="24" customHeight="1" spans="1:36">
      <c r="A171" s="15" t="s">
        <v>65</v>
      </c>
      <c r="B171" s="14" t="s">
        <v>2493</v>
      </c>
      <c r="C171" s="14" t="s">
        <v>2493</v>
      </c>
      <c r="D171" s="14" t="s">
        <v>65</v>
      </c>
      <c r="E171" s="14" t="s">
        <v>2494</v>
      </c>
      <c r="F171" s="14" t="s">
        <v>2495</v>
      </c>
      <c r="G171" s="14" t="s">
        <v>2496</v>
      </c>
      <c r="H171" s="14" t="s">
        <v>2497</v>
      </c>
      <c r="I171" s="14" t="s">
        <v>2498</v>
      </c>
      <c r="J171" s="15" t="s">
        <v>1634</v>
      </c>
      <c r="K171" s="14" t="s">
        <v>850</v>
      </c>
      <c r="L171" s="14" t="s">
        <v>851</v>
      </c>
      <c r="M171" s="879">
        <v>30578</v>
      </c>
      <c r="N171" s="880" t="s">
        <v>852</v>
      </c>
      <c r="O171" s="881" t="s">
        <v>2499</v>
      </c>
      <c r="P171" s="879">
        <v>149</v>
      </c>
      <c r="Q171" s="879">
        <v>1488.51</v>
      </c>
      <c r="R171" s="884">
        <v>9.99</v>
      </c>
      <c r="S171" s="885">
        <v>0.4256</v>
      </c>
      <c r="T171" s="884">
        <v>4.24</v>
      </c>
      <c r="U171" s="886">
        <v>5</v>
      </c>
      <c r="V171" s="879">
        <v>6</v>
      </c>
      <c r="W171" s="887">
        <v>0.0201</v>
      </c>
      <c r="X171" s="879">
        <v>3</v>
      </c>
      <c r="Y171" s="888"/>
      <c r="Z171" s="15" t="s">
        <v>65</v>
      </c>
      <c r="AA171" s="15" t="s">
        <v>2500</v>
      </c>
      <c r="AB171" s="889">
        <v>119</v>
      </c>
      <c r="AC171" s="889">
        <v>1</v>
      </c>
      <c r="AD171" s="889">
        <v>1</v>
      </c>
      <c r="AE171" s="14" t="s">
        <v>2501</v>
      </c>
      <c r="AF171" s="15" t="s">
        <v>1288</v>
      </c>
      <c r="AG171" s="14" t="s">
        <v>2502</v>
      </c>
      <c r="AH171" s="15" t="s">
        <v>856</v>
      </c>
      <c r="AI171" s="890" t="s">
        <v>1538</v>
      </c>
      <c r="AJ171" s="890" t="s">
        <v>2503</v>
      </c>
    </row>
    <row r="172" s="1" customFormat="1" ht="24" customHeight="1" spans="1:36">
      <c r="A172" s="15" t="s">
        <v>65</v>
      </c>
      <c r="B172" s="14" t="s">
        <v>2504</v>
      </c>
      <c r="C172" s="14" t="s">
        <v>2504</v>
      </c>
      <c r="D172" s="14" t="s">
        <v>65</v>
      </c>
      <c r="E172" s="14" t="s">
        <v>2505</v>
      </c>
      <c r="F172" s="14" t="s">
        <v>2506</v>
      </c>
      <c r="G172" s="14" t="s">
        <v>872</v>
      </c>
      <c r="H172" s="14" t="s">
        <v>2507</v>
      </c>
      <c r="I172" s="14" t="s">
        <v>2508</v>
      </c>
      <c r="J172" s="15" t="s">
        <v>1384</v>
      </c>
      <c r="K172" s="14" t="s">
        <v>850</v>
      </c>
      <c r="L172" s="14" t="s">
        <v>851</v>
      </c>
      <c r="M172" s="879">
        <v>32335</v>
      </c>
      <c r="N172" s="880" t="s">
        <v>852</v>
      </c>
      <c r="O172" s="881" t="s">
        <v>2410</v>
      </c>
      <c r="P172" s="879">
        <v>102</v>
      </c>
      <c r="Q172" s="879">
        <v>18354.9</v>
      </c>
      <c r="R172" s="884">
        <v>179.95</v>
      </c>
      <c r="S172" s="885">
        <v>0.7142</v>
      </c>
      <c r="T172" s="884">
        <v>24.43</v>
      </c>
      <c r="U172" s="886">
        <v>3.9</v>
      </c>
      <c r="V172" s="879">
        <v>109</v>
      </c>
      <c r="W172" s="887">
        <v>0.098</v>
      </c>
      <c r="X172" s="879">
        <v>10</v>
      </c>
      <c r="Y172" s="888"/>
      <c r="Z172" s="15" t="s">
        <v>854</v>
      </c>
      <c r="AA172" s="15" t="s">
        <v>1793</v>
      </c>
      <c r="AB172" s="889">
        <v>315</v>
      </c>
      <c r="AC172" s="889">
        <v>1</v>
      </c>
      <c r="AD172" s="889">
        <v>4</v>
      </c>
      <c r="AE172" s="14" t="s">
        <v>867</v>
      </c>
      <c r="AF172" s="15" t="s">
        <v>65</v>
      </c>
      <c r="AG172" s="14" t="s">
        <v>65</v>
      </c>
      <c r="AH172" s="15" t="s">
        <v>856</v>
      </c>
      <c r="AI172" s="890" t="s">
        <v>2214</v>
      </c>
      <c r="AJ172" s="890" t="s">
        <v>2509</v>
      </c>
    </row>
    <row r="173" s="1" customFormat="1" ht="24" customHeight="1" spans="1:36">
      <c r="A173" s="15" t="s">
        <v>65</v>
      </c>
      <c r="B173" s="14" t="s">
        <v>2510</v>
      </c>
      <c r="C173" s="14" t="s">
        <v>2510</v>
      </c>
      <c r="D173" s="14" t="s">
        <v>65</v>
      </c>
      <c r="E173" s="14" t="s">
        <v>2511</v>
      </c>
      <c r="F173" s="14" t="s">
        <v>2512</v>
      </c>
      <c r="G173" s="14" t="s">
        <v>2368</v>
      </c>
      <c r="H173" s="14" t="s">
        <v>2513</v>
      </c>
      <c r="I173" s="14" t="s">
        <v>2514</v>
      </c>
      <c r="J173" s="15" t="s">
        <v>934</v>
      </c>
      <c r="K173" s="14" t="s">
        <v>850</v>
      </c>
      <c r="L173" s="14" t="s">
        <v>851</v>
      </c>
      <c r="M173" s="879">
        <v>45170</v>
      </c>
      <c r="N173" s="880" t="s">
        <v>852</v>
      </c>
      <c r="O173" s="881" t="s">
        <v>2515</v>
      </c>
      <c r="P173" s="879">
        <v>175</v>
      </c>
      <c r="Q173" s="879">
        <v>22748.25</v>
      </c>
      <c r="R173" s="884">
        <v>129.99</v>
      </c>
      <c r="S173" s="885">
        <v>0.6703</v>
      </c>
      <c r="T173" s="884">
        <v>26.95</v>
      </c>
      <c r="U173" s="886">
        <v>4.2</v>
      </c>
      <c r="V173" s="879">
        <v>640</v>
      </c>
      <c r="W173" s="887">
        <v>0.0914</v>
      </c>
      <c r="X173" s="879">
        <v>16</v>
      </c>
      <c r="Y173" s="879">
        <v>19</v>
      </c>
      <c r="Z173" s="15" t="s">
        <v>876</v>
      </c>
      <c r="AA173" s="15" t="s">
        <v>2516</v>
      </c>
      <c r="AB173" s="889">
        <v>505</v>
      </c>
      <c r="AC173" s="889">
        <v>1</v>
      </c>
      <c r="AD173" s="889">
        <v>3</v>
      </c>
      <c r="AE173" s="14" t="s">
        <v>65</v>
      </c>
      <c r="AF173" s="15" t="s">
        <v>65</v>
      </c>
      <c r="AG173" s="14" t="s">
        <v>65</v>
      </c>
      <c r="AH173" s="15" t="s">
        <v>856</v>
      </c>
      <c r="AI173" s="890" t="s">
        <v>2517</v>
      </c>
      <c r="AJ173" s="890" t="s">
        <v>2518</v>
      </c>
    </row>
    <row r="174" s="1" customFormat="1" ht="24" customHeight="1" spans="1:36">
      <c r="A174" s="15" t="s">
        <v>65</v>
      </c>
      <c r="B174" s="14" t="s">
        <v>2519</v>
      </c>
      <c r="C174" s="14" t="s">
        <v>2519</v>
      </c>
      <c r="D174" s="14" t="s">
        <v>65</v>
      </c>
      <c r="E174" s="14" t="s">
        <v>2520</v>
      </c>
      <c r="F174" s="14" t="s">
        <v>2521</v>
      </c>
      <c r="G174" s="14" t="s">
        <v>2522</v>
      </c>
      <c r="H174" s="14" t="s">
        <v>2523</v>
      </c>
      <c r="I174" s="14" t="s">
        <v>2524</v>
      </c>
      <c r="J174" s="15" t="s">
        <v>974</v>
      </c>
      <c r="K174" s="14" t="s">
        <v>850</v>
      </c>
      <c r="L174" s="14" t="s">
        <v>851</v>
      </c>
      <c r="M174" s="879">
        <v>41842</v>
      </c>
      <c r="N174" s="880" t="s">
        <v>852</v>
      </c>
      <c r="O174" s="881" t="s">
        <v>2525</v>
      </c>
      <c r="P174" s="879">
        <v>208</v>
      </c>
      <c r="Q174" s="879">
        <v>9773.92</v>
      </c>
      <c r="R174" s="884">
        <v>46.99</v>
      </c>
      <c r="S174" s="885">
        <v>0.6634</v>
      </c>
      <c r="T174" s="884">
        <v>8.77</v>
      </c>
      <c r="U174" s="886">
        <v>4.1</v>
      </c>
      <c r="V174" s="879">
        <v>1227</v>
      </c>
      <c r="W174" s="887">
        <v>0.0625</v>
      </c>
      <c r="X174" s="879">
        <v>13</v>
      </c>
      <c r="Y174" s="888"/>
      <c r="Z174" s="15" t="s">
        <v>876</v>
      </c>
      <c r="AA174" s="15" t="s">
        <v>2526</v>
      </c>
      <c r="AB174" s="889">
        <v>445</v>
      </c>
      <c r="AC174" s="889">
        <v>1</v>
      </c>
      <c r="AD174" s="889">
        <v>1</v>
      </c>
      <c r="AE174" s="14" t="s">
        <v>2522</v>
      </c>
      <c r="AF174" s="15" t="s">
        <v>65</v>
      </c>
      <c r="AG174" s="14" t="s">
        <v>2527</v>
      </c>
      <c r="AH174" s="15" t="s">
        <v>856</v>
      </c>
      <c r="AI174" s="890" t="s">
        <v>2528</v>
      </c>
      <c r="AJ174" s="890" t="s">
        <v>2529</v>
      </c>
    </row>
    <row r="175" s="1" customFormat="1" ht="24" customHeight="1" spans="1:36">
      <c r="A175" s="15" t="s">
        <v>65</v>
      </c>
      <c r="B175" s="14" t="s">
        <v>2530</v>
      </c>
      <c r="C175" s="14" t="s">
        <v>2530</v>
      </c>
      <c r="D175" s="14" t="s">
        <v>65</v>
      </c>
      <c r="E175" s="14" t="s">
        <v>2531</v>
      </c>
      <c r="F175" s="14" t="s">
        <v>2532</v>
      </c>
      <c r="G175" s="14" t="s">
        <v>2089</v>
      </c>
      <c r="H175" s="14" t="s">
        <v>2533</v>
      </c>
      <c r="I175" s="14" t="s">
        <v>2534</v>
      </c>
      <c r="J175" s="15" t="s">
        <v>65</v>
      </c>
      <c r="K175" s="14" t="s">
        <v>850</v>
      </c>
      <c r="L175" s="14" t="s">
        <v>851</v>
      </c>
      <c r="M175" s="879">
        <v>35308</v>
      </c>
      <c r="N175" s="880" t="s">
        <v>1201</v>
      </c>
      <c r="O175" s="881" t="s">
        <v>2535</v>
      </c>
      <c r="P175" s="879">
        <v>233</v>
      </c>
      <c r="Q175" s="879">
        <v>4634.3696</v>
      </c>
      <c r="R175" s="884">
        <v>19.89</v>
      </c>
      <c r="S175" s="885">
        <v>0.5433</v>
      </c>
      <c r="T175" s="884">
        <v>6.1</v>
      </c>
      <c r="U175" s="886">
        <v>4.4</v>
      </c>
      <c r="V175" s="879">
        <v>27</v>
      </c>
      <c r="W175" s="887">
        <v>0</v>
      </c>
      <c r="X175" s="879">
        <v>0</v>
      </c>
      <c r="Y175" s="888"/>
      <c r="Z175" s="15" t="s">
        <v>65</v>
      </c>
      <c r="AA175" s="15" t="s">
        <v>2536</v>
      </c>
      <c r="AB175" s="889">
        <v>206</v>
      </c>
      <c r="AC175" s="889">
        <v>1</v>
      </c>
      <c r="AD175" s="889">
        <v>1</v>
      </c>
      <c r="AE175" s="14" t="s">
        <v>2089</v>
      </c>
      <c r="AF175" s="15" t="s">
        <v>1288</v>
      </c>
      <c r="AG175" s="14" t="s">
        <v>2094</v>
      </c>
      <c r="AH175" s="15" t="s">
        <v>856</v>
      </c>
      <c r="AI175" s="890" t="s">
        <v>2045</v>
      </c>
      <c r="AJ175" s="890" t="s">
        <v>2537</v>
      </c>
    </row>
    <row r="176" s="1" customFormat="1" ht="24" customHeight="1" spans="1:36">
      <c r="A176" s="15" t="s">
        <v>65</v>
      </c>
      <c r="B176" s="14" t="s">
        <v>2538</v>
      </c>
      <c r="C176" s="14" t="s">
        <v>2538</v>
      </c>
      <c r="D176" s="14" t="s">
        <v>65</v>
      </c>
      <c r="E176" s="14" t="s">
        <v>2539</v>
      </c>
      <c r="F176" s="14" t="s">
        <v>2540</v>
      </c>
      <c r="G176" s="14" t="s">
        <v>2541</v>
      </c>
      <c r="H176" s="14" t="s">
        <v>2542</v>
      </c>
      <c r="I176" s="14" t="s">
        <v>2543</v>
      </c>
      <c r="J176" s="15" t="s">
        <v>934</v>
      </c>
      <c r="K176" s="14" t="s">
        <v>1846</v>
      </c>
      <c r="L176" s="14" t="s">
        <v>851</v>
      </c>
      <c r="M176" s="879">
        <v>40550</v>
      </c>
      <c r="N176" s="880" t="s">
        <v>2544</v>
      </c>
      <c r="O176" s="881" t="s">
        <v>2545</v>
      </c>
      <c r="P176" s="879">
        <v>148</v>
      </c>
      <c r="Q176" s="879">
        <v>14798.52</v>
      </c>
      <c r="R176" s="884">
        <v>106.03</v>
      </c>
      <c r="S176" s="885">
        <v>0.4495</v>
      </c>
      <c r="T176" s="884">
        <v>31.99</v>
      </c>
      <c r="U176" s="886">
        <v>4.3</v>
      </c>
      <c r="V176" s="879">
        <v>1178</v>
      </c>
      <c r="W176" s="887">
        <v>0.1486</v>
      </c>
      <c r="X176" s="879">
        <v>22</v>
      </c>
      <c r="Y176" s="879">
        <v>140</v>
      </c>
      <c r="Z176" s="15" t="s">
        <v>947</v>
      </c>
      <c r="AA176" s="15" t="s">
        <v>2546</v>
      </c>
      <c r="AB176" s="889">
        <v>1131</v>
      </c>
      <c r="AC176" s="889">
        <v>1</v>
      </c>
      <c r="AD176" s="889">
        <v>2</v>
      </c>
      <c r="AE176" s="14" t="s">
        <v>867</v>
      </c>
      <c r="AF176" s="15" t="s">
        <v>65</v>
      </c>
      <c r="AG176" s="14" t="s">
        <v>65</v>
      </c>
      <c r="AH176" s="15" t="s">
        <v>856</v>
      </c>
      <c r="AI176" s="890" t="s">
        <v>2547</v>
      </c>
      <c r="AJ176" s="890" t="s">
        <v>2548</v>
      </c>
    </row>
    <row r="177" s="1" customFormat="1" ht="24" customHeight="1" spans="1:36">
      <c r="A177" s="15" t="s">
        <v>65</v>
      </c>
      <c r="B177" s="14" t="s">
        <v>2549</v>
      </c>
      <c r="C177" s="14" t="s">
        <v>2549</v>
      </c>
      <c r="D177" s="14" t="s">
        <v>65</v>
      </c>
      <c r="E177" s="14" t="s">
        <v>2550</v>
      </c>
      <c r="F177" s="14" t="s">
        <v>2551</v>
      </c>
      <c r="G177" s="14" t="s">
        <v>1059</v>
      </c>
      <c r="H177" s="14" t="s">
        <v>2552</v>
      </c>
      <c r="I177" s="14" t="s">
        <v>2553</v>
      </c>
      <c r="J177" s="15" t="s">
        <v>65</v>
      </c>
      <c r="K177" s="14" t="s">
        <v>850</v>
      </c>
      <c r="L177" s="14" t="s">
        <v>851</v>
      </c>
      <c r="M177" s="879">
        <v>33803</v>
      </c>
      <c r="N177" s="880" t="s">
        <v>852</v>
      </c>
      <c r="O177" s="881" t="s">
        <v>2554</v>
      </c>
      <c r="P177" s="879">
        <v>365</v>
      </c>
      <c r="Q177" s="879">
        <v>40146.348</v>
      </c>
      <c r="R177" s="884">
        <v>109.99</v>
      </c>
      <c r="S177" s="885">
        <v>0.647</v>
      </c>
      <c r="T177" s="884">
        <v>22.33</v>
      </c>
      <c r="U177" s="886">
        <v>4.6</v>
      </c>
      <c r="V177" s="879">
        <v>1242</v>
      </c>
      <c r="W177" s="887">
        <v>0.2274</v>
      </c>
      <c r="X177" s="879">
        <v>83</v>
      </c>
      <c r="Y177" s="888"/>
      <c r="Z177" s="15" t="s">
        <v>854</v>
      </c>
      <c r="AA177" s="15" t="s">
        <v>2555</v>
      </c>
      <c r="AB177" s="889">
        <v>529</v>
      </c>
      <c r="AC177" s="889">
        <v>1</v>
      </c>
      <c r="AD177" s="889">
        <v>2</v>
      </c>
      <c r="AE177" s="14" t="s">
        <v>867</v>
      </c>
      <c r="AF177" s="15" t="s">
        <v>65</v>
      </c>
      <c r="AG177" s="14" t="s">
        <v>65</v>
      </c>
      <c r="AH177" s="15" t="s">
        <v>856</v>
      </c>
      <c r="AI177" s="890" t="s">
        <v>2556</v>
      </c>
      <c r="AJ177" s="890" t="s">
        <v>2557</v>
      </c>
    </row>
    <row r="178" s="1" customFormat="1" ht="24" customHeight="1" spans="1:36">
      <c r="A178" s="15" t="s">
        <v>65</v>
      </c>
      <c r="B178" s="14" t="s">
        <v>2558</v>
      </c>
      <c r="C178" s="14" t="s">
        <v>2558</v>
      </c>
      <c r="D178" s="14" t="s">
        <v>65</v>
      </c>
      <c r="E178" s="14" t="s">
        <v>2559</v>
      </c>
      <c r="F178" s="14" t="s">
        <v>2560</v>
      </c>
      <c r="G178" s="14" t="s">
        <v>872</v>
      </c>
      <c r="H178" s="14" t="s">
        <v>2561</v>
      </c>
      <c r="I178" s="14" t="s">
        <v>2562</v>
      </c>
      <c r="J178" s="15" t="s">
        <v>974</v>
      </c>
      <c r="K178" s="14" t="s">
        <v>850</v>
      </c>
      <c r="L178" s="14" t="s">
        <v>851</v>
      </c>
      <c r="M178" s="879">
        <v>37000</v>
      </c>
      <c r="N178" s="880" t="s">
        <v>852</v>
      </c>
      <c r="O178" s="881" t="s">
        <v>2563</v>
      </c>
      <c r="P178" s="879">
        <v>232</v>
      </c>
      <c r="Q178" s="879">
        <v>11595.36</v>
      </c>
      <c r="R178" s="884">
        <v>49.98</v>
      </c>
      <c r="S178" s="885">
        <v>0.5125</v>
      </c>
      <c r="T178" s="884">
        <v>16.87</v>
      </c>
      <c r="U178" s="886">
        <v>4.6</v>
      </c>
      <c r="V178" s="879">
        <v>20614</v>
      </c>
      <c r="W178" s="887">
        <v>0.2026</v>
      </c>
      <c r="X178" s="879">
        <v>47</v>
      </c>
      <c r="Y178" s="888"/>
      <c r="Z178" s="15" t="s">
        <v>947</v>
      </c>
      <c r="AA178" s="15" t="s">
        <v>2564</v>
      </c>
      <c r="AB178" s="889">
        <v>1223</v>
      </c>
      <c r="AC178" s="889">
        <v>1</v>
      </c>
      <c r="AD178" s="889">
        <v>2</v>
      </c>
      <c r="AE178" s="14" t="s">
        <v>65</v>
      </c>
      <c r="AF178" s="15" t="s">
        <v>65</v>
      </c>
      <c r="AG178" s="14" t="s">
        <v>65</v>
      </c>
      <c r="AH178" s="15" t="s">
        <v>856</v>
      </c>
      <c r="AI178" s="890" t="s">
        <v>2565</v>
      </c>
      <c r="AJ178" s="890" t="s">
        <v>2566</v>
      </c>
    </row>
    <row r="179" s="1" customFormat="1" ht="24" customHeight="1" spans="1:36">
      <c r="A179" s="15" t="s">
        <v>65</v>
      </c>
      <c r="B179" s="14" t="s">
        <v>2567</v>
      </c>
      <c r="C179" s="14" t="s">
        <v>2567</v>
      </c>
      <c r="D179" s="14" t="s">
        <v>65</v>
      </c>
      <c r="E179" s="14" t="s">
        <v>2568</v>
      </c>
      <c r="F179" s="14" t="s">
        <v>2569</v>
      </c>
      <c r="G179" s="14" t="s">
        <v>1302</v>
      </c>
      <c r="H179" s="14" t="s">
        <v>2570</v>
      </c>
      <c r="I179" s="14" t="s">
        <v>2571</v>
      </c>
      <c r="J179" s="15" t="s">
        <v>934</v>
      </c>
      <c r="K179" s="14" t="s">
        <v>850</v>
      </c>
      <c r="L179" s="14" t="s">
        <v>851</v>
      </c>
      <c r="M179" s="879">
        <v>31938</v>
      </c>
      <c r="N179" s="880" t="s">
        <v>852</v>
      </c>
      <c r="O179" s="881" t="s">
        <v>2572</v>
      </c>
      <c r="P179" s="879">
        <v>356</v>
      </c>
      <c r="Q179" s="879">
        <v>53396.44</v>
      </c>
      <c r="R179" s="884">
        <v>149.99</v>
      </c>
      <c r="S179" s="885">
        <v>0.6927</v>
      </c>
      <c r="T179" s="884">
        <v>23.59</v>
      </c>
      <c r="U179" s="886">
        <v>4.6</v>
      </c>
      <c r="V179" s="879">
        <v>146</v>
      </c>
      <c r="W179" s="887">
        <v>0.0562</v>
      </c>
      <c r="X179" s="879">
        <v>20</v>
      </c>
      <c r="Y179" s="888"/>
      <c r="Z179" s="15" t="s">
        <v>876</v>
      </c>
      <c r="AA179" s="15" t="s">
        <v>2573</v>
      </c>
      <c r="AB179" s="889">
        <v>514</v>
      </c>
      <c r="AC179" s="889">
        <v>1</v>
      </c>
      <c r="AD179" s="889">
        <v>1</v>
      </c>
      <c r="AE179" s="14" t="s">
        <v>1452</v>
      </c>
      <c r="AF179" s="15" t="s">
        <v>1288</v>
      </c>
      <c r="AG179" s="14" t="s">
        <v>1453</v>
      </c>
      <c r="AH179" s="15" t="s">
        <v>856</v>
      </c>
      <c r="AI179" s="890" t="s">
        <v>2574</v>
      </c>
      <c r="AJ179" s="890" t="s">
        <v>2575</v>
      </c>
    </row>
    <row r="180" s="1" customFormat="1" ht="24" customHeight="1" spans="1:36">
      <c r="A180" s="15" t="s">
        <v>65</v>
      </c>
      <c r="B180" s="14" t="s">
        <v>2576</v>
      </c>
      <c r="C180" s="14" t="s">
        <v>2576</v>
      </c>
      <c r="D180" s="14" t="s">
        <v>65</v>
      </c>
      <c r="E180" s="14" t="s">
        <v>2577</v>
      </c>
      <c r="F180" s="14" t="s">
        <v>2578</v>
      </c>
      <c r="G180" s="14" t="s">
        <v>931</v>
      </c>
      <c r="H180" s="14" t="s">
        <v>2579</v>
      </c>
      <c r="I180" s="14" t="s">
        <v>2580</v>
      </c>
      <c r="J180" s="15" t="s">
        <v>974</v>
      </c>
      <c r="K180" s="14" t="s">
        <v>850</v>
      </c>
      <c r="L180" s="14" t="s">
        <v>851</v>
      </c>
      <c r="M180" s="879">
        <v>81357</v>
      </c>
      <c r="N180" s="880" t="s">
        <v>852</v>
      </c>
      <c r="O180" s="881" t="s">
        <v>2581</v>
      </c>
      <c r="P180" s="879">
        <v>107</v>
      </c>
      <c r="Q180" s="879">
        <v>9628.93</v>
      </c>
      <c r="R180" s="884">
        <v>89.99</v>
      </c>
      <c r="S180" s="885">
        <v>0.6631</v>
      </c>
      <c r="T180" s="884">
        <v>16.82</v>
      </c>
      <c r="U180" s="886">
        <v>4.6</v>
      </c>
      <c r="V180" s="879">
        <v>3945</v>
      </c>
      <c r="W180" s="887">
        <v>0.0748</v>
      </c>
      <c r="X180" s="879">
        <v>8</v>
      </c>
      <c r="Y180" s="888"/>
      <c r="Z180" s="15" t="s">
        <v>854</v>
      </c>
      <c r="AA180" s="15" t="s">
        <v>2582</v>
      </c>
      <c r="AB180" s="889">
        <v>1264</v>
      </c>
      <c r="AC180" s="889">
        <v>1</v>
      </c>
      <c r="AD180" s="889">
        <v>4</v>
      </c>
      <c r="AE180" s="14" t="s">
        <v>867</v>
      </c>
      <c r="AF180" s="15" t="s">
        <v>65</v>
      </c>
      <c r="AG180" s="14" t="s">
        <v>65</v>
      </c>
      <c r="AH180" s="15" t="s">
        <v>856</v>
      </c>
      <c r="AI180" s="890" t="s">
        <v>2115</v>
      </c>
      <c r="AJ180" s="890" t="s">
        <v>2583</v>
      </c>
    </row>
    <row r="181" s="1" customFormat="1" ht="24" customHeight="1" spans="1:36">
      <c r="A181" s="15" t="s">
        <v>65</v>
      </c>
      <c r="B181" s="14" t="s">
        <v>2584</v>
      </c>
      <c r="C181" s="14" t="s">
        <v>2584</v>
      </c>
      <c r="D181" s="14" t="s">
        <v>65</v>
      </c>
      <c r="E181" s="14" t="s">
        <v>2585</v>
      </c>
      <c r="F181" s="14" t="s">
        <v>2586</v>
      </c>
      <c r="G181" s="14" t="s">
        <v>1141</v>
      </c>
      <c r="H181" s="14" t="s">
        <v>2587</v>
      </c>
      <c r="I181" s="14" t="s">
        <v>2588</v>
      </c>
      <c r="J181" s="15" t="s">
        <v>974</v>
      </c>
      <c r="K181" s="14" t="s">
        <v>850</v>
      </c>
      <c r="L181" s="14" t="s">
        <v>851</v>
      </c>
      <c r="M181" s="879">
        <v>43516</v>
      </c>
      <c r="N181" s="880" t="s">
        <v>852</v>
      </c>
      <c r="O181" s="881" t="s">
        <v>2589</v>
      </c>
      <c r="P181" s="879">
        <v>172</v>
      </c>
      <c r="Q181" s="879">
        <v>35948</v>
      </c>
      <c r="R181" s="884">
        <v>209</v>
      </c>
      <c r="S181" s="885">
        <v>0.721</v>
      </c>
      <c r="T181" s="884">
        <v>26.95</v>
      </c>
      <c r="U181" s="886">
        <v>4.3</v>
      </c>
      <c r="V181" s="879">
        <v>115</v>
      </c>
      <c r="W181" s="887">
        <v>0.064</v>
      </c>
      <c r="X181" s="879">
        <v>11</v>
      </c>
      <c r="Y181" s="888"/>
      <c r="Z181" s="15" t="s">
        <v>876</v>
      </c>
      <c r="AA181" s="15" t="s">
        <v>2590</v>
      </c>
      <c r="AB181" s="889">
        <v>595</v>
      </c>
      <c r="AC181" s="889">
        <v>1</v>
      </c>
      <c r="AD181" s="889">
        <v>2</v>
      </c>
      <c r="AE181" s="14" t="s">
        <v>1146</v>
      </c>
      <c r="AF181" s="15" t="s">
        <v>1110</v>
      </c>
      <c r="AG181" s="14" t="s">
        <v>1147</v>
      </c>
      <c r="AH181" s="15" t="s">
        <v>856</v>
      </c>
      <c r="AI181" s="890" t="s">
        <v>1517</v>
      </c>
      <c r="AJ181" s="890" t="s">
        <v>2591</v>
      </c>
    </row>
    <row r="182" s="1" customFormat="1" ht="24" customHeight="1" spans="1:36">
      <c r="A182" s="15" t="s">
        <v>65</v>
      </c>
      <c r="B182" s="14" t="s">
        <v>2592</v>
      </c>
      <c r="C182" s="14" t="s">
        <v>2592</v>
      </c>
      <c r="D182" s="14" t="s">
        <v>65</v>
      </c>
      <c r="E182" s="14" t="s">
        <v>2593</v>
      </c>
      <c r="F182" s="14" t="s">
        <v>2594</v>
      </c>
      <c r="G182" s="14" t="s">
        <v>1302</v>
      </c>
      <c r="H182" s="14" t="s">
        <v>2595</v>
      </c>
      <c r="I182" s="14" t="s">
        <v>2596</v>
      </c>
      <c r="J182" s="15" t="s">
        <v>934</v>
      </c>
      <c r="K182" s="14" t="s">
        <v>850</v>
      </c>
      <c r="L182" s="14" t="s">
        <v>851</v>
      </c>
      <c r="M182" s="879">
        <v>39853</v>
      </c>
      <c r="N182" s="880" t="s">
        <v>852</v>
      </c>
      <c r="O182" s="881" t="s">
        <v>1635</v>
      </c>
      <c r="P182" s="879">
        <v>364</v>
      </c>
      <c r="Q182" s="879">
        <v>27660.36</v>
      </c>
      <c r="R182" s="884">
        <v>75.99</v>
      </c>
      <c r="S182" s="885">
        <v>0.4038</v>
      </c>
      <c r="T182" s="884">
        <v>22.75</v>
      </c>
      <c r="U182" s="886">
        <v>4.7</v>
      </c>
      <c r="V182" s="879">
        <v>2907</v>
      </c>
      <c r="W182" s="887">
        <v>0.1456</v>
      </c>
      <c r="X182" s="879">
        <v>53</v>
      </c>
      <c r="Y182" s="888"/>
      <c r="Z182" s="15" t="s">
        <v>876</v>
      </c>
      <c r="AA182" s="15" t="s">
        <v>2597</v>
      </c>
      <c r="AB182" s="889">
        <v>738</v>
      </c>
      <c r="AC182" s="889">
        <v>1</v>
      </c>
      <c r="AD182" s="889">
        <v>5</v>
      </c>
      <c r="AE182" s="14" t="s">
        <v>65</v>
      </c>
      <c r="AF182" s="15" t="s">
        <v>65</v>
      </c>
      <c r="AG182" s="14" t="s">
        <v>65</v>
      </c>
      <c r="AH182" s="15" t="s">
        <v>856</v>
      </c>
      <c r="AI182" s="890" t="s">
        <v>1309</v>
      </c>
      <c r="AJ182" s="890" t="s">
        <v>2598</v>
      </c>
    </row>
    <row r="183" s="1" customFormat="1" ht="24" customHeight="1" spans="1:36">
      <c r="A183" s="15" t="s">
        <v>65</v>
      </c>
      <c r="B183" s="14" t="s">
        <v>2599</v>
      </c>
      <c r="C183" s="14" t="s">
        <v>2599</v>
      </c>
      <c r="D183" s="14" t="s">
        <v>65</v>
      </c>
      <c r="E183" s="14" t="s">
        <v>2600</v>
      </c>
      <c r="F183" s="14" t="s">
        <v>2601</v>
      </c>
      <c r="G183" s="14" t="s">
        <v>1459</v>
      </c>
      <c r="H183" s="14" t="s">
        <v>2602</v>
      </c>
      <c r="I183" s="14" t="s">
        <v>2603</v>
      </c>
      <c r="J183" s="15" t="s">
        <v>65</v>
      </c>
      <c r="K183" s="14" t="s">
        <v>850</v>
      </c>
      <c r="L183" s="14" t="s">
        <v>851</v>
      </c>
      <c r="M183" s="879">
        <v>44313</v>
      </c>
      <c r="N183" s="880" t="s">
        <v>1201</v>
      </c>
      <c r="O183" s="881" t="s">
        <v>2604</v>
      </c>
      <c r="P183" s="879">
        <v>106</v>
      </c>
      <c r="Q183" s="879">
        <v>1800.94</v>
      </c>
      <c r="R183" s="884">
        <v>13.99</v>
      </c>
      <c r="S183" s="885">
        <v>0</v>
      </c>
      <c r="T183" s="896"/>
      <c r="U183" s="886">
        <v>4.3</v>
      </c>
      <c r="V183" s="879">
        <v>321</v>
      </c>
      <c r="W183" s="887">
        <v>0.1698</v>
      </c>
      <c r="X183" s="879">
        <v>18</v>
      </c>
      <c r="Y183" s="888"/>
      <c r="Z183" s="15" t="s">
        <v>65</v>
      </c>
      <c r="AA183" s="15" t="s">
        <v>2605</v>
      </c>
      <c r="AB183" s="889">
        <v>33</v>
      </c>
      <c r="AC183" s="889">
        <v>1</v>
      </c>
      <c r="AD183" s="889">
        <v>1</v>
      </c>
      <c r="AE183" s="14" t="s">
        <v>65</v>
      </c>
      <c r="AF183" s="15" t="s">
        <v>65</v>
      </c>
      <c r="AG183" s="14" t="s">
        <v>65</v>
      </c>
      <c r="AH183" s="15" t="s">
        <v>856</v>
      </c>
      <c r="AI183" s="890" t="s">
        <v>2606</v>
      </c>
      <c r="AJ183" s="890" t="s">
        <v>2607</v>
      </c>
    </row>
    <row r="184" s="1" customFormat="1" ht="24" customHeight="1" spans="1:36">
      <c r="A184" s="15" t="s">
        <v>65</v>
      </c>
      <c r="B184" s="14" t="s">
        <v>666</v>
      </c>
      <c r="C184" s="14" t="s">
        <v>666</v>
      </c>
      <c r="D184" s="14" t="s">
        <v>65</v>
      </c>
      <c r="E184" s="14" t="s">
        <v>2608</v>
      </c>
      <c r="F184" s="14" t="s">
        <v>2609</v>
      </c>
      <c r="G184" s="14" t="s">
        <v>2610</v>
      </c>
      <c r="H184" s="14" t="s">
        <v>2611</v>
      </c>
      <c r="I184" s="14" t="s">
        <v>2612</v>
      </c>
      <c r="J184" s="15" t="s">
        <v>974</v>
      </c>
      <c r="K184" s="14" t="s">
        <v>850</v>
      </c>
      <c r="L184" s="14" t="s">
        <v>851</v>
      </c>
      <c r="M184" s="879">
        <v>26866</v>
      </c>
      <c r="N184" s="880" t="s">
        <v>852</v>
      </c>
      <c r="O184" s="881" t="s">
        <v>2613</v>
      </c>
      <c r="P184" s="879">
        <v>358</v>
      </c>
      <c r="Q184" s="879">
        <v>28636.42</v>
      </c>
      <c r="R184" s="884">
        <v>79.99</v>
      </c>
      <c r="S184" s="885">
        <v>0.5814</v>
      </c>
      <c r="T184" s="884">
        <v>21.49</v>
      </c>
      <c r="U184" s="886">
        <v>4.7</v>
      </c>
      <c r="V184" s="879">
        <v>2347</v>
      </c>
      <c r="W184" s="887">
        <v>0.1006</v>
      </c>
      <c r="X184" s="879">
        <v>36</v>
      </c>
      <c r="Y184" s="879">
        <v>206</v>
      </c>
      <c r="Z184" s="15" t="s">
        <v>947</v>
      </c>
      <c r="AA184" s="15" t="s">
        <v>2614</v>
      </c>
      <c r="AB184" s="889">
        <v>921</v>
      </c>
      <c r="AC184" s="889">
        <v>1</v>
      </c>
      <c r="AD184" s="889">
        <v>1</v>
      </c>
      <c r="AE184" s="14" t="s">
        <v>867</v>
      </c>
      <c r="AF184" s="15" t="s">
        <v>65</v>
      </c>
      <c r="AG184" s="14" t="s">
        <v>65</v>
      </c>
      <c r="AH184" s="15" t="s">
        <v>856</v>
      </c>
      <c r="AI184" s="890" t="s">
        <v>1785</v>
      </c>
      <c r="AJ184" s="890" t="s">
        <v>2615</v>
      </c>
    </row>
    <row r="185" s="1" customFormat="1" ht="24" customHeight="1" spans="1:36">
      <c r="A185" s="15" t="s">
        <v>65</v>
      </c>
      <c r="B185" s="14" t="s">
        <v>2616</v>
      </c>
      <c r="C185" s="14" t="s">
        <v>2616</v>
      </c>
      <c r="D185" s="14" t="s">
        <v>65</v>
      </c>
      <c r="E185" s="14" t="s">
        <v>2617</v>
      </c>
      <c r="F185" s="14" t="s">
        <v>2618</v>
      </c>
      <c r="G185" s="14" t="s">
        <v>2619</v>
      </c>
      <c r="H185" s="14" t="s">
        <v>2620</v>
      </c>
      <c r="I185" s="14" t="s">
        <v>2621</v>
      </c>
      <c r="J185" s="15" t="s">
        <v>1003</v>
      </c>
      <c r="K185" s="14" t="s">
        <v>850</v>
      </c>
      <c r="L185" s="14" t="s">
        <v>851</v>
      </c>
      <c r="M185" s="879">
        <v>35086</v>
      </c>
      <c r="N185" s="880" t="s">
        <v>852</v>
      </c>
      <c r="O185" s="881" t="s">
        <v>2622</v>
      </c>
      <c r="P185" s="879">
        <v>171</v>
      </c>
      <c r="Q185" s="879">
        <v>3418.29</v>
      </c>
      <c r="R185" s="884">
        <v>19.99</v>
      </c>
      <c r="S185" s="885">
        <v>0.5799</v>
      </c>
      <c r="T185" s="884">
        <v>5.4</v>
      </c>
      <c r="U185" s="886">
        <v>4.4</v>
      </c>
      <c r="V185" s="879">
        <v>386</v>
      </c>
      <c r="W185" s="887">
        <v>0.0994</v>
      </c>
      <c r="X185" s="879">
        <v>17</v>
      </c>
      <c r="Y185" s="888"/>
      <c r="Z185" s="15" t="s">
        <v>947</v>
      </c>
      <c r="AA185" s="15" t="s">
        <v>2623</v>
      </c>
      <c r="AB185" s="889">
        <v>1056</v>
      </c>
      <c r="AC185" s="889">
        <v>1</v>
      </c>
      <c r="AD185" s="889">
        <v>1</v>
      </c>
      <c r="AE185" s="14" t="s">
        <v>2624</v>
      </c>
      <c r="AF185" s="15" t="s">
        <v>1288</v>
      </c>
      <c r="AG185" s="14" t="s">
        <v>2625</v>
      </c>
      <c r="AH185" s="15" t="s">
        <v>856</v>
      </c>
      <c r="AI185" s="890" t="s">
        <v>2626</v>
      </c>
      <c r="AJ185" s="890" t="s">
        <v>2627</v>
      </c>
    </row>
    <row r="186" s="1" customFormat="1" ht="24" customHeight="1" spans="1:36">
      <c r="A186" s="15" t="s">
        <v>65</v>
      </c>
      <c r="B186" s="14" t="s">
        <v>2628</v>
      </c>
      <c r="C186" s="14" t="s">
        <v>2628</v>
      </c>
      <c r="D186" s="14" t="s">
        <v>65</v>
      </c>
      <c r="E186" s="14" t="s">
        <v>2629</v>
      </c>
      <c r="F186" s="14" t="s">
        <v>2630</v>
      </c>
      <c r="G186" s="14" t="s">
        <v>2631</v>
      </c>
      <c r="H186" s="14" t="s">
        <v>2632</v>
      </c>
      <c r="I186" s="14" t="s">
        <v>2633</v>
      </c>
      <c r="J186" s="15" t="s">
        <v>934</v>
      </c>
      <c r="K186" s="14" t="s">
        <v>850</v>
      </c>
      <c r="L186" s="14" t="s">
        <v>851</v>
      </c>
      <c r="M186" s="879">
        <v>45571</v>
      </c>
      <c r="N186" s="880" t="s">
        <v>852</v>
      </c>
      <c r="O186" s="881" t="s">
        <v>2634</v>
      </c>
      <c r="P186" s="879">
        <v>235</v>
      </c>
      <c r="Q186" s="879">
        <v>6107.65</v>
      </c>
      <c r="R186" s="884">
        <v>25.99</v>
      </c>
      <c r="S186" s="885">
        <v>0.6311</v>
      </c>
      <c r="T186" s="884">
        <v>5.69</v>
      </c>
      <c r="U186" s="886">
        <v>4.3</v>
      </c>
      <c r="V186" s="879">
        <v>60</v>
      </c>
      <c r="W186" s="887">
        <v>0.0681</v>
      </c>
      <c r="X186" s="879">
        <v>16</v>
      </c>
      <c r="Y186" s="888"/>
      <c r="Z186" s="15" t="s">
        <v>65</v>
      </c>
      <c r="AA186" s="15" t="s">
        <v>2635</v>
      </c>
      <c r="AB186" s="889">
        <v>304</v>
      </c>
      <c r="AC186" s="889">
        <v>1</v>
      </c>
      <c r="AD186" s="889">
        <v>1</v>
      </c>
      <c r="AE186" s="14" t="s">
        <v>65</v>
      </c>
      <c r="AF186" s="15" t="s">
        <v>65</v>
      </c>
      <c r="AG186" s="14" t="s">
        <v>65</v>
      </c>
      <c r="AH186" s="15" t="s">
        <v>856</v>
      </c>
      <c r="AI186" s="890" t="s">
        <v>2636</v>
      </c>
      <c r="AJ186" s="890" t="s">
        <v>2637</v>
      </c>
    </row>
    <row r="187" s="1" customFormat="1" ht="24" customHeight="1" spans="1:36">
      <c r="A187" s="15" t="s">
        <v>65</v>
      </c>
      <c r="B187" s="14" t="s">
        <v>2638</v>
      </c>
      <c r="C187" s="14" t="s">
        <v>2638</v>
      </c>
      <c r="D187" s="14" t="s">
        <v>65</v>
      </c>
      <c r="E187" s="14" t="s">
        <v>2639</v>
      </c>
      <c r="F187" s="14" t="s">
        <v>2640</v>
      </c>
      <c r="G187" s="14" t="s">
        <v>1173</v>
      </c>
      <c r="H187" s="14" t="s">
        <v>2641</v>
      </c>
      <c r="I187" s="14" t="s">
        <v>2642</v>
      </c>
      <c r="J187" s="15" t="s">
        <v>974</v>
      </c>
      <c r="K187" s="14" t="s">
        <v>850</v>
      </c>
      <c r="L187" s="14" t="s">
        <v>851</v>
      </c>
      <c r="M187" s="879">
        <v>55428</v>
      </c>
      <c r="N187" s="880" t="s">
        <v>852</v>
      </c>
      <c r="O187" s="881" t="s">
        <v>2643</v>
      </c>
      <c r="P187" s="879">
        <v>331</v>
      </c>
      <c r="Q187" s="879">
        <v>22001.57</v>
      </c>
      <c r="R187" s="884">
        <v>66.47</v>
      </c>
      <c r="S187" s="885">
        <v>0.5456</v>
      </c>
      <c r="T187" s="884">
        <v>20.23</v>
      </c>
      <c r="U187" s="886">
        <v>4.6</v>
      </c>
      <c r="V187" s="879">
        <v>2225</v>
      </c>
      <c r="W187" s="887">
        <v>0.0363</v>
      </c>
      <c r="X187" s="879">
        <v>12</v>
      </c>
      <c r="Y187" s="888"/>
      <c r="Z187" s="15" t="s">
        <v>854</v>
      </c>
      <c r="AA187" s="15" t="s">
        <v>1176</v>
      </c>
      <c r="AB187" s="889">
        <v>1966</v>
      </c>
      <c r="AC187" s="889">
        <v>1</v>
      </c>
      <c r="AD187" s="889">
        <v>1</v>
      </c>
      <c r="AE187" s="14" t="s">
        <v>867</v>
      </c>
      <c r="AF187" s="15" t="s">
        <v>65</v>
      </c>
      <c r="AG187" s="14" t="s">
        <v>65</v>
      </c>
      <c r="AH187" s="15" t="s">
        <v>856</v>
      </c>
      <c r="AI187" s="890" t="s">
        <v>2644</v>
      </c>
      <c r="AJ187" s="890" t="s">
        <v>1178</v>
      </c>
    </row>
    <row r="188" s="1" customFormat="1" ht="24" customHeight="1" spans="1:36">
      <c r="A188" s="15" t="s">
        <v>65</v>
      </c>
      <c r="B188" s="14" t="s">
        <v>2645</v>
      </c>
      <c r="C188" s="14" t="s">
        <v>2645</v>
      </c>
      <c r="D188" s="14" t="s">
        <v>65</v>
      </c>
      <c r="E188" s="14" t="s">
        <v>2646</v>
      </c>
      <c r="F188" s="14" t="s">
        <v>2647</v>
      </c>
      <c r="G188" s="14" t="s">
        <v>2648</v>
      </c>
      <c r="H188" s="14" t="s">
        <v>2649</v>
      </c>
      <c r="I188" s="14" t="s">
        <v>2650</v>
      </c>
      <c r="J188" s="15" t="s">
        <v>934</v>
      </c>
      <c r="K188" s="14" t="s">
        <v>850</v>
      </c>
      <c r="L188" s="14" t="s">
        <v>851</v>
      </c>
      <c r="M188" s="879">
        <v>38508</v>
      </c>
      <c r="N188" s="880" t="s">
        <v>852</v>
      </c>
      <c r="O188" s="881" t="s">
        <v>2651</v>
      </c>
      <c r="P188" s="879">
        <v>109</v>
      </c>
      <c r="Q188" s="879">
        <v>1252.41</v>
      </c>
      <c r="R188" s="884">
        <v>11.49</v>
      </c>
      <c r="S188" s="885">
        <v>0.495</v>
      </c>
      <c r="T188" s="884">
        <v>4.08</v>
      </c>
      <c r="U188" s="886">
        <v>4.6</v>
      </c>
      <c r="V188" s="879">
        <v>69</v>
      </c>
      <c r="W188" s="887">
        <v>0.055</v>
      </c>
      <c r="X188" s="879">
        <v>6</v>
      </c>
      <c r="Y188" s="888"/>
      <c r="Z188" s="15" t="s">
        <v>947</v>
      </c>
      <c r="AA188" s="15" t="s">
        <v>2652</v>
      </c>
      <c r="AB188" s="889">
        <v>409</v>
      </c>
      <c r="AC188" s="889">
        <v>1</v>
      </c>
      <c r="AD188" s="889">
        <v>1</v>
      </c>
      <c r="AE188" s="14" t="s">
        <v>65</v>
      </c>
      <c r="AF188" s="15" t="s">
        <v>65</v>
      </c>
      <c r="AG188" s="14" t="s">
        <v>65</v>
      </c>
      <c r="AH188" s="15" t="s">
        <v>856</v>
      </c>
      <c r="AI188" s="890" t="s">
        <v>2653</v>
      </c>
      <c r="AJ188" s="890" t="s">
        <v>2654</v>
      </c>
    </row>
    <row r="189" s="1" customFormat="1" ht="24" customHeight="1" spans="1:36">
      <c r="A189" s="15" t="s">
        <v>65</v>
      </c>
      <c r="B189" s="14" t="s">
        <v>2655</v>
      </c>
      <c r="C189" s="14" t="s">
        <v>2655</v>
      </c>
      <c r="D189" s="14" t="s">
        <v>65</v>
      </c>
      <c r="E189" s="14" t="s">
        <v>2656</v>
      </c>
      <c r="F189" s="14" t="s">
        <v>2657</v>
      </c>
      <c r="G189" s="14" t="s">
        <v>2658</v>
      </c>
      <c r="H189" s="14" t="s">
        <v>2659</v>
      </c>
      <c r="I189" s="14" t="s">
        <v>2660</v>
      </c>
      <c r="J189" s="15" t="s">
        <v>974</v>
      </c>
      <c r="K189" s="14" t="s">
        <v>850</v>
      </c>
      <c r="L189" s="14" t="s">
        <v>851</v>
      </c>
      <c r="M189" s="879">
        <v>39314</v>
      </c>
      <c r="N189" s="880" t="s">
        <v>852</v>
      </c>
      <c r="O189" s="881" t="s">
        <v>2661</v>
      </c>
      <c r="P189" s="879">
        <v>161</v>
      </c>
      <c r="Q189" s="879">
        <v>24148.39</v>
      </c>
      <c r="R189" s="884">
        <v>149.99</v>
      </c>
      <c r="S189" s="885">
        <v>0.6899</v>
      </c>
      <c r="T189" s="884">
        <v>24.01</v>
      </c>
      <c r="U189" s="886">
        <v>5</v>
      </c>
      <c r="V189" s="879">
        <v>5</v>
      </c>
      <c r="W189" s="887">
        <v>0.0248</v>
      </c>
      <c r="X189" s="879">
        <v>4</v>
      </c>
      <c r="Y189" s="888"/>
      <c r="Z189" s="15" t="s">
        <v>947</v>
      </c>
      <c r="AA189" s="15" t="s">
        <v>2662</v>
      </c>
      <c r="AB189" s="889">
        <v>47</v>
      </c>
      <c r="AC189" s="889">
        <v>1</v>
      </c>
      <c r="AD189" s="889">
        <v>1</v>
      </c>
      <c r="AE189" s="14" t="s">
        <v>2663</v>
      </c>
      <c r="AF189" s="15" t="s">
        <v>1288</v>
      </c>
      <c r="AG189" s="14" t="s">
        <v>2664</v>
      </c>
      <c r="AH189" s="15" t="s">
        <v>856</v>
      </c>
      <c r="AI189" s="890" t="s">
        <v>2665</v>
      </c>
      <c r="AJ189" s="890" t="s">
        <v>1436</v>
      </c>
    </row>
    <row r="190" s="1" customFormat="1" ht="24" customHeight="1" spans="1:36">
      <c r="A190" s="15" t="s">
        <v>65</v>
      </c>
      <c r="B190" s="14" t="s">
        <v>2666</v>
      </c>
      <c r="C190" s="14" t="s">
        <v>2666</v>
      </c>
      <c r="D190" s="14" t="s">
        <v>65</v>
      </c>
      <c r="E190" s="14" t="s">
        <v>2667</v>
      </c>
      <c r="F190" s="14" t="s">
        <v>2668</v>
      </c>
      <c r="G190" s="14" t="s">
        <v>1833</v>
      </c>
      <c r="H190" s="14" t="s">
        <v>2669</v>
      </c>
      <c r="I190" s="14" t="s">
        <v>2670</v>
      </c>
      <c r="J190" s="15" t="s">
        <v>1003</v>
      </c>
      <c r="K190" s="14" t="s">
        <v>850</v>
      </c>
      <c r="L190" s="14" t="s">
        <v>851</v>
      </c>
      <c r="M190" s="879">
        <v>40491</v>
      </c>
      <c r="N190" s="880" t="s">
        <v>852</v>
      </c>
      <c r="O190" s="881" t="s">
        <v>2671</v>
      </c>
      <c r="P190" s="879">
        <v>198</v>
      </c>
      <c r="Q190" s="879">
        <v>41138.46</v>
      </c>
      <c r="R190" s="884">
        <v>202.64</v>
      </c>
      <c r="S190" s="885">
        <v>0.7365</v>
      </c>
      <c r="T190" s="884">
        <v>23.59</v>
      </c>
      <c r="U190" s="886">
        <v>4.5</v>
      </c>
      <c r="V190" s="879">
        <v>236</v>
      </c>
      <c r="W190" s="887">
        <v>0.0455</v>
      </c>
      <c r="X190" s="879">
        <v>9</v>
      </c>
      <c r="Y190" s="888"/>
      <c r="Z190" s="15" t="s">
        <v>947</v>
      </c>
      <c r="AA190" s="15" t="s">
        <v>2672</v>
      </c>
      <c r="AB190" s="889">
        <v>793</v>
      </c>
      <c r="AC190" s="889">
        <v>1</v>
      </c>
      <c r="AD190" s="889">
        <v>19</v>
      </c>
      <c r="AE190" s="14" t="s">
        <v>2673</v>
      </c>
      <c r="AF190" s="15" t="s">
        <v>1110</v>
      </c>
      <c r="AG190" s="14" t="s">
        <v>2674</v>
      </c>
      <c r="AH190" s="15" t="s">
        <v>856</v>
      </c>
      <c r="AI190" s="890" t="s">
        <v>2361</v>
      </c>
      <c r="AJ190" s="890" t="s">
        <v>2675</v>
      </c>
    </row>
    <row r="191" s="1" customFormat="1" ht="24" customHeight="1" spans="1:36">
      <c r="A191" s="15" t="s">
        <v>65</v>
      </c>
      <c r="B191" s="14" t="s">
        <v>2676</v>
      </c>
      <c r="C191" s="14" t="s">
        <v>2676</v>
      </c>
      <c r="D191" s="14" t="s">
        <v>65</v>
      </c>
      <c r="E191" s="14" t="s">
        <v>2677</v>
      </c>
      <c r="F191" s="14" t="s">
        <v>2678</v>
      </c>
      <c r="G191" s="14" t="s">
        <v>846</v>
      </c>
      <c r="H191" s="14" t="s">
        <v>2679</v>
      </c>
      <c r="I191" s="14" t="s">
        <v>2680</v>
      </c>
      <c r="J191" s="15" t="s">
        <v>1042</v>
      </c>
      <c r="K191" s="14" t="s">
        <v>850</v>
      </c>
      <c r="L191" s="14" t="s">
        <v>851</v>
      </c>
      <c r="M191" s="879">
        <v>27089</v>
      </c>
      <c r="N191" s="880" t="s">
        <v>852</v>
      </c>
      <c r="O191" s="881" t="s">
        <v>1973</v>
      </c>
      <c r="P191" s="879">
        <v>211</v>
      </c>
      <c r="Q191" s="879">
        <v>25098.45</v>
      </c>
      <c r="R191" s="884">
        <v>118.95</v>
      </c>
      <c r="S191" s="885">
        <v>0.6729</v>
      </c>
      <c r="T191" s="884">
        <v>21.07</v>
      </c>
      <c r="U191" s="898"/>
      <c r="V191" s="888"/>
      <c r="W191" s="887">
        <v>0</v>
      </c>
      <c r="X191" s="888"/>
      <c r="Y191" s="888"/>
      <c r="Z191" s="15" t="s">
        <v>65</v>
      </c>
      <c r="AA191" s="15" t="s">
        <v>2681</v>
      </c>
      <c r="AB191" s="889">
        <v>36</v>
      </c>
      <c r="AC191" s="889">
        <v>1</v>
      </c>
      <c r="AD191" s="889">
        <v>1</v>
      </c>
      <c r="AE191" s="14" t="s">
        <v>2682</v>
      </c>
      <c r="AF191" s="15" t="s">
        <v>2683</v>
      </c>
      <c r="AG191" s="14" t="s">
        <v>2684</v>
      </c>
      <c r="AH191" s="15" t="s">
        <v>856</v>
      </c>
      <c r="AI191" s="890" t="s">
        <v>2685</v>
      </c>
      <c r="AJ191" s="890" t="s">
        <v>2686</v>
      </c>
    </row>
    <row r="192" s="1" customFormat="1" ht="24" customHeight="1" spans="1:36">
      <c r="A192" s="15" t="s">
        <v>65</v>
      </c>
      <c r="B192" s="14" t="s">
        <v>2687</v>
      </c>
      <c r="C192" s="14" t="s">
        <v>2687</v>
      </c>
      <c r="D192" s="14" t="s">
        <v>65</v>
      </c>
      <c r="E192" s="14" t="s">
        <v>2688</v>
      </c>
      <c r="F192" s="14" t="s">
        <v>2689</v>
      </c>
      <c r="G192" s="14" t="s">
        <v>2690</v>
      </c>
      <c r="H192" s="14" t="s">
        <v>2691</v>
      </c>
      <c r="I192" s="14" t="s">
        <v>2692</v>
      </c>
      <c r="J192" s="15" t="s">
        <v>934</v>
      </c>
      <c r="K192" s="14" t="s">
        <v>850</v>
      </c>
      <c r="L192" s="14" t="s">
        <v>851</v>
      </c>
      <c r="M192" s="879">
        <v>25520</v>
      </c>
      <c r="N192" s="880" t="s">
        <v>852</v>
      </c>
      <c r="O192" s="881" t="s">
        <v>2002</v>
      </c>
      <c r="P192" s="879">
        <v>208</v>
      </c>
      <c r="Q192" s="879">
        <v>31197.922</v>
      </c>
      <c r="R192" s="884">
        <v>149.99</v>
      </c>
      <c r="S192" s="885">
        <v>0.6731</v>
      </c>
      <c r="T192" s="884">
        <v>26.53</v>
      </c>
      <c r="U192" s="886">
        <v>4.2</v>
      </c>
      <c r="V192" s="879">
        <v>69</v>
      </c>
      <c r="W192" s="887">
        <v>0.0144</v>
      </c>
      <c r="X192" s="879">
        <v>3</v>
      </c>
      <c r="Y192" s="888"/>
      <c r="Z192" s="15" t="s">
        <v>876</v>
      </c>
      <c r="AA192" s="15" t="s">
        <v>2693</v>
      </c>
      <c r="AB192" s="889">
        <v>684</v>
      </c>
      <c r="AC192" s="889">
        <v>1</v>
      </c>
      <c r="AD192" s="889">
        <v>1</v>
      </c>
      <c r="AE192" s="14" t="s">
        <v>867</v>
      </c>
      <c r="AF192" s="15" t="s">
        <v>65</v>
      </c>
      <c r="AG192" s="14" t="s">
        <v>65</v>
      </c>
      <c r="AH192" s="15" t="s">
        <v>856</v>
      </c>
      <c r="AI192" s="890" t="s">
        <v>2694</v>
      </c>
      <c r="AJ192" s="890" t="s">
        <v>2695</v>
      </c>
    </row>
    <row r="193" s="1" customFormat="1" ht="24" customHeight="1" spans="1:36">
      <c r="A193" s="15" t="s">
        <v>65</v>
      </c>
      <c r="B193" s="14" t="s">
        <v>2696</v>
      </c>
      <c r="C193" s="14" t="s">
        <v>2696</v>
      </c>
      <c r="D193" s="14" t="s">
        <v>65</v>
      </c>
      <c r="E193" s="14" t="s">
        <v>2697</v>
      </c>
      <c r="F193" s="14" t="s">
        <v>2698</v>
      </c>
      <c r="G193" s="14" t="s">
        <v>2699</v>
      </c>
      <c r="H193" s="14" t="s">
        <v>2700</v>
      </c>
      <c r="I193" s="14" t="s">
        <v>2701</v>
      </c>
      <c r="J193" s="15" t="s">
        <v>934</v>
      </c>
      <c r="K193" s="14" t="s">
        <v>850</v>
      </c>
      <c r="L193" s="14" t="s">
        <v>851</v>
      </c>
      <c r="M193" s="879">
        <v>28889</v>
      </c>
      <c r="N193" s="880" t="s">
        <v>852</v>
      </c>
      <c r="O193" s="881" t="s">
        <v>2702</v>
      </c>
      <c r="P193" s="879">
        <v>98</v>
      </c>
      <c r="Q193" s="879">
        <v>5487.02</v>
      </c>
      <c r="R193" s="884">
        <v>55.99</v>
      </c>
      <c r="S193" s="885">
        <v>0.5412</v>
      </c>
      <c r="T193" s="884">
        <v>17.29</v>
      </c>
      <c r="U193" s="886">
        <v>4.2</v>
      </c>
      <c r="V193" s="879">
        <v>20</v>
      </c>
      <c r="W193" s="887">
        <v>0.0408</v>
      </c>
      <c r="X193" s="879">
        <v>4</v>
      </c>
      <c r="Y193" s="888"/>
      <c r="Z193" s="15" t="s">
        <v>947</v>
      </c>
      <c r="AA193" s="15" t="s">
        <v>2703</v>
      </c>
      <c r="AB193" s="889">
        <v>659</v>
      </c>
      <c r="AC193" s="889">
        <v>1</v>
      </c>
      <c r="AD193" s="889">
        <v>1</v>
      </c>
      <c r="AE193" s="14" t="s">
        <v>2704</v>
      </c>
      <c r="AF193" s="15" t="s">
        <v>1110</v>
      </c>
      <c r="AG193" s="14" t="s">
        <v>2705</v>
      </c>
      <c r="AH193" s="15" t="s">
        <v>856</v>
      </c>
      <c r="AI193" s="890" t="s">
        <v>2706</v>
      </c>
      <c r="AJ193" s="890" t="s">
        <v>2707</v>
      </c>
    </row>
    <row r="194" s="1" customFormat="1" ht="24" customHeight="1" spans="1:36">
      <c r="A194" s="15" t="s">
        <v>65</v>
      </c>
      <c r="B194" s="14" t="s">
        <v>2708</v>
      </c>
      <c r="C194" s="14" t="s">
        <v>2708</v>
      </c>
      <c r="D194" s="14" t="s">
        <v>65</v>
      </c>
      <c r="E194" s="14" t="s">
        <v>2709</v>
      </c>
      <c r="F194" s="14" t="s">
        <v>2710</v>
      </c>
      <c r="G194" s="14" t="s">
        <v>2711</v>
      </c>
      <c r="H194" s="14" t="s">
        <v>2712</v>
      </c>
      <c r="I194" s="14" t="s">
        <v>2713</v>
      </c>
      <c r="J194" s="15" t="s">
        <v>934</v>
      </c>
      <c r="K194" s="14" t="s">
        <v>850</v>
      </c>
      <c r="L194" s="14" t="s">
        <v>851</v>
      </c>
      <c r="M194" s="879">
        <v>36116</v>
      </c>
      <c r="N194" s="880" t="s">
        <v>852</v>
      </c>
      <c r="O194" s="881" t="s">
        <v>2714</v>
      </c>
      <c r="P194" s="879">
        <v>272</v>
      </c>
      <c r="Q194" s="879">
        <v>13657.12</v>
      </c>
      <c r="R194" s="884">
        <v>50.21</v>
      </c>
      <c r="S194" s="885">
        <v>0.5391</v>
      </c>
      <c r="T194" s="884">
        <v>15.61</v>
      </c>
      <c r="U194" s="886">
        <v>4.6</v>
      </c>
      <c r="V194" s="879">
        <v>970</v>
      </c>
      <c r="W194" s="887">
        <v>0.2059</v>
      </c>
      <c r="X194" s="879">
        <v>56</v>
      </c>
      <c r="Y194" s="888"/>
      <c r="Z194" s="15" t="s">
        <v>854</v>
      </c>
      <c r="AA194" s="15" t="s">
        <v>2715</v>
      </c>
      <c r="AB194" s="889">
        <v>718</v>
      </c>
      <c r="AC194" s="889">
        <v>1</v>
      </c>
      <c r="AD194" s="889">
        <v>2</v>
      </c>
      <c r="AE194" s="14" t="s">
        <v>867</v>
      </c>
      <c r="AF194" s="15" t="s">
        <v>65</v>
      </c>
      <c r="AG194" s="14" t="s">
        <v>65</v>
      </c>
      <c r="AH194" s="15" t="s">
        <v>856</v>
      </c>
      <c r="AI194" s="890" t="s">
        <v>2393</v>
      </c>
      <c r="AJ194" s="890" t="s">
        <v>2716</v>
      </c>
    </row>
    <row r="195" s="1" customFormat="1" ht="24" customHeight="1" spans="1:36">
      <c r="A195" s="15" t="s">
        <v>65</v>
      </c>
      <c r="B195" s="14" t="s">
        <v>2717</v>
      </c>
      <c r="C195" s="14" t="s">
        <v>2718</v>
      </c>
      <c r="D195" s="14" t="s">
        <v>2719</v>
      </c>
      <c r="E195" s="14" t="s">
        <v>2720</v>
      </c>
      <c r="F195" s="14" t="s">
        <v>2721</v>
      </c>
      <c r="G195" s="14" t="s">
        <v>1323</v>
      </c>
      <c r="H195" s="14" t="s">
        <v>2722</v>
      </c>
      <c r="I195" s="14" t="s">
        <v>2723</v>
      </c>
      <c r="J195" s="15" t="s">
        <v>65</v>
      </c>
      <c r="K195" s="14" t="s">
        <v>850</v>
      </c>
      <c r="L195" s="14" t="s">
        <v>851</v>
      </c>
      <c r="M195" s="879">
        <v>35330</v>
      </c>
      <c r="N195" s="880" t="s">
        <v>852</v>
      </c>
      <c r="O195" s="881" t="s">
        <v>2724</v>
      </c>
      <c r="P195" s="879">
        <v>221</v>
      </c>
      <c r="Q195" s="879">
        <v>30928.95</v>
      </c>
      <c r="R195" s="884">
        <v>139.95</v>
      </c>
      <c r="S195" s="885">
        <v>0.6875</v>
      </c>
      <c r="T195" s="884">
        <v>22.75</v>
      </c>
      <c r="U195" s="886">
        <v>4.7</v>
      </c>
      <c r="V195" s="879">
        <v>790</v>
      </c>
      <c r="W195" s="887">
        <v>0.0995</v>
      </c>
      <c r="X195" s="879">
        <v>22</v>
      </c>
      <c r="Y195" s="888"/>
      <c r="Z195" s="15" t="s">
        <v>876</v>
      </c>
      <c r="AA195" s="15" t="s">
        <v>2725</v>
      </c>
      <c r="AB195" s="889">
        <v>699</v>
      </c>
      <c r="AC195" s="889">
        <v>7</v>
      </c>
      <c r="AD195" s="889">
        <v>1</v>
      </c>
      <c r="AE195" s="14" t="s">
        <v>2726</v>
      </c>
      <c r="AF195" s="15" t="s">
        <v>65</v>
      </c>
      <c r="AG195" s="14" t="s">
        <v>2727</v>
      </c>
      <c r="AH195" s="15" t="s">
        <v>2728</v>
      </c>
      <c r="AI195" s="890" t="s">
        <v>1517</v>
      </c>
      <c r="AJ195" s="890" t="s">
        <v>2729</v>
      </c>
    </row>
    <row r="196" s="1" customFormat="1" ht="24" customHeight="1" spans="1:36">
      <c r="A196" s="15" t="s">
        <v>65</v>
      </c>
      <c r="B196" s="14" t="s">
        <v>2730</v>
      </c>
      <c r="C196" s="14" t="s">
        <v>2730</v>
      </c>
      <c r="D196" s="14" t="s">
        <v>65</v>
      </c>
      <c r="E196" s="14" t="s">
        <v>2731</v>
      </c>
      <c r="F196" s="14" t="s">
        <v>2732</v>
      </c>
      <c r="G196" s="14" t="s">
        <v>2418</v>
      </c>
      <c r="H196" s="14" t="s">
        <v>2733</v>
      </c>
      <c r="I196" s="14" t="s">
        <v>2734</v>
      </c>
      <c r="J196" s="15" t="s">
        <v>934</v>
      </c>
      <c r="K196" s="14" t="s">
        <v>850</v>
      </c>
      <c r="L196" s="14" t="s">
        <v>851</v>
      </c>
      <c r="M196" s="879">
        <v>42810</v>
      </c>
      <c r="N196" s="880" t="s">
        <v>852</v>
      </c>
      <c r="O196" s="881" t="s">
        <v>2735</v>
      </c>
      <c r="P196" s="879">
        <v>187</v>
      </c>
      <c r="Q196" s="879">
        <v>7478.1304</v>
      </c>
      <c r="R196" s="884">
        <v>39.99</v>
      </c>
      <c r="S196" s="885">
        <v>0.4911</v>
      </c>
      <c r="T196" s="884">
        <v>14.35</v>
      </c>
      <c r="U196" s="886">
        <v>4.4</v>
      </c>
      <c r="V196" s="879">
        <v>1312</v>
      </c>
      <c r="W196" s="887">
        <v>0.107</v>
      </c>
      <c r="X196" s="879">
        <v>20</v>
      </c>
      <c r="Y196" s="888"/>
      <c r="Z196" s="15" t="s">
        <v>876</v>
      </c>
      <c r="AA196" s="15" t="s">
        <v>2736</v>
      </c>
      <c r="AB196" s="889">
        <v>1006</v>
      </c>
      <c r="AC196" s="889">
        <v>1</v>
      </c>
      <c r="AD196" s="889">
        <v>5</v>
      </c>
      <c r="AE196" s="14" t="s">
        <v>867</v>
      </c>
      <c r="AF196" s="15" t="s">
        <v>65</v>
      </c>
      <c r="AG196" s="14" t="s">
        <v>65</v>
      </c>
      <c r="AH196" s="15" t="s">
        <v>856</v>
      </c>
      <c r="AI196" s="890" t="s">
        <v>2737</v>
      </c>
      <c r="AJ196" s="890" t="s">
        <v>2738</v>
      </c>
    </row>
    <row r="197" s="1" customFormat="1" ht="24" customHeight="1" spans="1:36">
      <c r="A197" s="15" t="s">
        <v>65</v>
      </c>
      <c r="B197" s="14" t="s">
        <v>2739</v>
      </c>
      <c r="C197" s="14" t="s">
        <v>2739</v>
      </c>
      <c r="D197" s="14" t="s">
        <v>65</v>
      </c>
      <c r="E197" s="14" t="s">
        <v>2740</v>
      </c>
      <c r="F197" s="14" t="s">
        <v>2741</v>
      </c>
      <c r="G197" s="14" t="s">
        <v>2742</v>
      </c>
      <c r="H197" s="14" t="s">
        <v>2743</v>
      </c>
      <c r="I197" s="14" t="s">
        <v>2744</v>
      </c>
      <c r="J197" s="15" t="s">
        <v>1003</v>
      </c>
      <c r="K197" s="14" t="s">
        <v>850</v>
      </c>
      <c r="L197" s="14" t="s">
        <v>851</v>
      </c>
      <c r="M197" s="879">
        <v>65786</v>
      </c>
      <c r="N197" s="880" t="s">
        <v>852</v>
      </c>
      <c r="O197" s="881" t="s">
        <v>2745</v>
      </c>
      <c r="P197" s="879">
        <v>181</v>
      </c>
      <c r="Q197" s="879">
        <v>2713.19</v>
      </c>
      <c r="R197" s="884">
        <v>14.99</v>
      </c>
      <c r="S197" s="885">
        <v>0.4898</v>
      </c>
      <c r="T197" s="884">
        <v>5.4</v>
      </c>
      <c r="U197" s="886">
        <v>4.7</v>
      </c>
      <c r="V197" s="879">
        <v>83</v>
      </c>
      <c r="W197" s="887">
        <v>0.0663</v>
      </c>
      <c r="X197" s="879">
        <v>12</v>
      </c>
      <c r="Y197" s="888"/>
      <c r="Z197" s="15" t="s">
        <v>65</v>
      </c>
      <c r="AA197" s="15" t="s">
        <v>2746</v>
      </c>
      <c r="AB197" s="889">
        <v>355</v>
      </c>
      <c r="AC197" s="889">
        <v>1</v>
      </c>
      <c r="AD197" s="889">
        <v>1</v>
      </c>
      <c r="AE197" s="14" t="s">
        <v>2747</v>
      </c>
      <c r="AF197" s="15" t="s">
        <v>1288</v>
      </c>
      <c r="AG197" s="14" t="s">
        <v>2748</v>
      </c>
      <c r="AH197" s="15" t="s">
        <v>856</v>
      </c>
      <c r="AI197" s="890" t="s">
        <v>2045</v>
      </c>
      <c r="AJ197" s="890" t="s">
        <v>2749</v>
      </c>
    </row>
    <row r="198" s="1" customFormat="1" ht="24" customHeight="1" spans="1:36">
      <c r="A198" s="15" t="s">
        <v>65</v>
      </c>
      <c r="B198" s="14" t="s">
        <v>2750</v>
      </c>
      <c r="C198" s="14" t="s">
        <v>2750</v>
      </c>
      <c r="D198" s="14" t="s">
        <v>65</v>
      </c>
      <c r="E198" s="14" t="s">
        <v>2751</v>
      </c>
      <c r="F198" s="14" t="s">
        <v>2752</v>
      </c>
      <c r="G198" s="14" t="s">
        <v>1132</v>
      </c>
      <c r="H198" s="14" t="s">
        <v>2753</v>
      </c>
      <c r="I198" s="14" t="s">
        <v>2754</v>
      </c>
      <c r="J198" s="15" t="s">
        <v>65</v>
      </c>
      <c r="K198" s="14" t="s">
        <v>850</v>
      </c>
      <c r="L198" s="14" t="s">
        <v>851</v>
      </c>
      <c r="M198" s="879">
        <v>63114</v>
      </c>
      <c r="N198" s="880" t="s">
        <v>852</v>
      </c>
      <c r="O198" s="881" t="s">
        <v>2755</v>
      </c>
      <c r="P198" s="879">
        <v>199</v>
      </c>
      <c r="Q198" s="879">
        <v>25868.012</v>
      </c>
      <c r="R198" s="884">
        <v>129.99</v>
      </c>
      <c r="S198" s="885">
        <v>0.6814</v>
      </c>
      <c r="T198" s="884">
        <v>21.91</v>
      </c>
      <c r="U198" s="886">
        <v>4.5</v>
      </c>
      <c r="V198" s="879">
        <v>1198</v>
      </c>
      <c r="W198" s="887">
        <v>0.0553</v>
      </c>
      <c r="X198" s="879">
        <v>11</v>
      </c>
      <c r="Y198" s="888"/>
      <c r="Z198" s="15" t="s">
        <v>947</v>
      </c>
      <c r="AA198" s="15" t="s">
        <v>2756</v>
      </c>
      <c r="AB198" s="889">
        <v>1877</v>
      </c>
      <c r="AC198" s="889">
        <v>1</v>
      </c>
      <c r="AD198" s="889">
        <v>3</v>
      </c>
      <c r="AE198" s="14" t="s">
        <v>2757</v>
      </c>
      <c r="AF198" s="15" t="s">
        <v>65</v>
      </c>
      <c r="AG198" s="14" t="s">
        <v>2758</v>
      </c>
      <c r="AH198" s="15" t="s">
        <v>856</v>
      </c>
      <c r="AI198" s="890" t="s">
        <v>2759</v>
      </c>
      <c r="AJ198" s="890" t="s">
        <v>2760</v>
      </c>
    </row>
    <row r="199" s="1" customFormat="1" ht="24" customHeight="1" spans="1:36">
      <c r="A199" s="15" t="s">
        <v>65</v>
      </c>
      <c r="B199" s="14" t="s">
        <v>2761</v>
      </c>
      <c r="C199" s="14" t="s">
        <v>2761</v>
      </c>
      <c r="D199" s="14" t="s">
        <v>65</v>
      </c>
      <c r="E199" s="14" t="s">
        <v>2762</v>
      </c>
      <c r="F199" s="14" t="s">
        <v>2763</v>
      </c>
      <c r="G199" s="14" t="s">
        <v>861</v>
      </c>
      <c r="H199" s="14" t="s">
        <v>2764</v>
      </c>
      <c r="I199" s="14" t="s">
        <v>2765</v>
      </c>
      <c r="J199" s="15" t="s">
        <v>864</v>
      </c>
      <c r="K199" s="14" t="s">
        <v>850</v>
      </c>
      <c r="L199" s="14" t="s">
        <v>851</v>
      </c>
      <c r="M199" s="879">
        <v>32303</v>
      </c>
      <c r="N199" s="880" t="s">
        <v>852</v>
      </c>
      <c r="O199" s="881" t="s">
        <v>2481</v>
      </c>
      <c r="P199" s="879">
        <v>270</v>
      </c>
      <c r="Q199" s="879">
        <v>35097.3</v>
      </c>
      <c r="R199" s="884">
        <v>144.9</v>
      </c>
      <c r="S199" s="885">
        <v>0.6879</v>
      </c>
      <c r="T199" s="884">
        <v>21.07</v>
      </c>
      <c r="U199" s="886">
        <v>4.6</v>
      </c>
      <c r="V199" s="879">
        <v>1416</v>
      </c>
      <c r="W199" s="887">
        <v>0.0593</v>
      </c>
      <c r="X199" s="879">
        <v>16</v>
      </c>
      <c r="Y199" s="888"/>
      <c r="Z199" s="15" t="s">
        <v>854</v>
      </c>
      <c r="AA199" s="15" t="s">
        <v>1184</v>
      </c>
      <c r="AB199" s="889">
        <v>832</v>
      </c>
      <c r="AC199" s="889">
        <v>1</v>
      </c>
      <c r="AD199" s="889">
        <v>3</v>
      </c>
      <c r="AE199" s="14" t="s">
        <v>2766</v>
      </c>
      <c r="AF199" s="15" t="s">
        <v>65</v>
      </c>
      <c r="AG199" s="14" t="s">
        <v>2767</v>
      </c>
      <c r="AH199" s="15" t="s">
        <v>856</v>
      </c>
      <c r="AI199" s="890" t="s">
        <v>1644</v>
      </c>
      <c r="AJ199" s="890" t="s">
        <v>2768</v>
      </c>
    </row>
    <row r="200" s="1" customFormat="1" ht="24" customHeight="1" spans="1:36">
      <c r="A200" s="15" t="s">
        <v>65</v>
      </c>
      <c r="B200" s="14" t="s">
        <v>2769</v>
      </c>
      <c r="C200" s="14" t="s">
        <v>2769</v>
      </c>
      <c r="D200" s="14" t="s">
        <v>65</v>
      </c>
      <c r="E200" s="14" t="s">
        <v>2770</v>
      </c>
      <c r="F200" s="14" t="s">
        <v>2771</v>
      </c>
      <c r="G200" s="14" t="s">
        <v>1323</v>
      </c>
      <c r="H200" s="14" t="s">
        <v>2772</v>
      </c>
      <c r="I200" s="14" t="s">
        <v>2773</v>
      </c>
      <c r="J200" s="15" t="s">
        <v>65</v>
      </c>
      <c r="K200" s="14" t="s">
        <v>850</v>
      </c>
      <c r="L200" s="14" t="s">
        <v>851</v>
      </c>
      <c r="M200" s="879">
        <v>70601</v>
      </c>
      <c r="N200" s="880" t="s">
        <v>852</v>
      </c>
      <c r="O200" s="881" t="s">
        <v>2774</v>
      </c>
      <c r="P200" s="879">
        <v>159</v>
      </c>
      <c r="Q200" s="879">
        <v>28612.049</v>
      </c>
      <c r="R200" s="884">
        <v>179.95</v>
      </c>
      <c r="S200" s="885">
        <v>0.7049</v>
      </c>
      <c r="T200" s="884">
        <v>26.11</v>
      </c>
      <c r="U200" s="886">
        <v>4.6</v>
      </c>
      <c r="V200" s="879">
        <v>189</v>
      </c>
      <c r="W200" s="887">
        <v>0.0377</v>
      </c>
      <c r="X200" s="879">
        <v>6</v>
      </c>
      <c r="Y200" s="888"/>
      <c r="Z200" s="15" t="s">
        <v>1267</v>
      </c>
      <c r="AA200" s="15" t="s">
        <v>2775</v>
      </c>
      <c r="AB200" s="889">
        <v>566</v>
      </c>
      <c r="AC200" s="889">
        <v>1</v>
      </c>
      <c r="AD200" s="889">
        <v>1</v>
      </c>
      <c r="AE200" s="14" t="s">
        <v>2726</v>
      </c>
      <c r="AF200" s="15" t="s">
        <v>65</v>
      </c>
      <c r="AG200" s="14" t="s">
        <v>2727</v>
      </c>
      <c r="AH200" s="15" t="s">
        <v>856</v>
      </c>
      <c r="AI200" s="890" t="s">
        <v>2776</v>
      </c>
      <c r="AJ200" s="890" t="s">
        <v>2777</v>
      </c>
    </row>
    <row r="201" s="1" customFormat="1" ht="24" customHeight="1" spans="1:36">
      <c r="A201" s="15" t="s">
        <v>65</v>
      </c>
      <c r="B201" s="14" t="s">
        <v>2778</v>
      </c>
      <c r="C201" s="14" t="s">
        <v>2778</v>
      </c>
      <c r="D201" s="14" t="s">
        <v>65</v>
      </c>
      <c r="E201" s="14" t="s">
        <v>2779</v>
      </c>
      <c r="F201" s="14" t="s">
        <v>2780</v>
      </c>
      <c r="G201" s="14" t="s">
        <v>2781</v>
      </c>
      <c r="H201" s="14" t="s">
        <v>2782</v>
      </c>
      <c r="I201" s="14" t="s">
        <v>2783</v>
      </c>
      <c r="J201" s="15" t="s">
        <v>974</v>
      </c>
      <c r="K201" s="14" t="s">
        <v>850</v>
      </c>
      <c r="L201" s="14" t="s">
        <v>851</v>
      </c>
      <c r="M201" s="879">
        <v>101626</v>
      </c>
      <c r="N201" s="880" t="s">
        <v>852</v>
      </c>
      <c r="O201" s="881" t="s">
        <v>2784</v>
      </c>
      <c r="P201" s="879">
        <v>14</v>
      </c>
      <c r="Q201" s="879">
        <v>956.75995</v>
      </c>
      <c r="R201" s="884">
        <v>67.34</v>
      </c>
      <c r="S201" s="885">
        <v>0.554</v>
      </c>
      <c r="T201" s="884">
        <v>20.23</v>
      </c>
      <c r="U201" s="886">
        <v>4.1</v>
      </c>
      <c r="V201" s="879">
        <v>10</v>
      </c>
      <c r="W201" s="887">
        <v>0</v>
      </c>
      <c r="X201" s="879">
        <v>0</v>
      </c>
      <c r="Y201" s="888"/>
      <c r="Z201" s="15" t="s">
        <v>65</v>
      </c>
      <c r="AA201" s="15" t="s">
        <v>2785</v>
      </c>
      <c r="AB201" s="889">
        <v>403</v>
      </c>
      <c r="AC201" s="889">
        <v>1</v>
      </c>
      <c r="AD201" s="889">
        <v>2</v>
      </c>
      <c r="AE201" s="14" t="s">
        <v>2786</v>
      </c>
      <c r="AF201" s="15" t="s">
        <v>65</v>
      </c>
      <c r="AG201" s="14" t="s">
        <v>2787</v>
      </c>
      <c r="AH201" s="15" t="s">
        <v>856</v>
      </c>
      <c r="AI201" s="890" t="s">
        <v>2788</v>
      </c>
      <c r="AJ201" s="890" t="s">
        <v>2789</v>
      </c>
    </row>
  </sheetData>
  <hyperlinks>
    <hyperlink ref="E2" r:id="rId2" display="https://www.amazon.com/dp/B07FDJMC9Q?psc=1" tooltip="https://www.amazon.com/dp/B07FDJMC9Q?psc=1"/>
    <hyperlink ref="F2" r:id="rId3" display="https://images-na.ssl-images-amazon.com/images/I/31MBSKiZOPL._AC_US600_.jpg" tooltip="https://images-na.ssl-images-amazon.com/images/I/31MBSKiZOPL._AC_US600_.jpg"/>
    <hyperlink ref="E3" r:id="rId4" display="https://www.amazon.com/dp/B0936FGLQS?psc=1" tooltip="https://www.amazon.com/dp/B0936FGLQS?psc=1"/>
    <hyperlink ref="F3" r:id="rId5" display="https://images-na.ssl-images-amazon.com/images/I/4148pXjT5JL._AC_US600_.jpg" tooltip="https://images-na.ssl-images-amazon.com/images/I/4148pXjT5JL._AC_US600_.jpg"/>
    <hyperlink ref="E4" r:id="rId6" display="https://www.amazon.com/dp/B07VM28XTR?psc=1" tooltip="https://www.amazon.com/dp/B07VM28XTR?psc=1"/>
    <hyperlink ref="F4" r:id="rId7" display="https://images-na.ssl-images-amazon.com/images/I/517ZDIeX2AL._AC_US600_.jpg" tooltip="https://images-na.ssl-images-amazon.com/images/I/517ZDIeX2AL._AC_US600_.jpg"/>
    <hyperlink ref="E5" r:id="rId8" display="https://www.amazon.com/dp/B096N3FTZP?psc=1" tooltip="https://www.amazon.com/dp/B096N3FTZP?psc=1"/>
    <hyperlink ref="F5" r:id="rId9" display="https://images-na.ssl-images-amazon.com/images/I/411xmojvHOL._AC_US600_.jpg" tooltip="https://images-na.ssl-images-amazon.com/images/I/411xmojvHOL._AC_US600_.jpg"/>
    <hyperlink ref="E6" r:id="rId10" display="https://www.amazon.com/dp/B085W3GN5J?psc=1" tooltip="https://www.amazon.com/dp/B085W3GN5J?psc=1"/>
    <hyperlink ref="F6" r:id="rId11" display="https://images-na.ssl-images-amazon.com/images/I/41sxpx4irVL._AC_US600_.jpg" tooltip="https://images-na.ssl-images-amazon.com/images/I/41sxpx4irVL._AC_US600_.jpg"/>
    <hyperlink ref="E7" r:id="rId12" display="https://www.amazon.com/dp/B08R6KMBQT?psc=1" tooltip="https://www.amazon.com/dp/B08R6KMBQT?psc=1"/>
    <hyperlink ref="F7" r:id="rId13" display="https://images-na.ssl-images-amazon.com/images/I/41WAoH5H6NL._AC_US600_.jpg" tooltip="https://images-na.ssl-images-amazon.com/images/I/41WAoH5H6NL._AC_US600_.jpg"/>
    <hyperlink ref="E8" r:id="rId14" display="https://www.amazon.com/dp/B096X9LGJ1?psc=1" tooltip="https://www.amazon.com/dp/B096X9LGJ1?psc=1"/>
    <hyperlink ref="F8" r:id="rId15" display="https://images-na.ssl-images-amazon.com/images/I/31VZzB+Y2+L._AC_US600_.jpg" tooltip="https://images-na.ssl-images-amazon.com/images/I/31VZzB+Y2+L._AC_US600_.jpg"/>
    <hyperlink ref="E9" r:id="rId16" display="https://www.amazon.com/dp/B0BLYJZZ87?psc=1" tooltip="https://www.amazon.com/dp/B0BLYJZZ87?psc=1"/>
    <hyperlink ref="F9" r:id="rId17" display="https://m.media-amazon.com/images/I/51gVe2W29nL._AC_US600_.jpg" tooltip="https://m.media-amazon.com/images/I/51gVe2W29nL._AC_US600_.jpg"/>
    <hyperlink ref="E10" r:id="rId18" display="https://www.amazon.com/dp/B0815KJCM1?psc=1" tooltip="https://www.amazon.com/dp/B0815KJCM1?psc=1"/>
    <hyperlink ref="F10" r:id="rId19" display="https://images-na.ssl-images-amazon.com/images/I/41ZQmtXww2L._AC_US600_.jpg" tooltip="https://images-na.ssl-images-amazon.com/images/I/41ZQmtXww2L._AC_US600_.jpg"/>
    <hyperlink ref="E11" r:id="rId20" display="https://www.amazon.com/dp/B074VJVKH5?psc=1" tooltip="https://www.amazon.com/dp/B074VJVKH5?psc=1"/>
    <hyperlink ref="F11" r:id="rId21" display="https://images-na.ssl-images-amazon.com/images/I/51AXChaatIL._AC_US600_.jpg" tooltip="https://images-na.ssl-images-amazon.com/images/I/51AXChaatIL._AC_US600_.jpg"/>
    <hyperlink ref="E12" r:id="rId22" display="https://www.amazon.com/dp/B09MR49K1D?psc=1" tooltip="https://www.amazon.com/dp/B09MR49K1D?psc=1"/>
    <hyperlink ref="F12" r:id="rId23" display="https://images-na.ssl-images-amazon.com/images/I/4176C1ZTLJL._AC_US600_.jpg" tooltip="https://images-na.ssl-images-amazon.com/images/I/4176C1ZTLJL._AC_US600_.jpg"/>
    <hyperlink ref="E13" r:id="rId24" display="https://www.amazon.com/dp/B089TQWJKK?psc=1" tooltip="https://www.amazon.com/dp/B089TQWJKK?psc=1"/>
    <hyperlink ref="F13" r:id="rId25" display="https://images-na.ssl-images-amazon.com/images/I/31rlJFuHaWL._AC_US600_.jpg" tooltip="https://images-na.ssl-images-amazon.com/images/I/31rlJFuHaWL._AC_US600_.jpg"/>
    <hyperlink ref="E14" r:id="rId26" display="https://www.amazon.com/dp/B075X3287P?psc=1" tooltip="https://www.amazon.com/dp/B075X3287P?psc=1"/>
    <hyperlink ref="F14" r:id="rId27" display="https://images-na.ssl-images-amazon.com/images/I/41kv0O2RO5L._AC_US600_.jpg" tooltip="https://images-na.ssl-images-amazon.com/images/I/41kv0O2RO5L._AC_US600_.jpg"/>
    <hyperlink ref="E15" r:id="rId28" display="https://www.amazon.com/dp/B07SCGY2H6?psc=1" tooltip="https://www.amazon.com/dp/B07SCGY2H6?psc=1"/>
    <hyperlink ref="F15" r:id="rId29" display="https://images-na.ssl-images-amazon.com/images/I/51lqoRxpKAL._AC_US600_.jpg" tooltip="https://images-na.ssl-images-amazon.com/images/I/51lqoRxpKAL._AC_US600_.jpg"/>
    <hyperlink ref="E16" r:id="rId30" display="https://www.amazon.com/dp/B0B6ZXKNJN?psc=1" tooltip="https://www.amazon.com/dp/B0B6ZXKNJN?psc=1"/>
    <hyperlink ref="F16" r:id="rId31" display="https://images-na.ssl-images-amazon.com/images/I/41FSF9nXbwL._AC_US600_.jpg" tooltip="https://images-na.ssl-images-amazon.com/images/I/41FSF9nXbwL._AC_US600_.jpg"/>
    <hyperlink ref="E17" r:id="rId32" display="https://www.amazon.com/dp/B07S6529ZZ?psc=1" tooltip="https://www.amazon.com/dp/B07S6529ZZ?psc=1"/>
    <hyperlink ref="F17" r:id="rId33" display="https://images-na.ssl-images-amazon.com/images/I/31LS4+++HlL._AC_US600_.jpg" tooltip="https://images-na.ssl-images-amazon.com/images/I/31LS4+++HlL._AC_US600_.jpg"/>
    <hyperlink ref="E18" r:id="rId34" display="https://www.amazon.com/dp/B0B59D1J98?psc=1" tooltip="https://www.amazon.com/dp/B0B59D1J98?psc=1"/>
    <hyperlink ref="F18" r:id="rId35" display="https://images-na.ssl-images-amazon.com/images/I/41R9UEekBML._AC_US600_.jpg" tooltip="https://images-na.ssl-images-amazon.com/images/I/41R9UEekBML._AC_US600_.jpg"/>
    <hyperlink ref="E19" r:id="rId36" display="https://www.amazon.com/dp/B096N28SZP?psc=1" tooltip="https://www.amazon.com/dp/B096N28SZP?psc=1"/>
    <hyperlink ref="F19" r:id="rId37" display="https://images-na.ssl-images-amazon.com/images/I/41Tiw9rl9aL._AC_US600_.jpg" tooltip="https://images-na.ssl-images-amazon.com/images/I/41Tiw9rl9aL._AC_US600_.jpg"/>
    <hyperlink ref="E20" r:id="rId38" display="https://www.amazon.com/dp/B09B7SB46R?psc=1" tooltip="https://www.amazon.com/dp/B09B7SB46R?psc=1"/>
    <hyperlink ref="F20" r:id="rId39" display="https://images-na.ssl-images-amazon.com/images/I/511xSzv8yRL._AC_US600_.jpg" tooltip="https://images-na.ssl-images-amazon.com/images/I/511xSzv8yRL._AC_US600_.jpg"/>
    <hyperlink ref="E21" r:id="rId40" display="https://www.amazon.com/dp/B0BDG5T19F?psc=1" tooltip="https://www.amazon.com/dp/B0BDG5T19F?psc=1"/>
    <hyperlink ref="F21" r:id="rId41" display="https://images-na.ssl-images-amazon.com/images/I/5114QyaSorL._AC_US600_.jpg" tooltip="https://images-na.ssl-images-amazon.com/images/I/5114QyaSorL._AC_US600_.jpg"/>
    <hyperlink ref="E22" r:id="rId42" display="https://www.amazon.com/dp/B0BGM4JY9G?psc=1" tooltip="https://www.amazon.com/dp/B0BGM4JY9G?psc=1"/>
    <hyperlink ref="F22" r:id="rId43" display="https://images-na.ssl-images-amazon.com/images/I/51m3RCjOtoL._AC_US600_.jpg" tooltip="https://images-na.ssl-images-amazon.com/images/I/51m3RCjOtoL._AC_US600_.jpg"/>
    <hyperlink ref="E23" r:id="rId44" display="https://www.amazon.com/dp/B08DKYBTPH?psc=1" tooltip="https://www.amazon.com/dp/B08DKYBTPH?psc=1"/>
    <hyperlink ref="F23" r:id="rId45" display="https://images-na.ssl-images-amazon.com/images/I/41qabW46GoL._AC_US600_.jpg" tooltip="https://images-na.ssl-images-amazon.com/images/I/41qabW46GoL._AC_US600_.jpg"/>
    <hyperlink ref="E24" r:id="rId46" display="https://www.amazon.com/dp/B082JWBBXB?psc=1" tooltip="https://www.amazon.com/dp/B082JWBBXB?psc=1"/>
    <hyperlink ref="F24" r:id="rId47" display="https://images-na.ssl-images-amazon.com/images/I/415CVTfKbfL._AC_US600_.jpg" tooltip="https://images-na.ssl-images-amazon.com/images/I/415CVTfKbfL._AC_US600_.jpg"/>
    <hyperlink ref="E25" r:id="rId48" display="https://www.amazon.com/dp/B08DL8WH9V?psc=1" tooltip="https://www.amazon.com/dp/B08DL8WH9V?psc=1"/>
    <hyperlink ref="F25" r:id="rId49" display="https://images-na.ssl-images-amazon.com/images/I/51LYB9lQdLL._AC_US600_.jpg" tooltip="https://images-na.ssl-images-amazon.com/images/I/51LYB9lQdLL._AC_US600_.jpg"/>
    <hyperlink ref="E26" r:id="rId50" display="https://www.amazon.com/dp/B07S85TPLG?psc=1" tooltip="https://www.amazon.com/dp/B07S85TPLG?psc=1"/>
    <hyperlink ref="F26" r:id="rId51" display="https://images-na.ssl-images-amazon.com/images/I/41hLUQwvoaL._AC_US600_.jpg" tooltip="https://images-na.ssl-images-amazon.com/images/I/41hLUQwvoaL._AC_US600_.jpg"/>
    <hyperlink ref="E27" r:id="rId52" display="https://www.amazon.com/dp/B09HKM5SVD?psc=1" tooltip="https://www.amazon.com/dp/B09HKM5SVD?psc=1"/>
    <hyperlink ref="F27" r:id="rId53" display="https://images-na.ssl-images-amazon.com/images/I/41nAgEWFdGL._AC_US600_.jpg" tooltip="https://images-na.ssl-images-amazon.com/images/I/41nAgEWFdGL._AC_US600_.jpg"/>
    <hyperlink ref="E28" r:id="rId54" display="https://www.amazon.com/dp/B07NLHMYH4?psc=1" tooltip="https://www.amazon.com/dp/B07NLHMYH4?psc=1"/>
    <hyperlink ref="F28" r:id="rId55" display="https://images-na.ssl-images-amazon.com/images/I/51DUgyoMOhL._AC_US600_.jpg" tooltip="https://images-na.ssl-images-amazon.com/images/I/51DUgyoMOhL._AC_US600_.jpg"/>
    <hyperlink ref="E29" r:id="rId56" display="https://www.amazon.com/dp/B07NBQX8HS?psc=1" tooltip="https://www.amazon.com/dp/B07NBQX8HS?psc=1"/>
    <hyperlink ref="F29" r:id="rId57" display="https://images-na.ssl-images-amazon.com/images/I/415DRxbG3pL._AC_US600_.jpg" tooltip="https://images-na.ssl-images-amazon.com/images/I/415DRxbG3pL._AC_US600_.jpg"/>
    <hyperlink ref="E30" r:id="rId58" display="https://www.amazon.com/dp/B0BDFRZX3F?psc=1" tooltip="https://www.amazon.com/dp/B0BDFRZX3F?psc=1"/>
    <hyperlink ref="F30" r:id="rId59" display="https://m.media-amazon.com/images/W/IMAGERENDERING_521856-T1/images/I/3196QeAvkXL._AC_US600_.jpg" tooltip="https://m.media-amazon.com/images/W/IMAGERENDERING_521856-T1/images/I/3196QeAvkXL._AC_US600_.jpg"/>
    <hyperlink ref="E31" r:id="rId60" display="https://www.amazon.com/dp/B08SJ6L9MT?psc=1" tooltip="https://www.amazon.com/dp/B08SJ6L9MT?psc=1"/>
    <hyperlink ref="F31" r:id="rId61" display="https://images-na.ssl-images-amazon.com/images/I/31HerJYQxzL._AC_US600_.jpg" tooltip="https://images-na.ssl-images-amazon.com/images/I/31HerJYQxzL._AC_US600_.jpg"/>
    <hyperlink ref="E32" r:id="rId62" display="https://www.amazon.com/dp/B0872DQV7Z?psc=1" tooltip="https://www.amazon.com/dp/B0872DQV7Z?psc=1"/>
    <hyperlink ref="F32" r:id="rId63" display="https://images-na.ssl-images-amazon.com/images/I/51RjObEKN4L._AC_US600_.jpg" tooltip="https://images-na.ssl-images-amazon.com/images/I/51RjObEKN4L._AC_US600_.jpg"/>
    <hyperlink ref="E33" r:id="rId64" display="https://www.amazon.com/dp/B07FF117K7?psc=1" tooltip="https://www.amazon.com/dp/B07FF117K7?psc=1"/>
    <hyperlink ref="F33" r:id="rId65" display="https://images-na.ssl-images-amazon.com/images/I/41OVlRD-CtL._AC_US600_.jpg" tooltip="https://images-na.ssl-images-amazon.com/images/I/41OVlRD-CtL._AC_US600_.jpg"/>
    <hyperlink ref="E34" r:id="rId66" display="https://www.amazon.com/dp/B0B4NXNWT5?psc=1" tooltip="https://www.amazon.com/dp/B0B4NXNWT5?psc=1"/>
    <hyperlink ref="F34" r:id="rId67" display="https://images-na.ssl-images-amazon.com/images/I/41fB3jg85OL._AC_US600_.jpg" tooltip="https://images-na.ssl-images-amazon.com/images/I/41fB3jg85OL._AC_US600_.jpg"/>
    <hyperlink ref="E35" r:id="rId68" display="https://www.amazon.com/dp/B0777RJG6D?psc=1" tooltip="https://www.amazon.com/dp/B0777RJG6D?psc=1"/>
    <hyperlink ref="F35" r:id="rId69" display="https://images-na.ssl-images-amazon.com/images/I/413QzyJkOQL._AC_US600_.jpg" tooltip="https://images-na.ssl-images-amazon.com/images/I/413QzyJkOQL._AC_US600_.jpg"/>
    <hyperlink ref="E36" r:id="rId70" display="https://www.amazon.com/dp/B08QQRH2Z9?psc=1" tooltip="https://www.amazon.com/dp/B08QQRH2Z9?psc=1"/>
    <hyperlink ref="F36" r:id="rId71" display="https://images-na.ssl-images-amazon.com/images/I/31EAxEEMbVL._AC_US600_.jpg" tooltip="https://images-na.ssl-images-amazon.com/images/I/31EAxEEMbVL._AC_US600_.jpg"/>
    <hyperlink ref="E37" r:id="rId72" display="https://www.amazon.com/dp/B08CW95ZFR?psc=1" tooltip="https://www.amazon.com/dp/B08CW95ZFR?psc=1"/>
    <hyperlink ref="F37" r:id="rId73" display="https://images-na.ssl-images-amazon.com/images/I/41xKS3OoclL._AC_US600_.jpg" tooltip="https://images-na.ssl-images-amazon.com/images/I/41xKS3OoclL._AC_US600_.jpg"/>
    <hyperlink ref="E38" r:id="rId74" display="https://www.amazon.com/dp/B0BQJL33K3?psc=1" tooltip="https://www.amazon.com/dp/B0BQJL33K3?psc=1"/>
    <hyperlink ref="F38" r:id="rId75" display="https://m.media-amazon.com/images/I/51-mk87x0yL._AC_US600_.jpg" tooltip="https://m.media-amazon.com/images/I/51-mk87x0yL._AC_US600_.jpg"/>
    <hyperlink ref="E39" r:id="rId76" display="https://www.amazon.com/dp/B091YHDCVR?psc=1" tooltip="https://www.amazon.com/dp/B091YHDCVR?psc=1"/>
    <hyperlink ref="F39" r:id="rId77" display="https://images-na.ssl-images-amazon.com/images/I/315isMXS8rL._AC_US600_.jpg" tooltip="https://images-na.ssl-images-amazon.com/images/I/315isMXS8rL._AC_US600_.jpg"/>
    <hyperlink ref="E40" r:id="rId78" display="https://www.amazon.com/dp/B0BX71WBK5?psc=1" tooltip="https://www.amazon.com/dp/B0BX71WBK5?psc=1"/>
    <hyperlink ref="F40" r:id="rId79" display="https://images-na.ssl-images-amazon.com/images/I/41ELapobmZL._AC_US600_.jpg" tooltip="https://images-na.ssl-images-amazon.com/images/I/41ELapobmZL._AC_US600_.jpg"/>
    <hyperlink ref="E41" r:id="rId80" display="https://www.amazon.com/dp/B09GL56L4T?psc=1" tooltip="https://www.amazon.com/dp/B09GL56L4T?psc=1"/>
    <hyperlink ref="F41" r:id="rId81" display="https://images-na.ssl-images-amazon.com/images/I/41fJQ2R4N-L._AC_US600_.jpg" tooltip="https://images-na.ssl-images-amazon.com/images/I/41fJQ2R4N-L._AC_US600_.jpg"/>
    <hyperlink ref="E42" r:id="rId82" display="https://www.amazon.com/dp/B08KFNK3QH?psc=1" tooltip="https://www.amazon.com/dp/B08KFNK3QH?psc=1"/>
    <hyperlink ref="F42" r:id="rId83" display="https://images-na.ssl-images-amazon.com/images/I/41NWjD1CuNL._AC_US600_.jpg" tooltip="https://images-na.ssl-images-amazon.com/images/I/41NWjD1CuNL._AC_US600_.jpg"/>
    <hyperlink ref="E43" r:id="rId84" display="https://www.amazon.com/dp/B0BG5635Z7?psc=1" tooltip="https://www.amazon.com/dp/B0BG5635Z7?psc=1"/>
    <hyperlink ref="F43" r:id="rId85" display="https://m.media-amazon.com/images/I/51yODvXRBGL._AC_US600_.jpg" tooltip="https://m.media-amazon.com/images/I/51yODvXRBGL._AC_US600_.jpg"/>
    <hyperlink ref="E44" r:id="rId86" display="https://www.amazon.com/dp/B07G3V9K17?psc=1" tooltip="https://www.amazon.com/dp/B07G3V9K17?psc=1"/>
    <hyperlink ref="F44" r:id="rId87" display="https://images-na.ssl-images-amazon.com/images/I/31VXHjBfcfL._AC_US600_.jpg" tooltip="https://images-na.ssl-images-amazon.com/images/I/31VXHjBfcfL._AC_US600_.jpg"/>
    <hyperlink ref="E45" r:id="rId88" display="https://www.amazon.com/dp/B08YP4NHQM?psc=1" tooltip="https://www.amazon.com/dp/B08YP4NHQM?psc=1"/>
    <hyperlink ref="F45" r:id="rId89" display="https://images-na.ssl-images-amazon.com/images/I/41RnifaGGML._AC_US600_.jpg" tooltip="https://images-na.ssl-images-amazon.com/images/I/41RnifaGGML._AC_US600_.jpg"/>
    <hyperlink ref="E46" r:id="rId90" display="https://www.amazon.com/dp/B085GN68LC?psc=1" tooltip="https://www.amazon.com/dp/B085GN68LC?psc=1"/>
    <hyperlink ref="F46" r:id="rId91" display="https://images-na.ssl-images-amazon.com/images/I/41EfD0xmTgL._AC_US600_.jpg" tooltip="https://images-na.ssl-images-amazon.com/images/I/41EfD0xmTgL._AC_US600_.jpg"/>
    <hyperlink ref="E47" r:id="rId92" display="https://www.amazon.com/dp/B09TZZS2GJ?psc=1" tooltip="https://www.amazon.com/dp/B09TZZS2GJ?psc=1"/>
    <hyperlink ref="F47" r:id="rId93" display="https://images-na.ssl-images-amazon.com/images/I/41YlA3PVYBL._AC_US600_.jpg" tooltip="https://images-na.ssl-images-amazon.com/images/I/41YlA3PVYBL._AC_US600_.jpg"/>
    <hyperlink ref="E48" r:id="rId94" display="https://www.amazon.com/dp/B08K8T3W2V?psc=1" tooltip="https://www.amazon.com/dp/B08K8T3W2V?psc=1"/>
    <hyperlink ref="F48" r:id="rId95" display="https://images-na.ssl-images-amazon.com/images/I/5135MRrXWrL._AC_US600_.jpg" tooltip="https://images-na.ssl-images-amazon.com/images/I/5135MRrXWrL._AC_US600_.jpg"/>
    <hyperlink ref="E49" r:id="rId96" display="https://www.amazon.com/dp/B092PY8F5J?psc=1" tooltip="https://www.amazon.com/dp/B092PY8F5J?psc=1"/>
    <hyperlink ref="F49" r:id="rId97" display="https://m.media-amazon.com/images/W/IMAGERENDERING_521856-T2/images/I/41RjVllXMiL._AC_US600_.jpg" tooltip="https://m.media-amazon.com/images/W/IMAGERENDERING_521856-T2/images/I/41RjVllXMiL._AC_US600_.jpg"/>
    <hyperlink ref="E50" r:id="rId98" display="https://www.amazon.com/dp/B09KQY2TH2?psc=1" tooltip="https://www.amazon.com/dp/B09KQY2TH2?psc=1"/>
    <hyperlink ref="F50" r:id="rId99" display="https://images-na.ssl-images-amazon.com/images/I/31EwvDJ4DEL._AC_US600_.jpg" tooltip="https://images-na.ssl-images-amazon.com/images/I/31EwvDJ4DEL._AC_US600_.jpg"/>
    <hyperlink ref="E51" r:id="rId100" display="https://www.amazon.com/dp/B09XWJ19YS?psc=1" tooltip="https://www.amazon.com/dp/B09XWJ19YS?psc=1"/>
    <hyperlink ref="F51" r:id="rId101" display="https://m.media-amazon.com/images/I/51hOezlAX+L._AC_US600_.jpg" tooltip="https://m.media-amazon.com/images/I/51hOezlAX+L._AC_US600_.jpg"/>
    <hyperlink ref="E52" r:id="rId102" display="https://www.amazon.com/dp/B07W67NQMN?psc=1" tooltip="https://www.amazon.com/dp/B07W67NQMN?psc=1"/>
    <hyperlink ref="F52" r:id="rId103" display="https://images-na.ssl-images-amazon.com/images/I/51wK1gMNZLL._AC_US600_.jpg" tooltip="https://images-na.ssl-images-amazon.com/images/I/51wK1gMNZLL._AC_US600_.jpg"/>
    <hyperlink ref="E53" r:id="rId104" display="https://www.amazon.com/dp/B07ZWG619F?psc=1" tooltip="https://www.amazon.com/dp/B07ZWG619F?psc=1"/>
    <hyperlink ref="F53" r:id="rId105" display="https://images-na.ssl-images-amazon.com/images/I/41M1ysVClKL._AC_US600_.jpg" tooltip="https://images-na.ssl-images-amazon.com/images/I/41M1ysVClKL._AC_US600_.jpg"/>
    <hyperlink ref="E54" r:id="rId106" display="https://www.amazon.com/dp/B089NKT312?psc=1" tooltip="https://www.amazon.com/dp/B089NKT312?psc=1"/>
    <hyperlink ref="F54" r:id="rId107" display="https://images-na.ssl-images-amazon.com/images/I/41xJrOGz4aL._AC_US600_.jpg" tooltip="https://images-na.ssl-images-amazon.com/images/I/41xJrOGz4aL._AC_US600_.jpg"/>
    <hyperlink ref="E55" r:id="rId108" display="https://www.amazon.com/dp/B0978M8136?psc=1" tooltip="https://www.amazon.com/dp/B0978M8136?psc=1"/>
    <hyperlink ref="F55" r:id="rId109" display="https://images-na.ssl-images-amazon.com/images/I/41xI07RSgBL._AC_US600_.jpg" tooltip="https://images-na.ssl-images-amazon.com/images/I/41xI07RSgBL._AC_US600_.jpg"/>
    <hyperlink ref="E56" r:id="rId110" display="https://www.amazon.com/dp/B08R12QZS1?psc=1" tooltip="https://www.amazon.com/dp/B08R12QZS1?psc=1"/>
    <hyperlink ref="F56" r:id="rId111" display="https://images-na.ssl-images-amazon.com/images/I/41019YXde4L._AC_US600_.jpg" tooltip="https://images-na.ssl-images-amazon.com/images/I/41019YXde4L._AC_US600_.jpg"/>
    <hyperlink ref="E57" r:id="rId112" display="https://www.amazon.com/dp/B0BF4V6584?psc=1" tooltip="https://www.amazon.com/dp/B0BF4V6584?psc=1"/>
    <hyperlink ref="F57" r:id="rId113" display="https://images-na.ssl-images-amazon.com/images/I/51lFApwTvlL._AC_US600_.jpg" tooltip="https://images-na.ssl-images-amazon.com/images/I/51lFApwTvlL._AC_US600_.jpg"/>
    <hyperlink ref="E58" r:id="rId114" display="https://www.amazon.com/dp/B095Y6ZF5Q?psc=1" tooltip="https://www.amazon.com/dp/B095Y6ZF5Q?psc=1"/>
    <hyperlink ref="F58" r:id="rId115" display="https://images-na.ssl-images-amazon.com/images/I/31mEyFByQOL._AC_US600_.jpg" tooltip="https://images-na.ssl-images-amazon.com/images/I/31mEyFByQOL._AC_US600_.jpg"/>
    <hyperlink ref="E59" r:id="rId116" display="https://www.amazon.com/dp/B08FMT6N24?psc=1" tooltip="https://www.amazon.com/dp/B08FMT6N24?psc=1"/>
    <hyperlink ref="F59" r:id="rId117" display="https://images-na.ssl-images-amazon.com/images/I/319fwckxydL._AC_US600_.jpg" tooltip="https://images-na.ssl-images-amazon.com/images/I/319fwckxydL._AC_US600_.jpg"/>
    <hyperlink ref="E60" r:id="rId118" display="https://www.amazon.com/dp/B07VM9SDMH?psc=1" tooltip="https://www.amazon.com/dp/B07VM9SDMH?psc=1"/>
    <hyperlink ref="F60" r:id="rId119" display="https://images-na.ssl-images-amazon.com/images/I/51chJ-m0ftL._AC_US600_.jpg" tooltip="https://images-na.ssl-images-amazon.com/images/I/51chJ-m0ftL._AC_US600_.jpg"/>
    <hyperlink ref="E61" r:id="rId120" display="https://www.amazon.com/dp/B0BGBMW9G5?psc=1" tooltip="https://www.amazon.com/dp/B0BGBMW9G5?psc=1"/>
    <hyperlink ref="F61" r:id="rId121" display="https://images-na.ssl-images-amazon.com/images/I/51qTgjsG+jL._AC_US600_.jpg" tooltip="https://images-na.ssl-images-amazon.com/images/I/51qTgjsG+jL._AC_US600_.jpg"/>
    <hyperlink ref="E62" r:id="rId122" display="https://www.amazon.com/dp/B075BDY5WR?psc=1" tooltip="https://www.amazon.com/dp/B075BDY5WR?psc=1"/>
    <hyperlink ref="F62" r:id="rId123" display="https://m.media-amazon.com/images/I/31FWlEg5fqL._AC_US600_.jpg" tooltip="https://m.media-amazon.com/images/I/31FWlEg5fqL._AC_US600_.jpg"/>
    <hyperlink ref="E63" r:id="rId124" display="https://www.amazon.com/dp/B07X1VXQMS?psc=1" tooltip="https://www.amazon.com/dp/B07X1VXQMS?psc=1"/>
    <hyperlink ref="F63" r:id="rId125" display="https://images-na.ssl-images-amazon.com/images/I/41+QhGCYlnL._AC_US600_.jpg" tooltip="https://images-na.ssl-images-amazon.com/images/I/41+QhGCYlnL._AC_US600_.jpg"/>
    <hyperlink ref="E64" r:id="rId126" display="https://www.amazon.com/dp/B09XJV2739?psc=1" tooltip="https://www.amazon.com/dp/B09XJV2739?psc=1"/>
    <hyperlink ref="F64" r:id="rId127" display="https://images-na.ssl-images-amazon.com/images/I/412Pw6DoHsL._AC_US600_.jpg" tooltip="https://images-na.ssl-images-amazon.com/images/I/412Pw6DoHsL._AC_US600_.jpg"/>
    <hyperlink ref="E65" r:id="rId128" display="https://www.amazon.com/dp/B087T8LKNC?psc=1" tooltip="https://www.amazon.com/dp/B087T8LKNC?psc=1"/>
    <hyperlink ref="F65" r:id="rId129" display="https://images-na.ssl-images-amazon.com/images/I/41i41ZJLGcL._AC_US600_.jpg" tooltip="https://images-na.ssl-images-amazon.com/images/I/41i41ZJLGcL._AC_US600_.jpg"/>
    <hyperlink ref="E66" r:id="rId130" display="https://www.amazon.com/dp/B0BBFTPTKH?psc=1" tooltip="https://www.amazon.com/dp/B0BBFTPTKH?psc=1"/>
    <hyperlink ref="F66" r:id="rId131" display="https://images-na.ssl-images-amazon.com/images/I/41x1QmekmBL._AC_US600_.jpg" tooltip="https://images-na.ssl-images-amazon.com/images/I/41x1QmekmBL._AC_US600_.jpg"/>
    <hyperlink ref="E67" r:id="rId132" display="https://www.amazon.com/dp/B09YS1RQ8J?psc=1" tooltip="https://www.amazon.com/dp/B09YS1RQ8J?psc=1"/>
    <hyperlink ref="F67" r:id="rId133" display="https://images-na.ssl-images-amazon.com/images/I/5135qxoHciL._AC_US600_.jpg" tooltip="https://images-na.ssl-images-amazon.com/images/I/5135qxoHciL._AC_US600_.jpg"/>
    <hyperlink ref="E68" r:id="rId134" display="https://www.amazon.com/dp/B08X24LS5V?psc=1" tooltip="https://www.amazon.com/dp/B08X24LS5V?psc=1"/>
    <hyperlink ref="F68" r:id="rId135" display="https://images-na.ssl-images-amazon.com/images/I/41jZv9IQKtL._AC_US600_.jpg" tooltip="https://images-na.ssl-images-amazon.com/images/I/41jZv9IQKtL._AC_US600_.jpg"/>
    <hyperlink ref="E69" r:id="rId136" display="https://www.amazon.com/dp/B08T9FBB68?psc=1" tooltip="https://www.amazon.com/dp/B08T9FBB68?psc=1"/>
    <hyperlink ref="F69" r:id="rId137" display="https://m.media-amazon.com/images/W/IMAGERENDERING_521856-T2/images/I/414P2GL4cAL._AC_US600_.jpg" tooltip="https://m.media-amazon.com/images/W/IMAGERENDERING_521856-T2/images/I/414P2GL4cAL._AC_US600_.jpg"/>
    <hyperlink ref="E70" r:id="rId138" display="https://www.amazon.com/dp/B07Z6RHKFV?psc=1" tooltip="https://www.amazon.com/dp/B07Z6RHKFV?psc=1"/>
    <hyperlink ref="F70" r:id="rId139" display="https://m.media-amazon.com/images/W/IMAGERENDERING_521856-T1/images/I/41Jkp816TuL._AC_US600_.jpg" tooltip="https://m.media-amazon.com/images/W/IMAGERENDERING_521856-T1/images/I/41Jkp816TuL._AC_US600_.jpg"/>
    <hyperlink ref="E71" r:id="rId140" display="https://www.amazon.com/dp/B0BK1W9HZY?psc=1" tooltip="https://www.amazon.com/dp/B0BK1W9HZY?psc=1"/>
    <hyperlink ref="F71" r:id="rId141" display="https://m.media-amazon.com/images/I/41rnc2ha9bL._AC_US600_.jpg" tooltip="https://m.media-amazon.com/images/I/41rnc2ha9bL._AC_US600_.jpg"/>
    <hyperlink ref="E72" r:id="rId142" display="https://www.amazon.com/dp/B07LBZGD97?psc=1" tooltip="https://www.amazon.com/dp/B07LBZGD97?psc=1"/>
    <hyperlink ref="F72" r:id="rId143" display="https://images-na.ssl-images-amazon.com/images/I/51sGLLlmj8L._AC_US600_.jpg" tooltip="https://images-na.ssl-images-amazon.com/images/I/51sGLLlmj8L._AC_US600_.jpg"/>
    <hyperlink ref="E73" r:id="rId144" display="https://www.amazon.com/dp/B08R6GZ2KP?psc=1" tooltip="https://www.amazon.com/dp/B08R6GZ2KP?psc=1"/>
    <hyperlink ref="F73" r:id="rId145" display="https://images-na.ssl-images-amazon.com/images/I/41ctRPisslL._AC_US600_.jpg" tooltip="https://images-na.ssl-images-amazon.com/images/I/41ctRPisslL._AC_US600_.jpg"/>
    <hyperlink ref="E74" r:id="rId146" display="https://www.amazon.com/dp/B08N3F9PRJ?psc=1" tooltip="https://www.amazon.com/dp/B08N3F9PRJ?psc=1"/>
    <hyperlink ref="F74" r:id="rId147" display="https://images-na.ssl-images-amazon.com/images/I/41CU7z7y-ML._AC_US600_.jpg" tooltip="https://images-na.ssl-images-amazon.com/images/I/41CU7z7y-ML._AC_US600_.jpg"/>
    <hyperlink ref="E75" r:id="rId148" display="https://www.amazon.com/dp/B0853CR7LG?psc=1" tooltip="https://www.amazon.com/dp/B0853CR7LG?psc=1"/>
    <hyperlink ref="F75" r:id="rId149" display="https://images-na.ssl-images-amazon.com/images/I/41-nj5fRENL._AC_US600_.jpg" tooltip="https://images-na.ssl-images-amazon.com/images/I/41-nj5fRENL._AC_US600_.jpg"/>
    <hyperlink ref="E76" r:id="rId150" display="https://www.amazon.com/dp/B09BZVQNTC?psc=1" tooltip="https://www.amazon.com/dp/B09BZVQNTC?psc=1"/>
    <hyperlink ref="F76" r:id="rId151" display="https://images-na.ssl-images-amazon.com/images/I/416HZaiHMcL._AC_US600_.jpg" tooltip="https://images-na.ssl-images-amazon.com/images/I/416HZaiHMcL._AC_US600_.jpg"/>
    <hyperlink ref="E77" r:id="rId152" display="https://www.amazon.com/dp/B0B7C28KPT?psc=1" tooltip="https://www.amazon.com/dp/B0B7C28KPT?psc=1"/>
    <hyperlink ref="F77" r:id="rId153" display="https://images-na.ssl-images-amazon.com/images/I/41xpc1obGyL._AC_US600_.jpg" tooltip="https://images-na.ssl-images-amazon.com/images/I/41xpc1obGyL._AC_US600_.jpg"/>
    <hyperlink ref="E78" r:id="rId154" display="https://www.amazon.com/dp/B0BKPT8QCL?psc=1" tooltip="https://www.amazon.com/dp/B0BKPT8QCL?psc=1"/>
    <hyperlink ref="F78" r:id="rId155" display="https://m.media-amazon.com/images/I/616n2LE4ghL._AC_US600_.jpg" tooltip="https://m.media-amazon.com/images/I/616n2LE4ghL._AC_US600_.jpg"/>
    <hyperlink ref="E79" r:id="rId156" display="https://www.amazon.com/dp/B07XF4HW8G?psc=1" tooltip="https://www.amazon.com/dp/B07XF4HW8G?psc=1"/>
    <hyperlink ref="F79" r:id="rId157" display="https://images-na.ssl-images-amazon.com/images/I/51e2Fp15xnL._AC_US600_.jpg" tooltip="https://images-na.ssl-images-amazon.com/images/I/51e2Fp15xnL._AC_US600_.jpg"/>
    <hyperlink ref="E80" r:id="rId158" display="https://www.amazon.com/dp/B01L7TOZJO?psc=1" tooltip="https://www.amazon.com/dp/B01L7TOZJO?psc=1"/>
    <hyperlink ref="F80" r:id="rId159" display="https://images-na.ssl-images-amazon.com/images/I/51B7UIiB95L._AC_US600_.jpg" tooltip="https://images-na.ssl-images-amazon.com/images/I/51B7UIiB95L._AC_US600_.jpg"/>
    <hyperlink ref="E81" r:id="rId160" display="https://www.amazon.com/dp/B08NCHMH1L?psc=1" tooltip="https://www.amazon.com/dp/B08NCHMH1L?psc=1"/>
    <hyperlink ref="F81" r:id="rId161" display="https://m.media-amazon.com/images/I/31nldc5I5qL._AC_US600_.jpg" tooltip="https://m.media-amazon.com/images/I/31nldc5I5qL._AC_US600_.jpg"/>
    <hyperlink ref="E82" r:id="rId162" display="https://www.amazon.com/dp/B0BF4TCX6J?psc=1" tooltip="https://www.amazon.com/dp/B0BF4TCX6J?psc=1"/>
    <hyperlink ref="F82" r:id="rId163" display="https://images-na.ssl-images-amazon.com/images/I/41nnl0IYwmL._AC_US600_.jpg" tooltip="https://images-na.ssl-images-amazon.com/images/I/41nnl0IYwmL._AC_US600_.jpg"/>
    <hyperlink ref="E83" r:id="rId164" display="https://www.amazon.com/dp/B08PNHBCTL?psc=1" tooltip="https://www.amazon.com/dp/B08PNHBCTL?psc=1"/>
    <hyperlink ref="F83" r:id="rId165" display="https://images-na.ssl-images-amazon.com/images/I/41EXcFBZ2uL._AC_US600_.jpg" tooltip="https://images-na.ssl-images-amazon.com/images/I/41EXcFBZ2uL._AC_US600_.jpg"/>
    <hyperlink ref="E84" r:id="rId166" display="https://www.amazon.com/dp/B083TGW7DN?psc=1" tooltip="https://www.amazon.com/dp/B083TGW7DN?psc=1"/>
    <hyperlink ref="F84" r:id="rId167" display="https://images-na.ssl-images-amazon.com/images/I/41gnPXQ60DL._AC_US600_.jpg" tooltip="https://images-na.ssl-images-amazon.com/images/I/41gnPXQ60DL._AC_US600_.jpg"/>
    <hyperlink ref="E85" r:id="rId168" display="https://www.amazon.com/dp/B0BG2MGDXN?psc=1" tooltip="https://www.amazon.com/dp/B0BG2MGDXN?psc=1"/>
    <hyperlink ref="F85" r:id="rId169" display="https://images-na.ssl-images-amazon.com/images/I/51DFrKWE3+L._AC_US600_.jpg" tooltip="https://images-na.ssl-images-amazon.com/images/I/51DFrKWE3+L._AC_US600_.jpg"/>
    <hyperlink ref="E86" r:id="rId170" display="https://www.amazon.com/dp/B07GNSHPBQ?psc=1" tooltip="https://www.amazon.com/dp/B07GNSHPBQ?psc=1"/>
    <hyperlink ref="F86" r:id="rId171" display="https://images-na.ssl-images-amazon.com/images/I/41Ie-5jgNBL._AC_US600_.jpg" tooltip="https://images-na.ssl-images-amazon.com/images/I/41Ie-5jgNBL._AC_US600_.jpg"/>
    <hyperlink ref="E87" r:id="rId172" display="https://www.amazon.com/dp/B0BD4BYR11?psc=1" tooltip="https://www.amazon.com/dp/B0BD4BYR11?psc=1"/>
    <hyperlink ref="F87" r:id="rId173" display="https://images-na.ssl-images-amazon.com/images/I/41WjXoD4znL._AC_US600_.jpg" tooltip="https://images-na.ssl-images-amazon.com/images/I/41WjXoD4znL._AC_US600_.jpg"/>
    <hyperlink ref="E88" r:id="rId174" display="https://www.amazon.com/dp/B08NSVZY1K?psc=1" tooltip="https://www.amazon.com/dp/B08NSVZY1K?psc=1"/>
    <hyperlink ref="F88" r:id="rId175" display="https://images-na.ssl-images-amazon.com/images/I/41wkF4drYML._AC_US600_.jpg" tooltip="https://images-na.ssl-images-amazon.com/images/I/41wkF4drYML._AC_US600_.jpg"/>
    <hyperlink ref="E89" r:id="rId176" display="https://www.amazon.com/dp/B097PCDBRR?psc=1" tooltip="https://www.amazon.com/dp/B097PCDBRR?psc=1"/>
    <hyperlink ref="F89" r:id="rId177" display="https://images-na.ssl-images-amazon.com/images/I/51p7DpMN9bL._AC_US600_.jpg" tooltip="https://images-na.ssl-images-amazon.com/images/I/51p7DpMN9bL._AC_US600_.jpg"/>
    <hyperlink ref="E90" r:id="rId178" display="https://www.amazon.com/dp/B081PGHZGR?psc=1" tooltip="https://www.amazon.com/dp/B081PGHZGR?psc=1"/>
    <hyperlink ref="F90" r:id="rId179" display="https://m.media-amazon.com/images/W/IMAGERENDERING_521856-T1/images/I/41VVyif1syL._AC_US600_.jpg" tooltip="https://m.media-amazon.com/images/W/IMAGERENDERING_521856-T1/images/I/41VVyif1syL._AC_US600_.jpg"/>
    <hyperlink ref="E91" r:id="rId180" display="https://www.amazon.com/dp/B0BR4ZYSRF?psc=1" tooltip="https://www.amazon.com/dp/B0BR4ZYSRF?psc=1"/>
    <hyperlink ref="F91" r:id="rId181" display="https://images-na.ssl-images-amazon.com/images/I/51DaREWGV9L._AC_US600_.jpg" tooltip="https://images-na.ssl-images-amazon.com/images/I/51DaREWGV9L._AC_US600_.jpg"/>
    <hyperlink ref="E92" r:id="rId182" display="https://www.amazon.com/dp/B07PMM3MMH?psc=1" tooltip="https://www.amazon.com/dp/B07PMM3MMH?psc=1"/>
    <hyperlink ref="F92" r:id="rId183" display="https://images-na.ssl-images-amazon.com/images/I/610-Wi7DvML._AC_US600_.jpg" tooltip="https://images-na.ssl-images-amazon.com/images/I/610-Wi7DvML._AC_US600_.jpg"/>
    <hyperlink ref="E93" r:id="rId184" display="https://www.amazon.com/dp/B08L3SW8DZ?psc=1" tooltip="https://www.amazon.com/dp/B08L3SW8DZ?psc=1"/>
    <hyperlink ref="F93" r:id="rId185" display="https://images-na.ssl-images-amazon.com/images/I/419w5-1jmOL._AC_US600_.jpg" tooltip="https://images-na.ssl-images-amazon.com/images/I/419w5-1jmOL._AC_US600_.jpg"/>
    <hyperlink ref="E94" r:id="rId186" display="https://www.amazon.com/dp/B08G5CH2HR?psc=1" tooltip="https://www.amazon.com/dp/B08G5CH2HR?psc=1"/>
    <hyperlink ref="F94" r:id="rId187" display="https://images-na.ssl-images-amazon.com/images/I/516+29sy+uL._AC_US600_.jpg" tooltip="https://images-na.ssl-images-amazon.com/images/I/516+29sy+uL._AC_US600_.jpg"/>
    <hyperlink ref="E95" r:id="rId188" display="https://www.amazon.com/dp/B09DYPNPV4?psc=1" tooltip="https://www.amazon.com/dp/B09DYPNPV4?psc=1"/>
    <hyperlink ref="F95" r:id="rId189" display="https://images-na.ssl-images-amazon.com/images/I/41RUxUeb1SL._AC_US600_.jpg" tooltip="https://images-na.ssl-images-amazon.com/images/I/41RUxUeb1SL._AC_US600_.jpg"/>
    <hyperlink ref="E96" r:id="rId190" display="https://www.amazon.com/dp/B0B42HSLFQ?psc=1" tooltip="https://www.amazon.com/dp/B0B42HSLFQ?psc=1"/>
    <hyperlink ref="F96" r:id="rId191" display="https://m.media-amazon.com/images/W/IMAGERENDERING_521856-T2/images/I/41LNy6LgobL._AC_US600_.jpg" tooltip="https://m.media-amazon.com/images/W/IMAGERENDERING_521856-T2/images/I/41LNy6LgobL._AC_US600_.jpg"/>
    <hyperlink ref="E97" r:id="rId192" display="https://www.amazon.com/dp/B0B3G8V6MV?psc=1" tooltip="https://www.amazon.com/dp/B0B3G8V6MV?psc=1"/>
    <hyperlink ref="F97" r:id="rId193" display="https://images-na.ssl-images-amazon.com/images/I/41kb9+9AjPL._AC_US600_.jpg" tooltip="https://images-na.ssl-images-amazon.com/images/I/41kb9+9AjPL._AC_US600_.jpg"/>
    <hyperlink ref="E98" r:id="rId194" display="https://www.amazon.com/dp/B0B1CZ57FF?psc=1" tooltip="https://www.amazon.com/dp/B0B1CZ57FF?psc=1"/>
    <hyperlink ref="F98" r:id="rId195" display="https://m.media-amazon.com/images/I/51WhsyhjoiL._AC_US600_.jpg" tooltip="https://m.media-amazon.com/images/I/51WhsyhjoiL._AC_US600_.jpg"/>
    <hyperlink ref="E99" r:id="rId196" display="https://www.amazon.com/dp/B076FPT78K?psc=1" tooltip="https://www.amazon.com/dp/B076FPT78K?psc=1"/>
    <hyperlink ref="F99" r:id="rId197" display="https://images-na.ssl-images-amazon.com/images/I/41Q4s94S0uL._AC_US600_.jpg" tooltip="https://images-na.ssl-images-amazon.com/images/I/41Q4s94S0uL._AC_US600_.jpg"/>
    <hyperlink ref="E100" r:id="rId198" display="https://www.amazon.com/dp/B08KXTDBQC?psc=1" tooltip="https://www.amazon.com/dp/B08KXTDBQC?psc=1"/>
    <hyperlink ref="F100" r:id="rId199" display="https://images-na.ssl-images-amazon.com/images/I/41UTCIgF3RL._AC_US600_.jpg" tooltip="https://images-na.ssl-images-amazon.com/images/I/41UTCIgF3RL._AC_US600_.jpg"/>
    <hyperlink ref="E101" r:id="rId200" display="https://www.amazon.com/dp/B01LX9T6HF?psc=1" tooltip="https://www.amazon.com/dp/B01LX9T6HF?psc=1"/>
    <hyperlink ref="F101" r:id="rId201" display="https://images-na.ssl-images-amazon.com/images/I/418+jnE43GL._AC_US600_.jpg" tooltip="https://images-na.ssl-images-amazon.com/images/I/418+jnE43GL._AC_US600_.jpg"/>
    <hyperlink ref="E102" r:id="rId202" display="https://www.amazon.com/dp/B086K1T4JJ?psc=1" tooltip="https://www.amazon.com/dp/B086K1T4JJ?psc=1"/>
    <hyperlink ref="F102" r:id="rId203" display="https://images-na.ssl-images-amazon.com/images/I/41Kx73WvRML._AC_US600_.jpg" tooltip="https://images-na.ssl-images-amazon.com/images/I/41Kx73WvRML._AC_US600_.jpg"/>
    <hyperlink ref="E103" r:id="rId204" display="https://www.amazon.com/dp/B084B7PF4K?psc=1" tooltip="https://www.amazon.com/dp/B084B7PF4K?psc=1"/>
    <hyperlink ref="F103" r:id="rId205" display="https://images-na.ssl-images-amazon.com/images/I/31hes0z4e1L._AC_US600_.jpg" tooltip="https://images-na.ssl-images-amazon.com/images/I/31hes0z4e1L._AC_US600_.jpg"/>
    <hyperlink ref="E104" r:id="rId206" display="https://www.amazon.com/dp/B0B3SHYNBG?psc=1" tooltip="https://www.amazon.com/dp/B0B3SHYNBG?psc=1"/>
    <hyperlink ref="F104" r:id="rId207" display="https://m.media-amazon.com/images/I/61PY7xJYKRL._AC_US600_.jpg" tooltip="https://m.media-amazon.com/images/I/61PY7xJYKRL._AC_US600_.jpg"/>
    <hyperlink ref="E105" r:id="rId208" display="https://www.amazon.com/dp/B08TWB9L5P?psc=1" tooltip="https://www.amazon.com/dp/B08TWB9L5P?psc=1"/>
    <hyperlink ref="F105" r:id="rId209" display="https://images-na.ssl-images-amazon.com/images/I/51BtVuritGL._AC_US600_.jpg" tooltip="https://images-na.ssl-images-amazon.com/images/I/51BtVuritGL._AC_US600_.jpg"/>
    <hyperlink ref="E106" r:id="rId210" display="https://www.amazon.com/dp/B086GWG6BG?psc=1" tooltip="https://www.amazon.com/dp/B086GWG6BG?psc=1"/>
    <hyperlink ref="F106" r:id="rId211" display="https://images-na.ssl-images-amazon.com/images/I/41Bh+8iMurL._AC_US600_.jpg" tooltip="https://images-na.ssl-images-amazon.com/images/I/41Bh+8iMurL._AC_US600_.jpg"/>
    <hyperlink ref="E107" r:id="rId212" display="https://www.amazon.com/dp/B07DBNSCFW?psc=1" tooltip="https://www.amazon.com/dp/B07DBNSCFW?psc=1"/>
    <hyperlink ref="F107" r:id="rId213" display="https://images-na.ssl-images-amazon.com/images/I/51TJcRe+XLL._AC_US600_.jpg" tooltip="https://images-na.ssl-images-amazon.com/images/I/51TJcRe+XLL._AC_US600_.jpg"/>
    <hyperlink ref="E108" r:id="rId214" display="https://www.amazon.com/dp/B09Y12NVC2?psc=1" tooltip="https://www.amazon.com/dp/B09Y12NVC2?psc=1"/>
    <hyperlink ref="F108" r:id="rId215" display="https://m.media-amazon.com/images/I/41MMVnAeq+L._AC_US600_.jpg" tooltip="https://m.media-amazon.com/images/I/41MMVnAeq+L._AC_US600_.jpg"/>
    <hyperlink ref="E109" r:id="rId216" display="https://www.amazon.com/dp/1950099385?psc=1" tooltip="https://www.amazon.com/dp/1950099385?psc=1"/>
    <hyperlink ref="F109" r:id="rId217" display="https://m.media-amazon.com/images/I/51wkIrk1KRL._AC_US200_.jpg" tooltip="https://m.media-amazon.com/images/I/51wkIrk1KRL._AC_US200_.jpg"/>
    <hyperlink ref="E110" r:id="rId218" display="https://www.amazon.com/dp/B08739L374?psc=1" tooltip="https://www.amazon.com/dp/B08739L374?psc=1"/>
    <hyperlink ref="F110" r:id="rId219" display="https://images-na.ssl-images-amazon.com/images/I/51cjHLNNdfL._AC_US600_.jpg" tooltip="https://images-na.ssl-images-amazon.com/images/I/51cjHLNNdfL._AC_US600_.jpg"/>
    <hyperlink ref="E111" r:id="rId220" display="https://www.amazon.com/dp/B087WW1W78?psc=1" tooltip="https://www.amazon.com/dp/B087WW1W78?psc=1"/>
    <hyperlink ref="F111" r:id="rId221" display="https://images-na.ssl-images-amazon.com/images/I/41XooFogX3S._AC_US600_.jpg" tooltip="https://images-na.ssl-images-amazon.com/images/I/41XooFogX3S._AC_US600_.jpg"/>
    <hyperlink ref="E112" r:id="rId222" display="https://www.amazon.com/dp/B09B9K9552?psc=1" tooltip="https://www.amazon.com/dp/B09B9K9552?psc=1"/>
    <hyperlink ref="F112" r:id="rId223" display="https://images-na.ssl-images-amazon.com/images/I/41itlVcI-8L._AC_US600_.jpg" tooltip="https://images-na.ssl-images-amazon.com/images/I/41itlVcI-8L._AC_US600_.jpg"/>
    <hyperlink ref="E113" r:id="rId224" display="https://www.amazon.com/dp/B08P27RFLB?psc=1" tooltip="https://www.amazon.com/dp/B08P27RFLB?psc=1"/>
    <hyperlink ref="F113" r:id="rId225" display="https://images-na.ssl-images-amazon.com/images/I/31oBMRVPbJS._AC_US600_.jpg" tooltip="https://images-na.ssl-images-amazon.com/images/I/31oBMRVPbJS._AC_US600_.jpg"/>
    <hyperlink ref="E114" r:id="rId226" display="https://www.amazon.com/dp/B0B94K541Q?psc=1" tooltip="https://www.amazon.com/dp/B0B94K541Q?psc=1"/>
    <hyperlink ref="F114" r:id="rId227" display="https://images-na.ssl-images-amazon.com/images/I/514XT9luXRL._AC_US600_.jpg" tooltip="https://images-na.ssl-images-amazon.com/images/I/514XT9luXRL._AC_US600_.jpg"/>
    <hyperlink ref="E115" r:id="rId228" display="https://www.amazon.com/dp/B08HPQ384Y?psc=1" tooltip="https://www.amazon.com/dp/B08HPQ384Y?psc=1"/>
    <hyperlink ref="F115" r:id="rId229" display="https://images-na.ssl-images-amazon.com/images/I/51Pp7HEnMDL._AC_US600_.jpg" tooltip="https://images-na.ssl-images-amazon.com/images/I/51Pp7HEnMDL._AC_US600_.jpg"/>
    <hyperlink ref="E116" r:id="rId230" display="https://www.amazon.com/dp/B0B52885M9?psc=1" tooltip="https://www.amazon.com/dp/B0B52885M9?psc=1"/>
    <hyperlink ref="F116" r:id="rId231" display="https://m.media-amazon.com/images/W/IMAGERENDERING_521856-T1/images/I/41uMb4vYYiL._AC_US600_.jpg" tooltip="https://m.media-amazon.com/images/W/IMAGERENDERING_521856-T1/images/I/41uMb4vYYiL._AC_US600_.jpg"/>
    <hyperlink ref="E117" r:id="rId232" display="https://www.amazon.com/dp/B06XYKVPLS?psc=1" tooltip="https://www.amazon.com/dp/B06XYKVPLS?psc=1"/>
    <hyperlink ref="F117" r:id="rId233" display="https://images-na.ssl-images-amazon.com/images/I/41zlAqz5EQS._AC_US600_.jpg" tooltip="https://images-na.ssl-images-amazon.com/images/I/41zlAqz5EQS._AC_US600_.jpg"/>
    <hyperlink ref="E118" r:id="rId234" display="https://www.amazon.com/dp/B0BKH3GB4Q?psc=1" tooltip="https://www.amazon.com/dp/B0BKH3GB4Q?psc=1"/>
    <hyperlink ref="F118" r:id="rId235" display="https://images-na.ssl-images-amazon.com/images/I/51Dc8o0n62L._AC_US600_.jpg" tooltip="https://images-na.ssl-images-amazon.com/images/I/51Dc8o0n62L._AC_US600_.jpg"/>
    <hyperlink ref="E119" r:id="rId236" display="https://www.amazon.com/dp/B09871GCN1?psc=1" tooltip="https://www.amazon.com/dp/B09871GCN1?psc=1"/>
    <hyperlink ref="F119" r:id="rId237" display="https://images-na.ssl-images-amazon.com/images/I/41Eimf3muML._AC_US600_.jpg" tooltip="https://images-na.ssl-images-amazon.com/images/I/41Eimf3muML._AC_US600_.jpg"/>
    <hyperlink ref="E120" r:id="rId238" display="https://www.amazon.com/dp/B09696JZVR?psc=1" tooltip="https://www.amazon.com/dp/B09696JZVR?psc=1"/>
    <hyperlink ref="F120" r:id="rId239" display="https://m.media-amazon.com/images/I/41K7k9nX6sL._AC_US600_.jpg" tooltip="https://m.media-amazon.com/images/I/41K7k9nX6sL._AC_US600_.jpg"/>
    <hyperlink ref="E121" r:id="rId240" display="https://www.amazon.com/dp/B09NS522NG?psc=1" tooltip="https://www.amazon.com/dp/B09NS522NG?psc=1"/>
    <hyperlink ref="F121" r:id="rId241" display="https://images-na.ssl-images-amazon.com/images/I/51Z9ph1oLoL._AC_US600_.jpg" tooltip="https://images-na.ssl-images-amazon.com/images/I/51Z9ph1oLoL._AC_US600_.jpg"/>
    <hyperlink ref="E122" r:id="rId242" display="https://www.amazon.com/dp/B0BPLG5GFW?psc=1" tooltip="https://www.amazon.com/dp/B0BPLG5GFW?psc=1"/>
    <hyperlink ref="F122" r:id="rId243" display="https://images-na.ssl-images-amazon.com/images/I/41UKs3XQkmL._AC_US600_.jpg" tooltip="https://images-na.ssl-images-amazon.com/images/I/41UKs3XQkmL._AC_US600_.jpg"/>
    <hyperlink ref="E123" r:id="rId244" display="https://www.amazon.com/dp/B0B18MBRHD?psc=1" tooltip="https://www.amazon.com/dp/B0B18MBRHD?psc=1"/>
    <hyperlink ref="F123" r:id="rId245" display="https://images-na.ssl-images-amazon.com/images/I/41i6RaTZPWL._AC_US600_.jpg" tooltip="https://images-na.ssl-images-amazon.com/images/I/41i6RaTZPWL._AC_US600_.jpg"/>
    <hyperlink ref="E124" r:id="rId246" display="https://www.amazon.com/dp/B0893RB4BH?psc=1" tooltip="https://www.amazon.com/dp/B0893RB4BH?psc=1"/>
    <hyperlink ref="F124" r:id="rId247" display="https://images-na.ssl-images-amazon.com/images/I/616e+YnFBoS._AC_US600_.jpg" tooltip="https://images-na.ssl-images-amazon.com/images/I/616e+YnFBoS._AC_US600_.jpg"/>
    <hyperlink ref="E125" r:id="rId248" display="https://www.amazon.com/dp/B07Z1R5D26?psc=1" tooltip="https://www.amazon.com/dp/B07Z1R5D26?psc=1"/>
    <hyperlink ref="F125" r:id="rId249" display="https://images-na.ssl-images-amazon.com/images/I/41Vufu1KwhL._AC_US600_.jpg" tooltip="https://images-na.ssl-images-amazon.com/images/I/41Vufu1KwhL._AC_US600_.jpg"/>
    <hyperlink ref="E126" r:id="rId250" display="https://www.amazon.com/dp/B0B1MD5HBN?psc=1" tooltip="https://www.amazon.com/dp/B0B1MD5HBN?psc=1"/>
    <hyperlink ref="F126" r:id="rId251" display="https://images-na.ssl-images-amazon.com/images/I/41iZ4j7pCQL._AC_US600_.jpg" tooltip="https://images-na.ssl-images-amazon.com/images/I/41iZ4j7pCQL._AC_US600_.jpg"/>
    <hyperlink ref="E127" r:id="rId252" display="https://www.amazon.com/dp/B07V39R29T?psc=1" tooltip="https://www.amazon.com/dp/B07V39R29T?psc=1"/>
    <hyperlink ref="F127" r:id="rId253" display="https://images-na.ssl-images-amazon.com/images/I/41oyDNvYsGL._AC_US600_.jpg" tooltip="https://images-na.ssl-images-amazon.com/images/I/41oyDNvYsGL._AC_US600_.jpg"/>
    <hyperlink ref="E128" r:id="rId254" display="https://www.amazon.com/dp/B07Z9HNYQ9?psc=1" tooltip="https://www.amazon.com/dp/B07Z9HNYQ9?psc=1"/>
    <hyperlink ref="F128" r:id="rId255" display="https://images-na.ssl-images-amazon.com/images/I/41lbBkQw9eL._AC_US600_.jpg" tooltip="https://images-na.ssl-images-amazon.com/images/I/41lbBkQw9eL._AC_US600_.jpg"/>
    <hyperlink ref="E129" r:id="rId256" display="https://www.amazon.com/dp/B08CY6ZPCW?psc=1" tooltip="https://www.amazon.com/dp/B08CY6ZPCW?psc=1"/>
    <hyperlink ref="F129" r:id="rId257" display="https://images-na.ssl-images-amazon.com/images/I/31ADxxI3XjL._AC_US600_.jpg" tooltip="https://images-na.ssl-images-amazon.com/images/I/31ADxxI3XjL._AC_US600_.jpg"/>
    <hyperlink ref="E130" r:id="rId258" display="https://www.amazon.com/dp/B0BVVCQPP9?psc=1" tooltip="https://www.amazon.com/dp/B0BVVCQPP9?psc=1"/>
    <hyperlink ref="F130" r:id="rId259" display="https://m.media-amazon.com/images/I/51N0x14n+AL._AC_US600_.jpg" tooltip="https://m.media-amazon.com/images/I/51N0x14n+AL._AC_US600_.jpg"/>
    <hyperlink ref="E131" r:id="rId260" display="https://www.amazon.com/dp/B08R68562Y?psc=1" tooltip="https://www.amazon.com/dp/B08R68562Y?psc=1"/>
    <hyperlink ref="F131" r:id="rId261" display="https://images-na.ssl-images-amazon.com/images/I/51m3Mcq7EEL._AC_US600_.jpg" tooltip="https://images-na.ssl-images-amazon.com/images/I/51m3Mcq7EEL._AC_US600_.jpg"/>
    <hyperlink ref="E132" r:id="rId262" display="https://www.amazon.com/dp/B07XQKK2MB?psc=1" tooltip="https://www.amazon.com/dp/B07XQKK2MB?psc=1"/>
    <hyperlink ref="F132" r:id="rId263" display="https://m.media-amazon.com/images/I/413HNtfoR7L._AC_US600_.jpg" tooltip="https://m.media-amazon.com/images/I/413HNtfoR7L._AC_US600_.jpg"/>
    <hyperlink ref="E133" r:id="rId264" display="https://www.amazon.com/dp/B0936MKPT8?psc=1" tooltip="https://www.amazon.com/dp/B0936MKPT8?psc=1"/>
    <hyperlink ref="F133" r:id="rId265" display="https://m.media-amazon.com/images/I/51ZmqVqG7uS._AC_US600_.jpg" tooltip="https://m.media-amazon.com/images/I/51ZmqVqG7uS._AC_US600_.jpg"/>
    <hyperlink ref="E134" r:id="rId266" display="https://www.amazon.com/dp/B08P2PPD6W?psc=1" tooltip="https://www.amazon.com/dp/B08P2PPD6W?psc=1"/>
    <hyperlink ref="F134" r:id="rId267" display="https://m.media-amazon.com/images/W/IMAGERENDERING_521856-T2/images/I/31yPH5v0BCS._AC_US600_.jpg" tooltip="https://m.media-amazon.com/images/W/IMAGERENDERING_521856-T2/images/I/31yPH5v0BCS._AC_US600_.jpg"/>
    <hyperlink ref="E135" r:id="rId268" display="https://www.amazon.com/dp/B09X5BK8TF?psc=1" tooltip="https://www.amazon.com/dp/B09X5BK8TF?psc=1"/>
    <hyperlink ref="F135" r:id="rId269" display="https://images-na.ssl-images-amazon.com/images/I/41ryaxSKz8L._AC_US600_.jpg" tooltip="https://images-na.ssl-images-amazon.com/images/I/41ryaxSKz8L._AC_US600_.jpg"/>
    <hyperlink ref="E136" r:id="rId270" display="https://www.amazon.com/dp/B089GJXTXF?psc=1" tooltip="https://www.amazon.com/dp/B089GJXTXF?psc=1"/>
    <hyperlink ref="F136" r:id="rId271" display="https://images-na.ssl-images-amazon.com/images/I/41jpDorOqRL._AC_US600_.jpg" tooltip="https://images-na.ssl-images-amazon.com/images/I/41jpDorOqRL._AC_US600_.jpg"/>
    <hyperlink ref="E137" r:id="rId272" display="https://www.amazon.com/dp/B08QM92YBH?psc=1" tooltip="https://www.amazon.com/dp/B08QM92YBH?psc=1"/>
    <hyperlink ref="F137" r:id="rId273" display="https://m.media-amazon.com/images/I/4109SBDZg1L._AC_US600_.jpg" tooltip="https://m.media-amazon.com/images/I/4109SBDZg1L._AC_US600_.jpg"/>
    <hyperlink ref="E138" r:id="rId274" display="https://www.amazon.com/dp/B092ZHXM37?psc=1" tooltip="https://www.amazon.com/dp/B092ZHXM37?psc=1"/>
    <hyperlink ref="F138" r:id="rId275" display="https://images-na.ssl-images-amazon.com/images/I/41L96sAtJ9L._AC_US600_.jpg" tooltip="https://images-na.ssl-images-amazon.com/images/I/41L96sAtJ9L._AC_US600_.jpg"/>
    <hyperlink ref="E139" r:id="rId276" display="https://www.amazon.com/dp/B0BMP7ZK4T?psc=1" tooltip="https://www.amazon.com/dp/B0BMP7ZK4T?psc=1"/>
    <hyperlink ref="F139" r:id="rId277" display="https://images-na.ssl-images-amazon.com/images/I/41GYCUDUqbL._AC_US600_.jpg" tooltip="https://images-na.ssl-images-amazon.com/images/I/41GYCUDUqbL._AC_US600_.jpg"/>
    <hyperlink ref="E140" r:id="rId278" display="https://www.amazon.com/dp/B0BQJ6Y3TW?psc=1" tooltip="https://www.amazon.com/dp/B0BQJ6Y3TW?psc=1"/>
    <hyperlink ref="F140" r:id="rId279" display="https://images-na.ssl-images-amazon.com/images/I/51w12X416yL._AC_US600_.jpg" tooltip="https://images-na.ssl-images-amazon.com/images/I/51w12X416yL._AC_US600_.jpg"/>
    <hyperlink ref="E141" r:id="rId280" display="https://www.amazon.com/dp/B07N9H6D9D?psc=1" tooltip="https://www.amazon.com/dp/B07N9H6D9D?psc=1"/>
    <hyperlink ref="F141" r:id="rId281" display="https://images-na.ssl-images-amazon.com/images/I/419pJKND6fL._AC_US600_.jpg" tooltip="https://images-na.ssl-images-amazon.com/images/I/419pJKND6fL._AC_US600_.jpg"/>
    <hyperlink ref="E142" r:id="rId282" display="https://www.amazon.com/dp/B0BS599CMJ?psc=1" tooltip="https://www.amazon.com/dp/B0BS599CMJ?psc=1"/>
    <hyperlink ref="F142" r:id="rId283" display="https://images-na.ssl-images-amazon.com/images/I/51ozpk-BgNL._AC_US600_.jpg" tooltip="https://images-na.ssl-images-amazon.com/images/I/51ozpk-BgNL._AC_US600_.jpg"/>
    <hyperlink ref="E143" r:id="rId284" display="https://www.amazon.com/dp/B09139HJGJ?psc=1" tooltip="https://www.amazon.com/dp/B09139HJGJ?psc=1"/>
    <hyperlink ref="F143" r:id="rId285" display="https://images-na.ssl-images-amazon.com/images/I/51GEJcm2B1S._AC_US600_.jpg" tooltip="https://images-na.ssl-images-amazon.com/images/I/51GEJcm2B1S._AC_US600_.jpg"/>
    <hyperlink ref="E144" r:id="rId286" display="https://www.amazon.com/dp/B09TQC3CJR?psc=1" tooltip="https://www.amazon.com/dp/B09TQC3CJR?psc=1"/>
    <hyperlink ref="F144" r:id="rId287" display="https://images-na.ssl-images-amazon.com/images/I/61C5TzZzUlL._AC_US600_.jpg" tooltip="https://images-na.ssl-images-amazon.com/images/I/61C5TzZzUlL._AC_US600_.jpg"/>
    <hyperlink ref="E145" r:id="rId288" display="https://www.amazon.com/dp/B08WYQJ53B?psc=1" tooltip="https://www.amazon.com/dp/B08WYQJ53B?psc=1"/>
    <hyperlink ref="F145" r:id="rId289" display="https://images-na.ssl-images-amazon.com/images/I/418TOd4vjVL._AC_US600_.jpg" tooltip="https://images-na.ssl-images-amazon.com/images/I/418TOd4vjVL._AC_US600_.jpg"/>
    <hyperlink ref="E146" r:id="rId290" display="https://www.amazon.com/dp/B09VKYGBQJ?psc=1" tooltip="https://www.amazon.com/dp/B09VKYGBQJ?psc=1"/>
    <hyperlink ref="F146" r:id="rId291" display="https://images-na.ssl-images-amazon.com/images/I/51AzCYj9HyL._AC_US600_.jpg" tooltip="https://images-na.ssl-images-amazon.com/images/I/51AzCYj9HyL._AC_US600_.jpg"/>
    <hyperlink ref="E147" r:id="rId292" display="https://www.amazon.com/dp/B08FTLBL29?psc=1" tooltip="https://www.amazon.com/dp/B08FTLBL29?psc=1"/>
    <hyperlink ref="F147" r:id="rId293" display="https://images-na.ssl-images-amazon.com/images/I/41xSMcJLTOL._AC_US600_.jpg" tooltip="https://images-na.ssl-images-amazon.com/images/I/41xSMcJLTOL._AC_US600_.jpg"/>
    <hyperlink ref="E148" r:id="rId294" display="https://www.amazon.com/dp/B0B3JHGSZS?psc=1" tooltip="https://www.amazon.com/dp/B0B3JHGSZS?psc=1"/>
    <hyperlink ref="F148" r:id="rId295" display="https://m.media-amazon.com/images/I/51covP1YufL._AC_US600_.jpg" tooltip="https://m.media-amazon.com/images/I/51covP1YufL._AC_US600_.jpg"/>
    <hyperlink ref="E149" r:id="rId296" display="https://www.amazon.com/dp/B08BH24R3T?psc=1" tooltip="https://www.amazon.com/dp/B08BH24R3T?psc=1"/>
    <hyperlink ref="F149" r:id="rId297" display="https://images-na.ssl-images-amazon.com/images/I/41YMGJtaP1L._AC_US600_.jpg" tooltip="https://images-na.ssl-images-amazon.com/images/I/41YMGJtaP1L._AC_US600_.jpg"/>
    <hyperlink ref="E150" r:id="rId298" display="https://www.amazon.com/dp/B09MS2RQGL?psc=1" tooltip="https://www.amazon.com/dp/B09MS2RQGL?psc=1"/>
    <hyperlink ref="F150" r:id="rId299" display="https://images-na.ssl-images-amazon.com/images/I/41EAkNh6L1L._AC_US600_.jpg" tooltip="https://images-na.ssl-images-amazon.com/images/I/41EAkNh6L1L._AC_US600_.jpg"/>
    <hyperlink ref="E151" r:id="rId300" display="https://www.amazon.com/dp/B08578WCDF?psc=1" tooltip="https://www.amazon.com/dp/B08578WCDF?psc=1"/>
    <hyperlink ref="F151" r:id="rId301" display="https://images-na.ssl-images-amazon.com/images/I/31t5GBCFKzL._AC_US600_.jpg" tooltip="https://images-na.ssl-images-amazon.com/images/I/31t5GBCFKzL._AC_US600_.jpg"/>
    <hyperlink ref="E152" r:id="rId302" display="https://www.amazon.com/dp/B09PDC8MQ3?psc=1" tooltip="https://www.amazon.com/dp/B09PDC8MQ3?psc=1"/>
    <hyperlink ref="F152" r:id="rId303" display="https://images-na.ssl-images-amazon.com/images/I/51932OdqxCL._AC_US600_.jpg" tooltip="https://images-na.ssl-images-amazon.com/images/I/51932OdqxCL._AC_US600_.jpg"/>
    <hyperlink ref="E153" r:id="rId304" display="https://www.amazon.com/dp/B09PY984CM?psc=1" tooltip="https://www.amazon.com/dp/B09PY984CM?psc=1"/>
    <hyperlink ref="F153" r:id="rId305" display="https://m.media-amazon.com/images/I/51elYXGsRXL._AC_US600_.jpg" tooltip="https://m.media-amazon.com/images/I/51elYXGsRXL._AC_US600_.jpg"/>
    <hyperlink ref="E154" r:id="rId306" display="https://www.amazon.com/dp/B09XMF752B?psc=1" tooltip="https://www.amazon.com/dp/B09XMF752B?psc=1"/>
    <hyperlink ref="F154" r:id="rId307" display="https://images-na.ssl-images-amazon.com/images/I/31mUrNkEHJL._AC_US600_.jpg" tooltip="https://images-na.ssl-images-amazon.com/images/I/31mUrNkEHJL._AC_US600_.jpg"/>
    <hyperlink ref="E155" r:id="rId308" display="https://www.amazon.com/dp/B07P11X2TK?psc=1" tooltip="https://www.amazon.com/dp/B07P11X2TK?psc=1"/>
    <hyperlink ref="F155" r:id="rId309" display="https://m.media-amazon.com/images/W/IMAGERENDERING_521856-T1/images/I/51Lcpdw+CiL._AC_US600_.jpg" tooltip="https://m.media-amazon.com/images/W/IMAGERENDERING_521856-T1/images/I/51Lcpdw+CiL._AC_US600_.jpg"/>
    <hyperlink ref="E156" r:id="rId310" display="https://www.amazon.com/dp/B01MDMHRXG?psc=1" tooltip="https://www.amazon.com/dp/B01MDMHRXG?psc=1"/>
    <hyperlink ref="F156" r:id="rId311" display="https://m.media-amazon.com/images/I/5175B17BeLL._AC_US600_.jpg" tooltip="https://m.media-amazon.com/images/I/5175B17BeLL._AC_US600_.jpg"/>
    <hyperlink ref="E157" r:id="rId312" display="https://www.amazon.com/dp/B0977M6FJP?psc=1" tooltip="https://www.amazon.com/dp/B0977M6FJP?psc=1"/>
    <hyperlink ref="F157" r:id="rId313" display="https://m.media-amazon.com/images/I/41xRnynIT4L._AC_US600_.jpg" tooltip="https://m.media-amazon.com/images/I/41xRnynIT4L._AC_US600_.jpg"/>
    <hyperlink ref="E158" r:id="rId314" display="https://www.amazon.com/dp/B08QQ6KWYN?psc=1" tooltip="https://www.amazon.com/dp/B08QQ6KWYN?psc=1"/>
    <hyperlink ref="F158" r:id="rId315" display="https://images-na.ssl-images-amazon.com/images/I/41-b7PVAsGL._AC_US600_.jpg" tooltip="https://images-na.ssl-images-amazon.com/images/I/41-b7PVAsGL._AC_US600_.jpg"/>
    <hyperlink ref="E159" r:id="rId316" display="https://www.amazon.com/dp/B07VH2CXPJ?psc=1" tooltip="https://www.amazon.com/dp/B07VH2CXPJ?psc=1"/>
    <hyperlink ref="F159" r:id="rId317" display="https://images-na.ssl-images-amazon.com/images/I/31+gdMrAOgL._AC_US600_.jpg" tooltip="https://images-na.ssl-images-amazon.com/images/I/31+gdMrAOgL._AC_US600_.jpg"/>
    <hyperlink ref="E160" r:id="rId318" display="https://www.amazon.com/dp/B08YNDYG71?psc=1" tooltip="https://www.amazon.com/dp/B08YNDYG71?psc=1"/>
    <hyperlink ref="F160" r:id="rId319" display="https://images-na.ssl-images-amazon.com/images/I/31H56P5yfrL._AC_US600_.jpg" tooltip="https://images-na.ssl-images-amazon.com/images/I/31H56P5yfrL._AC_US600_.jpg"/>
    <hyperlink ref="E161" r:id="rId320" display="https://www.amazon.com/dp/B07LBGDTCQ?psc=1" tooltip="https://www.amazon.com/dp/B07LBGDTCQ?psc=1"/>
    <hyperlink ref="F161" r:id="rId321" display="https://images-na.ssl-images-amazon.com/images/I/511qqWp4WWL._AC_US600_.jpg" tooltip="https://images-na.ssl-images-amazon.com/images/I/511qqWp4WWL._AC_US600_.jpg"/>
    <hyperlink ref="E162" r:id="rId322" display="https://www.amazon.com/dp/B09XHL6KL4?psc=1" tooltip="https://www.amazon.com/dp/B09XHL6KL4?psc=1"/>
    <hyperlink ref="F162" r:id="rId323" display="https://images-na.ssl-images-amazon.com/images/I/51MAjW5-n-L._AC_US600_.jpg" tooltip="https://images-na.ssl-images-amazon.com/images/I/51MAjW5-n-L._AC_US600_.jpg"/>
    <hyperlink ref="E163" r:id="rId324" display="https://www.amazon.com/dp/B09SVGTDF1?psc=1" tooltip="https://www.amazon.com/dp/B09SVGTDF1?psc=1"/>
    <hyperlink ref="F163" r:id="rId325" display="https://images-na.ssl-images-amazon.com/images/I/311sQ3sL2bL._AC_US600_.jpg" tooltip="https://images-na.ssl-images-amazon.com/images/I/311sQ3sL2bL._AC_US600_.jpg"/>
    <hyperlink ref="E164" r:id="rId326" display="https://www.amazon.com/dp/B07ZF6WLVX?psc=1" tooltip="https://www.amazon.com/dp/B07ZF6WLVX?psc=1"/>
    <hyperlink ref="F164" r:id="rId327" display="https://images-na.ssl-images-amazon.com/images/I/51xGVNJzo7L._AC_US600_.jpg" tooltip="https://images-na.ssl-images-amazon.com/images/I/51xGVNJzo7L._AC_US600_.jpg"/>
    <hyperlink ref="E165" r:id="rId328" display="https://www.amazon.com/dp/B07CYTSWXV?psc=1" tooltip="https://www.amazon.com/dp/B07CYTSWXV?psc=1"/>
    <hyperlink ref="F165" r:id="rId329" display="https://images-na.ssl-images-amazon.com/images/I/41yc5k8WWvL._AC_US600_.jpg" tooltip="https://images-na.ssl-images-amazon.com/images/I/41yc5k8WWvL._AC_US600_.jpg"/>
    <hyperlink ref="E166" r:id="rId330" display="https://www.amazon.com/dp/B09Q4Y7BDY?psc=1" tooltip="https://www.amazon.com/dp/B09Q4Y7BDY?psc=1"/>
    <hyperlink ref="F166" r:id="rId331" display="https://images-na.ssl-images-amazon.com/images/I/516YC9Zbu4L._AC_US600_.jpg" tooltip="https://images-na.ssl-images-amazon.com/images/I/516YC9Zbu4L._AC_US600_.jpg"/>
    <hyperlink ref="E167" r:id="rId332" display="https://www.amazon.com/dp/B0BL74HQ4P?psc=1" tooltip="https://www.amazon.com/dp/B0BL74HQ4P?psc=1"/>
    <hyperlink ref="F167" r:id="rId333" display="https://images-na.ssl-images-amazon.com/images/I/51WVLngZsPL._AC_US600_.jpg" tooltip="https://images-na.ssl-images-amazon.com/images/I/51WVLngZsPL._AC_US600_.jpg"/>
    <hyperlink ref="E168" r:id="rId334" display="https://www.amazon.com/dp/B0BB7278C9?psc=1" tooltip="https://www.amazon.com/dp/B0BB7278C9?psc=1"/>
    <hyperlink ref="F168" r:id="rId335" display="https://images-na.ssl-images-amazon.com/images/I/31BOWas9fwL._AC_US600_.jpg" tooltip="https://images-na.ssl-images-amazon.com/images/I/31BOWas9fwL._AC_US600_.jpg"/>
    <hyperlink ref="E169" r:id="rId336" display="https://www.amazon.com/dp/B09VX679PC?psc=1" tooltip="https://www.amazon.com/dp/B09VX679PC?psc=1"/>
    <hyperlink ref="F169" r:id="rId337" display="https://images-na.ssl-images-amazon.com/images/I/51pWOsKPv+L._AC_US600_.jpg" tooltip="https://images-na.ssl-images-amazon.com/images/I/51pWOsKPv+L._AC_US600_.jpg"/>
    <hyperlink ref="E170" r:id="rId338" display="https://www.amazon.com/dp/B0B157T2J4?psc=1" tooltip="https://www.amazon.com/dp/B0B157T2J4?psc=1"/>
    <hyperlink ref="F170" r:id="rId339" display="https://m.media-amazon.com/images/I/41TD+zMXubL._AC_US600_.jpg" tooltip="https://m.media-amazon.com/images/I/41TD+zMXubL._AC_US600_.jpg"/>
    <hyperlink ref="E171" r:id="rId340" display="https://www.amazon.com/dp/B0BNHRF9ZV?psc=1" tooltip="https://www.amazon.com/dp/B0BNHRF9ZV?psc=1"/>
    <hyperlink ref="F171" r:id="rId341" display="https://images-na.ssl-images-amazon.com/images/I/51DDs0EcMKL._AC_US600_.jpg" tooltip="https://images-na.ssl-images-amazon.com/images/I/51DDs0EcMKL._AC_US600_.jpg"/>
    <hyperlink ref="E172" r:id="rId342" display="https://www.amazon.com/dp/B0B1GSWB7T?psc=1" tooltip="https://www.amazon.com/dp/B0B1GSWB7T?psc=1"/>
    <hyperlink ref="F172" r:id="rId343" display="https://images-na.ssl-images-amazon.com/images/I/417A8JoBQbL._AC_US600_.jpg" tooltip="https://images-na.ssl-images-amazon.com/images/I/417A8JoBQbL._AC_US600_.jpg"/>
    <hyperlink ref="E173" r:id="rId344" display="https://www.amazon.com/dp/B08WJL15XL?psc=1" tooltip="https://www.amazon.com/dp/B08WJL15XL?psc=1"/>
    <hyperlink ref="F173" r:id="rId345" display="https://m.media-amazon.com/images/I/51fyZTN6mxS._AC_US600_.jpg" tooltip="https://m.media-amazon.com/images/I/51fyZTN6mxS._AC_US600_.jpg"/>
    <hyperlink ref="E174" r:id="rId346" display="https://www.amazon.com/dp/B09PRDH9WY?psc=1" tooltip="https://www.amazon.com/dp/B09PRDH9WY?psc=1"/>
    <hyperlink ref="F174" r:id="rId347" display="https://images-na.ssl-images-amazon.com/images/I/41-KZswStJL._AC_US600_.jpg" tooltip="https://images-na.ssl-images-amazon.com/images/I/41-KZswStJL._AC_US600_.jpg"/>
    <hyperlink ref="E175" r:id="rId348" display="https://www.amazon.com/dp/B0BC3ZJG57?psc=1" tooltip="https://www.amazon.com/dp/B0BC3ZJG57?psc=1"/>
    <hyperlink ref="F175" r:id="rId349" display="https://images-na.ssl-images-amazon.com/images/I/51SmSddUO7L._AC_US600_.jpg" tooltip="https://images-na.ssl-images-amazon.com/images/I/51SmSddUO7L._AC_US600_.jpg"/>
    <hyperlink ref="E176" r:id="rId350" display="https://www.amazon.com/dp/B084ZZTVCJ?psc=1" tooltip="https://www.amazon.com/dp/B084ZZTVCJ?psc=1"/>
    <hyperlink ref="F176" r:id="rId351" display="https://m.media-amazon.com/images/I/41-RKq1zvVL._AC_US600_.jpg" tooltip="https://m.media-amazon.com/images/I/41-RKq1zvVL._AC_US600_.jpg"/>
    <hyperlink ref="E177" r:id="rId352" display="https://www.amazon.com/dp/B09JGSVHZC?psc=1" tooltip="https://www.amazon.com/dp/B09JGSVHZC?psc=1"/>
    <hyperlink ref="F177" r:id="rId353" display="https://images-na.ssl-images-amazon.com/images/I/41qCoizMeTL._AC_US600_.jpg" tooltip="https://images-na.ssl-images-amazon.com/images/I/41qCoizMeTL._AC_US600_.jpg"/>
    <hyperlink ref="E178" r:id="rId354" display="https://www.amazon.com/dp/B07VF7J5VQ?psc=1" tooltip="https://www.amazon.com/dp/B07VF7J5VQ?psc=1"/>
    <hyperlink ref="F178" r:id="rId355" display="https://images-na.ssl-images-amazon.com/images/I/41oFSBERDUL._AC_US600_.jpg" tooltip="https://images-na.ssl-images-amazon.com/images/I/41oFSBERDUL._AC_US600_.jpg"/>
    <hyperlink ref="E179" r:id="rId356" display="https://www.amazon.com/dp/B09KNBHWSJ?psc=1" tooltip="https://www.amazon.com/dp/B09KNBHWSJ?psc=1"/>
    <hyperlink ref="F179" r:id="rId357" display="https://images-na.ssl-images-amazon.com/images/I/41yQWXNHT+L._AC_US600_.jpg" tooltip="https://images-na.ssl-images-amazon.com/images/I/41yQWXNHT+L._AC_US600_.jpg"/>
    <hyperlink ref="E180" r:id="rId358" display="https://www.amazon.com/dp/B07XYR5P8Z?psc=1" tooltip="https://www.amazon.com/dp/B07XYR5P8Z?psc=1"/>
    <hyperlink ref="F180" r:id="rId359" display="https://m.media-amazon.com/images/W/IMAGERENDERING_521856-T2/images/I/41Wdni8B7HL._AC_US600_.jpg" tooltip="https://m.media-amazon.com/images/W/IMAGERENDERING_521856-T2/images/I/41Wdni8B7HL._AC_US600_.jpg"/>
    <hyperlink ref="E181" r:id="rId360" display="https://www.amazon.com/dp/B0996943CH?psc=1" tooltip="https://www.amazon.com/dp/B0996943CH?psc=1"/>
    <hyperlink ref="F181" r:id="rId361" display="https://images-na.ssl-images-amazon.com/images/I/41AZapeoTgL._AC_US600_.jpg" tooltip="https://images-na.ssl-images-amazon.com/images/I/41AZapeoTgL._AC_US600_.jpg"/>
    <hyperlink ref="E182" r:id="rId362" display="https://www.amazon.com/dp/B08ZJ1N7PJ?psc=1" tooltip="https://www.amazon.com/dp/B08ZJ1N7PJ?psc=1"/>
    <hyperlink ref="F182" r:id="rId363" display="https://m.media-amazon.com/images/I/41uj2M0ByyL._AC_US600_.jpg" tooltip="https://m.media-amazon.com/images/I/41uj2M0ByyL._AC_US600_.jpg"/>
    <hyperlink ref="E183" r:id="rId364" display="https://www.amazon.com/dp/B0BWJY2CDK?psc=1" tooltip="https://www.amazon.com/dp/B0BWJY2CDK?psc=1"/>
    <hyperlink ref="F183" r:id="rId365" display="https://m.media-amazon.com/images/W/IMAGERENDERING_521856-T1/images/I/51l-+MUwR1L._AC_US600_.jpg" tooltip="https://m.media-amazon.com/images/W/IMAGERENDERING_521856-T1/images/I/51l-+MUwR1L._AC_US600_.jpg"/>
    <hyperlink ref="E184" r:id="rId366" display="https://www.amazon.com/dp/B08JCG9YW4?psc=1" tooltip="https://www.amazon.com/dp/B08JCG9YW4?psc=1"/>
    <hyperlink ref="F184" r:id="rId367" display="https://images-na.ssl-images-amazon.com/images/I/41fB8fJv3+S._AC_US600_.jpg" tooltip="https://images-na.ssl-images-amazon.com/images/I/41fB8fJv3+S._AC_US600_.jpg"/>
    <hyperlink ref="E185" r:id="rId368" display="https://www.amazon.com/dp/B0882NCLC9?psc=1" tooltip="https://www.amazon.com/dp/B0882NCLC9?psc=1"/>
    <hyperlink ref="F185" r:id="rId369" display="https://m.media-amazon.com/images/W/IMAGERENDERING_521856-T2/images/I/41VQrbjlsQL._AC_US600_.jpg" tooltip="https://m.media-amazon.com/images/W/IMAGERENDERING_521856-T2/images/I/41VQrbjlsQL._AC_US600_.jpg"/>
    <hyperlink ref="E186" r:id="rId370" display="https://www.amazon.com/dp/B0B2K7CPP8?psc=1" tooltip="https://www.amazon.com/dp/B0B2K7CPP8?psc=1"/>
    <hyperlink ref="F186" r:id="rId371" display="https://images-na.ssl-images-amazon.com/images/I/51hskugOyCL._AC_US600_.jpg" tooltip="https://images-na.ssl-images-amazon.com/images/I/51hskugOyCL._AC_US600_.jpg"/>
    <hyperlink ref="E187" r:id="rId372" display="https://www.amazon.com/dp/B0777THX2R?psc=1" tooltip="https://www.amazon.com/dp/B0777THX2R?psc=1"/>
    <hyperlink ref="F187" r:id="rId373" display="https://images-na.ssl-images-amazon.com/images/I/41na0cqIyYL._AC_US600_.jpg" tooltip="https://images-na.ssl-images-amazon.com/images/I/41na0cqIyYL._AC_US600_.jpg"/>
    <hyperlink ref="E188" r:id="rId374" display="https://www.amazon.com/dp/B09SB2RMCZ?psc=1" tooltip="https://www.amazon.com/dp/B09SB2RMCZ?psc=1"/>
    <hyperlink ref="F188" r:id="rId375" display="https://images-na.ssl-images-amazon.com/images/I/418EWiLd+iL._AC_US600_.jpg" tooltip="https://images-na.ssl-images-amazon.com/images/I/418EWiLd+iL._AC_US600_.jpg"/>
    <hyperlink ref="E189" r:id="rId376" display="https://www.amazon.com/dp/B0BT84LMQ8?psc=1" tooltip="https://www.amazon.com/dp/B0BT84LMQ8?psc=1"/>
    <hyperlink ref="F189" r:id="rId377" display="https://images-na.ssl-images-amazon.com/images/I/519QPBDgceL._AC_US600_.jpg" tooltip="https://images-na.ssl-images-amazon.com/images/I/519QPBDgceL._AC_US600_.jpg"/>
    <hyperlink ref="E190" r:id="rId378" display="https://www.amazon.com/dp/B08TSQ3ML9?psc=1" tooltip="https://www.amazon.com/dp/B08TSQ3ML9?psc=1"/>
    <hyperlink ref="F190" r:id="rId379" display="https://images-na.ssl-images-amazon.com/images/I/51TZKjvd89L._AC_US600_.jpg" tooltip="https://images-na.ssl-images-amazon.com/images/I/51TZKjvd89L._AC_US600_.jpg"/>
    <hyperlink ref="E191" r:id="rId380" display="https://www.amazon.com/dp/B0BW7VC725?psc=1" tooltip="https://www.amazon.com/dp/B0BW7VC725?psc=1"/>
    <hyperlink ref="F191" r:id="rId381" display="https://images-na.ssl-images-amazon.com/images/I/31mtratIY2L._AC_US600_.jpg" tooltip="https://images-na.ssl-images-amazon.com/images/I/31mtratIY2L._AC_US600_.jpg"/>
    <hyperlink ref="E192" r:id="rId382" display="https://www.amazon.com/dp/B094QYWH38?psc=1" tooltip="https://www.amazon.com/dp/B094QYWH38?psc=1"/>
    <hyperlink ref="F192" r:id="rId383" display="https://images-na.ssl-images-amazon.com/images/I/41FrTFztleL._AC_US600_.jpg" tooltip="https://images-na.ssl-images-amazon.com/images/I/41FrTFztleL._AC_US600_.jpg"/>
    <hyperlink ref="E193" r:id="rId384" display="https://www.amazon.com/dp/B096QZJCFK?psc=1" tooltip="https://www.amazon.com/dp/B096QZJCFK?psc=1"/>
    <hyperlink ref="F193" r:id="rId385" display="https://images-na.ssl-images-amazon.com/images/I/41eKdT3NoWL._AC_US600_.jpg" tooltip="https://images-na.ssl-images-amazon.com/images/I/41eKdT3NoWL._AC_US600_.jpg"/>
    <hyperlink ref="E194" r:id="rId386" display="https://www.amazon.com/dp/B0923CBH72?psc=1" tooltip="https://www.amazon.com/dp/B0923CBH72?psc=1"/>
    <hyperlink ref="F194" r:id="rId387" display="https://images-na.ssl-images-amazon.com/images/I/310RrHWidHL._AC_US600_.jpg" tooltip="https://images-na.ssl-images-amazon.com/images/I/310RrHWidHL._AC_US600_.jpg"/>
    <hyperlink ref="E195" r:id="rId388" display="https://www.amazon.com/dp/B093MMDQ8L?psc=1" tooltip="https://www.amazon.com/dp/B093MMDQ8L?psc=1"/>
    <hyperlink ref="F195" r:id="rId389" display="https://images-na.ssl-images-amazon.com/images/I/41ocwQbRJuS._AC_US600_.jpg" tooltip="https://images-na.ssl-images-amazon.com/images/I/41ocwQbRJuS._AC_US600_.jpg"/>
    <hyperlink ref="E196" r:id="rId390" display="https://www.amazon.com/dp/B08BSMJD9C?psc=1" tooltip="https://www.amazon.com/dp/B08BSMJD9C?psc=1"/>
    <hyperlink ref="F196" r:id="rId391" display="https://images-na.ssl-images-amazon.com/images/I/31M7tNm+HTL._AC_US600_.jpg" tooltip="https://images-na.ssl-images-amazon.com/images/I/31M7tNm+HTL._AC_US600_.jpg"/>
    <hyperlink ref="E197" r:id="rId392" display="https://www.amazon.com/dp/B09X9TGX48?psc=1" tooltip="https://www.amazon.com/dp/B09X9TGX48?psc=1"/>
    <hyperlink ref="F197" r:id="rId393" display="https://m.media-amazon.com/images/I/51QaiEFUo+L._AC_US600_.jpg" tooltip="https://m.media-amazon.com/images/I/51QaiEFUo+L._AC_US600_.jpg"/>
    <hyperlink ref="E198" r:id="rId394" display="https://www.amazon.com/dp/B079L2ZQGB?psc=1" tooltip="https://www.amazon.com/dp/B079L2ZQGB?psc=1"/>
    <hyperlink ref="F198" r:id="rId395" display="https://images-na.ssl-images-amazon.com/images/I/31It+FgPb9L._AC_US600_.jpg" tooltip="https://images-na.ssl-images-amazon.com/images/I/31It+FgPb9L._AC_US600_.jpg"/>
    <hyperlink ref="E199" r:id="rId396" display="https://www.amazon.com/dp/B08L39951F?psc=1" tooltip="https://www.amazon.com/dp/B08L39951F?psc=1"/>
    <hyperlink ref="F199" r:id="rId397" display="https://images-na.ssl-images-amazon.com/images/I/41RAMv5IRmL._AC_US600_.jpg" tooltip="https://images-na.ssl-images-amazon.com/images/I/41RAMv5IRmL._AC_US600_.jpg"/>
    <hyperlink ref="E200" r:id="rId398" display="https://www.amazon.com/dp/B09FNT7LVL?psc=1" tooltip="https://www.amazon.com/dp/B09FNT7LVL?psc=1"/>
    <hyperlink ref="F200" r:id="rId399" display="https://m.media-amazon.com/images/I/31NEHObRlXL._AC_US600_.jpg" tooltip="https://m.media-amazon.com/images/I/31NEHObRlXL._AC_US600_.jpg"/>
    <hyperlink ref="E201" r:id="rId400" display="https://www.amazon.com/dp/B09ST8J28N?psc=1" tooltip="https://www.amazon.com/dp/B09ST8J28N?psc=1"/>
    <hyperlink ref="F201" r:id="rId401" display="https://m.media-amazon.com/images/I/41pnsxRns1L._AC_US600_.jpg" tooltip="https://m.media-amazon.com/images/I/41pnsxRns1L._AC_US600_.jpg"/>
  </hyperlink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01"/>
  <sheetViews>
    <sheetView zoomScale="90" zoomScaleNormal="90" workbookViewId="0">
      <pane xSplit="15" ySplit="1" topLeftCell="AW2" activePane="bottomRight" state="frozen"/>
      <selection/>
      <selection pane="topRight"/>
      <selection pane="bottomLeft"/>
      <selection pane="bottomRight" activeCell="I1" sqref="I$1:I$1048576"/>
    </sheetView>
  </sheetViews>
  <sheetFormatPr defaultColWidth="9" defaultRowHeight="13.5"/>
  <cols>
    <col min="1" max="1" width="9" style="875"/>
    <col min="3" max="3" width="9" hidden="1" customWidth="1"/>
    <col min="4" max="4" width="18.7916666666667" customWidth="1"/>
    <col min="5" max="5" width="7.6" customWidth="1"/>
    <col min="6" max="6" width="9" hidden="1" customWidth="1"/>
    <col min="8" max="8" width="9" hidden="1" customWidth="1"/>
    <col min="9" max="9" width="65" customWidth="1"/>
    <col min="10" max="14" width="9" customWidth="1"/>
    <col min="17" max="18" width="9" style="876"/>
    <col min="19" max="19" width="9" customWidth="1"/>
    <col min="20" max="20" width="9" style="877" customWidth="1"/>
    <col min="21" max="23" width="11.1916666666667" customWidth="1"/>
    <col min="24" max="24" width="9.23333333333333"/>
    <col min="25" max="25" width="13" customWidth="1"/>
    <col min="26" max="28" width="13" style="875" customWidth="1"/>
    <col min="30" max="30" width="13.125" customWidth="1"/>
    <col min="31" max="35" width="10.525" style="1" customWidth="1"/>
    <col min="37" max="37" width="9.23333333333333"/>
    <col min="38" max="38" width="11.1916666666667" customWidth="1"/>
    <col min="39" max="39" width="9" customWidth="1"/>
    <col min="40" max="40" width="13" customWidth="1"/>
    <col min="41" max="41" width="9" customWidth="1"/>
    <col min="42" max="42" width="11.5" customWidth="1"/>
    <col min="43" max="43" width="10.525" customWidth="1"/>
    <col min="44" max="48" width="10.525" style="1" customWidth="1"/>
    <col min="50" max="50" width="9.23333333333333"/>
    <col min="60" max="60" width="11.475" customWidth="1"/>
  </cols>
  <sheetData>
    <row r="1" s="1" customFormat="1" ht="27" customHeight="1" spans="1:56">
      <c r="A1" s="2" t="s">
        <v>809</v>
      </c>
      <c r="B1" s="2" t="s">
        <v>810</v>
      </c>
      <c r="C1" s="2" t="s">
        <v>811</v>
      </c>
      <c r="D1" s="2" t="s">
        <v>812</v>
      </c>
      <c r="E1" s="2" t="s">
        <v>813</v>
      </c>
      <c r="F1" s="2" t="s">
        <v>814</v>
      </c>
      <c r="G1" s="2" t="s">
        <v>815</v>
      </c>
      <c r="H1" s="2" t="s">
        <v>816</v>
      </c>
      <c r="I1" s="2" t="s">
        <v>817</v>
      </c>
      <c r="J1" s="2" t="s">
        <v>818</v>
      </c>
      <c r="K1" s="2" t="s">
        <v>819</v>
      </c>
      <c r="L1" s="2" t="s">
        <v>820</v>
      </c>
      <c r="M1" s="3" t="s">
        <v>821</v>
      </c>
      <c r="N1" s="2" t="s">
        <v>822</v>
      </c>
      <c r="O1" s="3" t="s">
        <v>823</v>
      </c>
      <c r="P1" s="4" t="s">
        <v>2790</v>
      </c>
      <c r="Q1" s="878" t="s">
        <v>2791</v>
      </c>
      <c r="R1" s="878" t="s">
        <v>2792</v>
      </c>
      <c r="S1" s="878" t="s">
        <v>2793</v>
      </c>
      <c r="T1" s="878" t="s">
        <v>2794</v>
      </c>
      <c r="U1" s="4" t="s">
        <v>2795</v>
      </c>
      <c r="V1" s="4" t="s">
        <v>2796</v>
      </c>
      <c r="W1" s="4" t="s">
        <v>2797</v>
      </c>
      <c r="X1" s="4" t="s">
        <v>2798</v>
      </c>
      <c r="Y1" s="4" t="s">
        <v>2799</v>
      </c>
      <c r="Z1" s="4" t="s">
        <v>2800</v>
      </c>
      <c r="AA1" s="4" t="s">
        <v>2801</v>
      </c>
      <c r="AB1" s="4" t="s">
        <v>2802</v>
      </c>
      <c r="AC1" s="4" t="s">
        <v>2803</v>
      </c>
      <c r="AD1" s="4" t="s">
        <v>2804</v>
      </c>
      <c r="AE1" s="4" t="s">
        <v>2805</v>
      </c>
      <c r="AF1" s="4" t="s">
        <v>834</v>
      </c>
      <c r="AG1" s="4" t="s">
        <v>2806</v>
      </c>
      <c r="AH1" s="4" t="s">
        <v>2807</v>
      </c>
      <c r="AI1" s="4" t="s">
        <v>2808</v>
      </c>
      <c r="AJ1" s="3" t="s">
        <v>824</v>
      </c>
      <c r="AK1" s="3" t="s">
        <v>825</v>
      </c>
      <c r="AL1" s="5" t="s">
        <v>826</v>
      </c>
      <c r="AM1" s="6" t="s">
        <v>827</v>
      </c>
      <c r="AN1" s="5" t="s">
        <v>828</v>
      </c>
      <c r="AO1" s="7" t="s">
        <v>829</v>
      </c>
      <c r="AP1" s="3" t="s">
        <v>48</v>
      </c>
      <c r="AQ1" s="8" t="s">
        <v>830</v>
      </c>
      <c r="AR1" s="3" t="s">
        <v>831</v>
      </c>
      <c r="AS1" s="3" t="s">
        <v>832</v>
      </c>
      <c r="AT1" s="2" t="s">
        <v>833</v>
      </c>
      <c r="AU1" s="2" t="s">
        <v>834</v>
      </c>
      <c r="AV1" s="3" t="s">
        <v>835</v>
      </c>
      <c r="AW1" s="3" t="s">
        <v>836</v>
      </c>
      <c r="AX1" s="3" t="s">
        <v>837</v>
      </c>
      <c r="AY1" s="2" t="s">
        <v>838</v>
      </c>
      <c r="AZ1" s="2" t="s">
        <v>839</v>
      </c>
      <c r="BA1" s="2" t="s">
        <v>840</v>
      </c>
      <c r="BB1" s="2" t="s">
        <v>841</v>
      </c>
      <c r="BC1" s="2" t="s">
        <v>842</v>
      </c>
      <c r="BD1" s="2" t="s">
        <v>843</v>
      </c>
    </row>
    <row r="2" s="1" customFormat="1" ht="24" customHeight="1" spans="1:56">
      <c r="A2" s="15" t="str">
        <f>_xlfn.DISPIMG("ID_E0974D9A1FCC43279697EF5DA1D7B2F2",1)</f>
        <v>=DISPIMG("ID_E0974D9A1FCC43279697EF5DA1D7B2F2",1)</v>
      </c>
      <c r="B2" s="14" t="s">
        <v>70</v>
      </c>
      <c r="C2" s="14" t="s">
        <v>70</v>
      </c>
      <c r="D2" s="14" t="s">
        <v>65</v>
      </c>
      <c r="E2" s="14" t="s">
        <v>844</v>
      </c>
      <c r="F2" s="14" t="s">
        <v>845</v>
      </c>
      <c r="G2" s="14" t="s">
        <v>846</v>
      </c>
      <c r="H2" s="14" t="s">
        <v>847</v>
      </c>
      <c r="I2" s="14" t="s">
        <v>848</v>
      </c>
      <c r="J2" s="15" t="s">
        <v>849</v>
      </c>
      <c r="K2" s="14" t="s">
        <v>850</v>
      </c>
      <c r="L2" s="14" t="s">
        <v>851</v>
      </c>
      <c r="M2" s="879">
        <v>16</v>
      </c>
      <c r="N2" s="880" t="s">
        <v>852</v>
      </c>
      <c r="O2" s="881" t="s">
        <v>853</v>
      </c>
      <c r="P2" s="13" t="s">
        <v>2809</v>
      </c>
      <c r="Q2" s="882">
        <v>4</v>
      </c>
      <c r="R2" s="882" t="s">
        <v>2810</v>
      </c>
      <c r="S2" s="882">
        <f>Q2*0.946</f>
        <v>3.784</v>
      </c>
      <c r="T2" s="882" t="s">
        <v>2811</v>
      </c>
      <c r="U2" s="13" t="s">
        <v>64</v>
      </c>
      <c r="V2" s="13" t="s">
        <v>2812</v>
      </c>
      <c r="W2" s="13" t="s">
        <v>2813</v>
      </c>
      <c r="X2" s="13" t="s">
        <v>2814</v>
      </c>
      <c r="Y2" s="13" t="s">
        <v>2815</v>
      </c>
      <c r="Z2" s="883" t="s">
        <v>2816</v>
      </c>
      <c r="AA2" s="883" t="s">
        <v>2817</v>
      </c>
      <c r="AB2" s="883" t="s">
        <v>2816</v>
      </c>
      <c r="AC2" s="13" t="s">
        <v>2818</v>
      </c>
      <c r="AD2" s="13" t="s">
        <v>2819</v>
      </c>
      <c r="AE2" s="14" t="s">
        <v>2820</v>
      </c>
      <c r="AF2" s="14" t="s">
        <v>2821</v>
      </c>
      <c r="AG2" s="14" t="s">
        <v>2822</v>
      </c>
      <c r="AH2" s="14" t="s">
        <v>2823</v>
      </c>
      <c r="AI2" s="15">
        <v>1</v>
      </c>
      <c r="AJ2" s="879">
        <v>32023</v>
      </c>
      <c r="AK2" s="879">
        <v>2880468.8</v>
      </c>
      <c r="AL2" s="884">
        <v>89.95</v>
      </c>
      <c r="AM2" s="885">
        <v>0.6578</v>
      </c>
      <c r="AN2" s="884">
        <v>17.29</v>
      </c>
      <c r="AO2" s="886">
        <v>4.8</v>
      </c>
      <c r="AP2" s="879">
        <v>48820</v>
      </c>
      <c r="AQ2" s="887">
        <v>0.1977</v>
      </c>
      <c r="AR2" s="879">
        <v>6330</v>
      </c>
      <c r="AS2" s="888"/>
      <c r="AT2" s="15" t="s">
        <v>854</v>
      </c>
      <c r="AU2" s="15" t="s">
        <v>855</v>
      </c>
      <c r="AV2" s="889">
        <v>1687</v>
      </c>
      <c r="AW2" s="889">
        <v>1</v>
      </c>
      <c r="AX2" s="889">
        <v>12</v>
      </c>
      <c r="AY2" s="14"/>
      <c r="AZ2" s="15" t="s">
        <v>65</v>
      </c>
      <c r="BA2" s="14" t="s">
        <v>65</v>
      </c>
      <c r="BB2" s="15" t="s">
        <v>856</v>
      </c>
      <c r="BC2" s="890" t="s">
        <v>857</v>
      </c>
      <c r="BD2" s="890" t="s">
        <v>858</v>
      </c>
    </row>
    <row r="3" s="1" customFormat="1" ht="24" customHeight="1" spans="1:56">
      <c r="A3" s="15" t="str">
        <f>_xlfn.DISPIMG("ID_71FF25F32A744E84959B0B003BC2C8C1",1)</f>
        <v>=DISPIMG("ID_71FF25F32A744E84959B0B003BC2C8C1",1)</v>
      </c>
      <c r="B3" s="14" t="s">
        <v>366</v>
      </c>
      <c r="C3" s="14" t="s">
        <v>366</v>
      </c>
      <c r="D3" s="14" t="s">
        <v>65</v>
      </c>
      <c r="E3" s="14" t="s">
        <v>859</v>
      </c>
      <c r="F3" s="14" t="s">
        <v>860</v>
      </c>
      <c r="G3" s="14" t="s">
        <v>861</v>
      </c>
      <c r="H3" s="14" t="s">
        <v>862</v>
      </c>
      <c r="I3" s="14" t="s">
        <v>863</v>
      </c>
      <c r="J3" s="15" t="s">
        <v>864</v>
      </c>
      <c r="K3" s="14" t="s">
        <v>850</v>
      </c>
      <c r="L3" s="14" t="s">
        <v>851</v>
      </c>
      <c r="M3" s="879">
        <v>131</v>
      </c>
      <c r="N3" s="880" t="s">
        <v>852</v>
      </c>
      <c r="O3" s="881" t="s">
        <v>865</v>
      </c>
      <c r="P3" s="13" t="s">
        <v>2824</v>
      </c>
      <c r="Q3" s="882">
        <v>5</v>
      </c>
      <c r="R3" s="882" t="s">
        <v>2825</v>
      </c>
      <c r="S3" s="882">
        <f>Q3*0.946</f>
        <v>4.73</v>
      </c>
      <c r="T3" s="882" t="s">
        <v>2826</v>
      </c>
      <c r="U3" s="13" t="s">
        <v>64</v>
      </c>
      <c r="V3" s="13" t="s">
        <v>2812</v>
      </c>
      <c r="W3" s="13" t="s">
        <v>2827</v>
      </c>
      <c r="X3" s="13" t="s">
        <v>2828</v>
      </c>
      <c r="Y3" s="13" t="s">
        <v>2829</v>
      </c>
      <c r="Z3" s="883" t="s">
        <v>2816</v>
      </c>
      <c r="AA3" s="883" t="s">
        <v>2817</v>
      </c>
      <c r="AB3" s="883" t="s">
        <v>2816</v>
      </c>
      <c r="AC3" s="13" t="s">
        <v>2818</v>
      </c>
      <c r="AD3" s="13" t="s">
        <v>2819</v>
      </c>
      <c r="AE3" s="14" t="s">
        <v>2830</v>
      </c>
      <c r="AF3" s="14" t="s">
        <v>2831</v>
      </c>
      <c r="AG3" s="14" t="s">
        <v>2822</v>
      </c>
      <c r="AH3" s="14" t="s">
        <v>2823</v>
      </c>
      <c r="AI3" s="15">
        <v>1</v>
      </c>
      <c r="AJ3" s="879">
        <v>23043</v>
      </c>
      <c r="AK3" s="879">
        <v>1842979.2</v>
      </c>
      <c r="AL3" s="884">
        <v>99.99</v>
      </c>
      <c r="AM3" s="885">
        <v>0.6128</v>
      </c>
      <c r="AN3" s="884">
        <v>18.97</v>
      </c>
      <c r="AO3" s="886">
        <v>4.7</v>
      </c>
      <c r="AP3" s="879">
        <v>15150</v>
      </c>
      <c r="AQ3" s="887">
        <v>0</v>
      </c>
      <c r="AR3" s="879">
        <v>0</v>
      </c>
      <c r="AS3" s="888"/>
      <c r="AT3" s="15" t="s">
        <v>854</v>
      </c>
      <c r="AU3" s="15" t="s">
        <v>866</v>
      </c>
      <c r="AV3" s="889">
        <v>582</v>
      </c>
      <c r="AW3" s="889">
        <v>1</v>
      </c>
      <c r="AX3" s="889">
        <v>1</v>
      </c>
      <c r="AY3" s="14" t="s">
        <v>867</v>
      </c>
      <c r="AZ3" s="15" t="s">
        <v>65</v>
      </c>
      <c r="BA3" s="14" t="s">
        <v>65</v>
      </c>
      <c r="BB3" s="15" t="s">
        <v>856</v>
      </c>
      <c r="BC3" s="890" t="s">
        <v>868</v>
      </c>
      <c r="BD3" s="890" t="s">
        <v>869</v>
      </c>
    </row>
    <row r="4" s="1" customFormat="1" ht="24" customHeight="1" spans="1:56">
      <c r="A4" s="15" t="str">
        <f>_xlfn.DISPIMG("ID_4C62F3F8ADD24D7582300B8B29ADAAD1",1)</f>
        <v>=DISPIMG("ID_4C62F3F8ADD24D7582300B8B29ADAAD1",1)</v>
      </c>
      <c r="B4" s="14" t="s">
        <v>129</v>
      </c>
      <c r="C4" s="14" t="s">
        <v>129</v>
      </c>
      <c r="D4" s="14" t="s">
        <v>65</v>
      </c>
      <c r="E4" s="14" t="s">
        <v>870</v>
      </c>
      <c r="F4" s="14" t="s">
        <v>871</v>
      </c>
      <c r="G4" s="14" t="s">
        <v>872</v>
      </c>
      <c r="H4" s="14" t="s">
        <v>873</v>
      </c>
      <c r="I4" s="14" t="s">
        <v>874</v>
      </c>
      <c r="J4" s="15" t="s">
        <v>864</v>
      </c>
      <c r="K4" s="14" t="s">
        <v>850</v>
      </c>
      <c r="L4" s="14" t="s">
        <v>851</v>
      </c>
      <c r="M4" s="879">
        <v>192</v>
      </c>
      <c r="N4" s="880" t="s">
        <v>852</v>
      </c>
      <c r="O4" s="881" t="s">
        <v>875</v>
      </c>
      <c r="P4" s="13" t="s">
        <v>2832</v>
      </c>
      <c r="Q4" s="882">
        <v>10</v>
      </c>
      <c r="R4" s="882" t="s">
        <v>2833</v>
      </c>
      <c r="S4" s="882">
        <f t="shared" ref="S3:S34" si="0">Q4*0.946</f>
        <v>9.46</v>
      </c>
      <c r="T4" s="882" t="s">
        <v>2834</v>
      </c>
      <c r="U4" s="13" t="s">
        <v>2835</v>
      </c>
      <c r="V4" s="13" t="s">
        <v>2836</v>
      </c>
      <c r="W4" s="13" t="s">
        <v>2837</v>
      </c>
      <c r="X4" s="13" t="s">
        <v>2838</v>
      </c>
      <c r="Y4" s="13" t="s">
        <v>2815</v>
      </c>
      <c r="Z4" s="883" t="s">
        <v>2817</v>
      </c>
      <c r="AA4" s="883" t="s">
        <v>2817</v>
      </c>
      <c r="AB4" s="883" t="s">
        <v>2816</v>
      </c>
      <c r="AC4" s="13" t="s">
        <v>2818</v>
      </c>
      <c r="AD4" s="13" t="s">
        <v>2839</v>
      </c>
      <c r="AE4" s="14" t="s">
        <v>2840</v>
      </c>
      <c r="AF4" s="14" t="s">
        <v>2821</v>
      </c>
      <c r="AG4" s="14" t="s">
        <v>2822</v>
      </c>
      <c r="AH4" s="14" t="s">
        <v>2823</v>
      </c>
      <c r="AI4" s="15">
        <v>1</v>
      </c>
      <c r="AJ4" s="879">
        <v>11952</v>
      </c>
      <c r="AK4" s="879">
        <v>1314122.4</v>
      </c>
      <c r="AL4" s="884">
        <v>109.95</v>
      </c>
      <c r="AM4" s="885">
        <v>0.6431</v>
      </c>
      <c r="AN4" s="884">
        <v>22.75</v>
      </c>
      <c r="AO4" s="886">
        <v>4.6</v>
      </c>
      <c r="AP4" s="879">
        <v>59811</v>
      </c>
      <c r="AQ4" s="887">
        <v>0.0664</v>
      </c>
      <c r="AR4" s="879">
        <v>794</v>
      </c>
      <c r="AS4" s="888"/>
      <c r="AT4" s="15" t="s">
        <v>876</v>
      </c>
      <c r="AU4" s="15" t="s">
        <v>877</v>
      </c>
      <c r="AV4" s="889">
        <v>1315</v>
      </c>
      <c r="AW4" s="889">
        <v>1</v>
      </c>
      <c r="AX4" s="889">
        <v>1</v>
      </c>
      <c r="AY4" s="14" t="s">
        <v>867</v>
      </c>
      <c r="AZ4" s="15" t="s">
        <v>65</v>
      </c>
      <c r="BA4" s="14" t="s">
        <v>65</v>
      </c>
      <c r="BB4" s="15" t="s">
        <v>856</v>
      </c>
      <c r="BC4" s="890" t="s">
        <v>878</v>
      </c>
      <c r="BD4" s="890" t="s">
        <v>879</v>
      </c>
    </row>
    <row r="5" s="1" customFormat="1" ht="24" customHeight="1" spans="1:56">
      <c r="A5" s="15" t="str">
        <f>_xlfn.DISPIMG("ID_27679D12F3624D4794A370A5AAD2B62A",1)</f>
        <v>=DISPIMG("ID_27679D12F3624D4794A370A5AAD2B62A",1)</v>
      </c>
      <c r="B5" s="14" t="s">
        <v>312</v>
      </c>
      <c r="C5" s="14" t="s">
        <v>312</v>
      </c>
      <c r="D5" s="14" t="s">
        <v>65</v>
      </c>
      <c r="E5" s="14" t="s">
        <v>880</v>
      </c>
      <c r="F5" s="14" t="s">
        <v>881</v>
      </c>
      <c r="G5" s="14" t="s">
        <v>872</v>
      </c>
      <c r="H5" s="14" t="s">
        <v>882</v>
      </c>
      <c r="I5" s="14" t="s">
        <v>883</v>
      </c>
      <c r="J5" s="15" t="s">
        <v>864</v>
      </c>
      <c r="K5" s="14" t="s">
        <v>850</v>
      </c>
      <c r="L5" s="14" t="s">
        <v>851</v>
      </c>
      <c r="M5" s="879">
        <v>176</v>
      </c>
      <c r="N5" s="880" t="s">
        <v>884</v>
      </c>
      <c r="O5" s="881" t="s">
        <v>885</v>
      </c>
      <c r="P5" s="13" t="s">
        <v>2809</v>
      </c>
      <c r="Q5" s="882">
        <v>6</v>
      </c>
      <c r="R5" s="882" t="s">
        <v>2841</v>
      </c>
      <c r="S5" s="882">
        <f t="shared" si="0"/>
        <v>5.676</v>
      </c>
      <c r="T5" s="882" t="s">
        <v>2842</v>
      </c>
      <c r="U5" s="13" t="s">
        <v>64</v>
      </c>
      <c r="V5" s="13" t="s">
        <v>2812</v>
      </c>
      <c r="W5" s="13" t="s">
        <v>2843</v>
      </c>
      <c r="X5" s="13" t="s">
        <v>2844</v>
      </c>
      <c r="Y5" s="13" t="s">
        <v>2829</v>
      </c>
      <c r="Z5" s="883" t="s">
        <v>2816</v>
      </c>
      <c r="AA5" s="883" t="s">
        <v>2817</v>
      </c>
      <c r="AB5" s="883" t="s">
        <v>2816</v>
      </c>
      <c r="AC5" s="13" t="s">
        <v>2845</v>
      </c>
      <c r="AD5" s="13" t="s">
        <v>2846</v>
      </c>
      <c r="AE5" s="14" t="s">
        <v>2840</v>
      </c>
      <c r="AF5" s="14" t="s">
        <v>2831</v>
      </c>
      <c r="AG5" s="14" t="s">
        <v>2822</v>
      </c>
      <c r="AH5" s="14" t="s">
        <v>2823</v>
      </c>
      <c r="AI5" s="15">
        <v>1</v>
      </c>
      <c r="AJ5" s="879">
        <v>9323</v>
      </c>
      <c r="AK5" s="879">
        <v>1025063.8</v>
      </c>
      <c r="AL5" s="884">
        <v>109.95</v>
      </c>
      <c r="AM5" s="885">
        <v>0.6698</v>
      </c>
      <c r="AN5" s="884">
        <v>19.81</v>
      </c>
      <c r="AO5" s="886">
        <v>4.7</v>
      </c>
      <c r="AP5" s="879">
        <v>13752</v>
      </c>
      <c r="AQ5" s="887">
        <v>0.0452</v>
      </c>
      <c r="AR5" s="879">
        <v>421</v>
      </c>
      <c r="AS5" s="888"/>
      <c r="AT5" s="15" t="s">
        <v>876</v>
      </c>
      <c r="AU5" s="15" t="s">
        <v>886</v>
      </c>
      <c r="AV5" s="889">
        <v>661</v>
      </c>
      <c r="AW5" s="889">
        <v>1</v>
      </c>
      <c r="AX5" s="889">
        <v>5</v>
      </c>
      <c r="AY5" s="14" t="s">
        <v>867</v>
      </c>
      <c r="AZ5" s="15" t="s">
        <v>65</v>
      </c>
      <c r="BA5" s="14" t="s">
        <v>65</v>
      </c>
      <c r="BB5" s="15" t="s">
        <v>856</v>
      </c>
      <c r="BC5" s="890" t="s">
        <v>887</v>
      </c>
      <c r="BD5" s="890" t="s">
        <v>888</v>
      </c>
    </row>
    <row r="6" s="1" customFormat="1" ht="24" customHeight="1" spans="1:56">
      <c r="A6" s="15" t="str">
        <f>_xlfn.DISPIMG("ID_C156E7C83B994759A5327CB523DCF8AC",1)</f>
        <v>=DISPIMG("ID_C156E7C83B994759A5327CB523DCF8AC",1)</v>
      </c>
      <c r="B6" s="14" t="s">
        <v>72</v>
      </c>
      <c r="C6" s="14" t="s">
        <v>72</v>
      </c>
      <c r="D6" s="14" t="s">
        <v>65</v>
      </c>
      <c r="E6" s="14" t="s">
        <v>889</v>
      </c>
      <c r="F6" s="14" t="s">
        <v>890</v>
      </c>
      <c r="G6" s="14" t="s">
        <v>861</v>
      </c>
      <c r="H6" s="14" t="s">
        <v>891</v>
      </c>
      <c r="I6" s="14" t="s">
        <v>892</v>
      </c>
      <c r="J6" s="15" t="s">
        <v>893</v>
      </c>
      <c r="K6" s="14" t="s">
        <v>894</v>
      </c>
      <c r="L6" s="14" t="s">
        <v>851</v>
      </c>
      <c r="M6" s="879">
        <v>193</v>
      </c>
      <c r="N6" s="880" t="s">
        <v>895</v>
      </c>
      <c r="O6" s="881" t="s">
        <v>896</v>
      </c>
      <c r="P6" s="13" t="s">
        <v>2809</v>
      </c>
      <c r="Q6" s="882">
        <v>5.8</v>
      </c>
      <c r="R6" s="882" t="s">
        <v>2847</v>
      </c>
      <c r="S6" s="882">
        <f t="shared" si="0"/>
        <v>5.4868</v>
      </c>
      <c r="T6" s="882" t="s">
        <v>2848</v>
      </c>
      <c r="U6" s="13" t="s">
        <v>64</v>
      </c>
      <c r="V6" s="13" t="s">
        <v>2812</v>
      </c>
      <c r="W6" s="13" t="s">
        <v>2849</v>
      </c>
      <c r="X6" s="13" t="s">
        <v>2844</v>
      </c>
      <c r="Y6" s="13" t="s">
        <v>2815</v>
      </c>
      <c r="Z6" s="883" t="s">
        <v>2817</v>
      </c>
      <c r="AA6" s="883" t="s">
        <v>2817</v>
      </c>
      <c r="AB6" s="883" t="s">
        <v>2816</v>
      </c>
      <c r="AC6" s="13" t="s">
        <v>2818</v>
      </c>
      <c r="AD6" s="13" t="s">
        <v>2850</v>
      </c>
      <c r="AE6" s="14" t="s">
        <v>2840</v>
      </c>
      <c r="AF6" s="14" t="s">
        <v>2851</v>
      </c>
      <c r="AG6" s="14" t="s">
        <v>2822</v>
      </c>
      <c r="AH6" s="14" t="s">
        <v>2823</v>
      </c>
      <c r="AI6" s="15">
        <v>1</v>
      </c>
      <c r="AJ6" s="879">
        <v>20869</v>
      </c>
      <c r="AK6" s="879">
        <v>2294964</v>
      </c>
      <c r="AL6" s="884">
        <v>109.97</v>
      </c>
      <c r="AM6" s="885">
        <v>0.666</v>
      </c>
      <c r="AN6" s="884">
        <v>20.23</v>
      </c>
      <c r="AO6" s="886">
        <v>4.7</v>
      </c>
      <c r="AP6" s="879">
        <v>12358</v>
      </c>
      <c r="AQ6" s="887">
        <v>0</v>
      </c>
      <c r="AR6" s="879">
        <v>0</v>
      </c>
      <c r="AS6" s="888"/>
      <c r="AT6" s="15" t="s">
        <v>854</v>
      </c>
      <c r="AU6" s="15" t="s">
        <v>897</v>
      </c>
      <c r="AV6" s="889">
        <v>1035</v>
      </c>
      <c r="AW6" s="889">
        <v>1</v>
      </c>
      <c r="AX6" s="889">
        <v>3</v>
      </c>
      <c r="AY6" s="14" t="s">
        <v>867</v>
      </c>
      <c r="AZ6" s="15" t="s">
        <v>65</v>
      </c>
      <c r="BA6" s="14" t="s">
        <v>65</v>
      </c>
      <c r="BB6" s="15" t="s">
        <v>856</v>
      </c>
      <c r="BC6" s="890" t="s">
        <v>898</v>
      </c>
      <c r="BD6" s="890" t="s">
        <v>899</v>
      </c>
    </row>
    <row r="7" s="1" customFormat="1" ht="24" customHeight="1" spans="1:56">
      <c r="A7" s="15" t="str">
        <f>_xlfn.DISPIMG("ID_8F917ED4503546348C30EDAA7D45FADF",1)</f>
        <v>=DISPIMG("ID_8F917ED4503546348C30EDAA7D45FADF",1)</v>
      </c>
      <c r="B7" s="14" t="s">
        <v>200</v>
      </c>
      <c r="C7" s="14" t="s">
        <v>200</v>
      </c>
      <c r="D7" s="14" t="s">
        <v>65</v>
      </c>
      <c r="E7" s="14" t="s">
        <v>900</v>
      </c>
      <c r="F7" s="14" t="s">
        <v>901</v>
      </c>
      <c r="G7" s="14" t="s">
        <v>872</v>
      </c>
      <c r="H7" s="14" t="s">
        <v>902</v>
      </c>
      <c r="I7" s="14" t="s">
        <v>903</v>
      </c>
      <c r="J7" s="15" t="s">
        <v>893</v>
      </c>
      <c r="K7" s="14" t="s">
        <v>850</v>
      </c>
      <c r="L7" s="14" t="s">
        <v>851</v>
      </c>
      <c r="M7" s="879">
        <v>277</v>
      </c>
      <c r="N7" s="880" t="s">
        <v>904</v>
      </c>
      <c r="O7" s="881" t="s">
        <v>905</v>
      </c>
      <c r="P7" s="13" t="s">
        <v>2852</v>
      </c>
      <c r="Q7" s="882">
        <v>4</v>
      </c>
      <c r="R7" s="882" t="s">
        <v>2810</v>
      </c>
      <c r="S7" s="882">
        <f t="shared" si="0"/>
        <v>3.784</v>
      </c>
      <c r="T7" s="882" t="s">
        <v>2811</v>
      </c>
      <c r="U7" s="13" t="s">
        <v>64</v>
      </c>
      <c r="V7" s="13" t="s">
        <v>2812</v>
      </c>
      <c r="W7" s="13" t="s">
        <v>2843</v>
      </c>
      <c r="X7" s="13" t="s">
        <v>2853</v>
      </c>
      <c r="Y7" s="13" t="s">
        <v>2815</v>
      </c>
      <c r="Z7" s="883" t="s">
        <v>2816</v>
      </c>
      <c r="AA7" s="883" t="s">
        <v>2817</v>
      </c>
      <c r="AB7" s="891" t="s">
        <v>2817</v>
      </c>
      <c r="AC7" s="13" t="s">
        <v>2854</v>
      </c>
      <c r="AD7" s="13" t="s">
        <v>2850</v>
      </c>
      <c r="AE7" s="14" t="s">
        <v>2820</v>
      </c>
      <c r="AF7" s="14" t="s">
        <v>2851</v>
      </c>
      <c r="AG7" s="14" t="s">
        <v>2822</v>
      </c>
      <c r="AH7" s="14" t="s">
        <v>2823</v>
      </c>
      <c r="AI7" s="15">
        <v>1</v>
      </c>
      <c r="AJ7" s="879">
        <v>21741</v>
      </c>
      <c r="AK7" s="879">
        <v>1956472.5</v>
      </c>
      <c r="AL7" s="884">
        <v>89.99</v>
      </c>
      <c r="AM7" s="885">
        <v>0.6672</v>
      </c>
      <c r="AN7" s="884">
        <v>16.45</v>
      </c>
      <c r="AO7" s="886">
        <v>4.7</v>
      </c>
      <c r="AP7" s="879">
        <v>18755</v>
      </c>
      <c r="AQ7" s="887">
        <v>0.0319</v>
      </c>
      <c r="AR7" s="879">
        <v>693</v>
      </c>
      <c r="AS7" s="888"/>
      <c r="AT7" s="15" t="s">
        <v>876</v>
      </c>
      <c r="AU7" s="15" t="s">
        <v>906</v>
      </c>
      <c r="AV7" s="889">
        <v>988</v>
      </c>
      <c r="AW7" s="889">
        <v>1</v>
      </c>
      <c r="AX7" s="889">
        <v>4</v>
      </c>
      <c r="AY7" s="14" t="s">
        <v>867</v>
      </c>
      <c r="AZ7" s="15" t="s">
        <v>65</v>
      </c>
      <c r="BA7" s="14" t="s">
        <v>65</v>
      </c>
      <c r="BB7" s="15" t="s">
        <v>856</v>
      </c>
      <c r="BC7" s="890" t="s">
        <v>907</v>
      </c>
      <c r="BD7" s="890" t="s">
        <v>908</v>
      </c>
    </row>
    <row r="8" s="1" customFormat="1" ht="24" customHeight="1" spans="1:56">
      <c r="A8" s="15" t="str">
        <f>_xlfn.DISPIMG("ID_6893492369324F0F99BB94004415008C",1)</f>
        <v>=DISPIMG("ID_6893492369324F0F99BB94004415008C",1)</v>
      </c>
      <c r="B8" s="14" t="s">
        <v>772</v>
      </c>
      <c r="C8" s="14" t="s">
        <v>772</v>
      </c>
      <c r="D8" s="14" t="s">
        <v>65</v>
      </c>
      <c r="E8" s="14" t="s">
        <v>909</v>
      </c>
      <c r="F8" s="14" t="s">
        <v>910</v>
      </c>
      <c r="G8" s="14" t="s">
        <v>846</v>
      </c>
      <c r="H8" s="14" t="s">
        <v>911</v>
      </c>
      <c r="I8" s="14" t="s">
        <v>912</v>
      </c>
      <c r="J8" s="15" t="s">
        <v>864</v>
      </c>
      <c r="K8" s="14" t="s">
        <v>850</v>
      </c>
      <c r="L8" s="14" t="s">
        <v>851</v>
      </c>
      <c r="M8" s="879">
        <v>320</v>
      </c>
      <c r="N8" s="880" t="s">
        <v>852</v>
      </c>
      <c r="O8" s="881" t="s">
        <v>913</v>
      </c>
      <c r="P8" s="13" t="s">
        <v>2809</v>
      </c>
      <c r="Q8" s="882">
        <v>10</v>
      </c>
      <c r="R8" s="882" t="s">
        <v>2833</v>
      </c>
      <c r="S8" s="882">
        <f t="shared" si="0"/>
        <v>9.46</v>
      </c>
      <c r="T8" s="882" t="s">
        <v>2834</v>
      </c>
      <c r="U8" s="13" t="s">
        <v>64</v>
      </c>
      <c r="V8" s="13" t="s">
        <v>2855</v>
      </c>
      <c r="W8" s="13" t="s">
        <v>2843</v>
      </c>
      <c r="X8" s="13" t="s">
        <v>2856</v>
      </c>
      <c r="Y8" s="13" t="s">
        <v>2829</v>
      </c>
      <c r="Z8" s="883" t="s">
        <v>2816</v>
      </c>
      <c r="AA8" s="883" t="s">
        <v>2817</v>
      </c>
      <c r="AB8" s="883" t="s">
        <v>2816</v>
      </c>
      <c r="AC8" s="13" t="s">
        <v>2845</v>
      </c>
      <c r="AD8" s="13" t="s">
        <v>2850</v>
      </c>
      <c r="AE8" s="14" t="s">
        <v>2857</v>
      </c>
      <c r="AF8" s="14" t="s">
        <v>2831</v>
      </c>
      <c r="AG8" s="14" t="s">
        <v>2822</v>
      </c>
      <c r="AH8" s="14" t="s">
        <v>2823</v>
      </c>
      <c r="AI8" s="15">
        <v>1</v>
      </c>
      <c r="AJ8" s="879">
        <v>11474</v>
      </c>
      <c r="AK8" s="879">
        <v>2294685.2</v>
      </c>
      <c r="AL8" s="884">
        <v>225</v>
      </c>
      <c r="AM8" s="885">
        <v>0.7194</v>
      </c>
      <c r="AN8" s="884">
        <v>26.11</v>
      </c>
      <c r="AO8" s="886">
        <v>4.8</v>
      </c>
      <c r="AP8" s="879">
        <v>5424</v>
      </c>
      <c r="AQ8" s="887">
        <v>0.0295</v>
      </c>
      <c r="AR8" s="879">
        <v>338</v>
      </c>
      <c r="AS8" s="888"/>
      <c r="AT8" s="15" t="s">
        <v>854</v>
      </c>
      <c r="AU8" s="15" t="s">
        <v>914</v>
      </c>
      <c r="AV8" s="889">
        <v>605</v>
      </c>
      <c r="AW8" s="889">
        <v>1</v>
      </c>
      <c r="AX8" s="889">
        <v>12</v>
      </c>
      <c r="AY8" s="14" t="s">
        <v>867</v>
      </c>
      <c r="AZ8" s="15" t="s">
        <v>65</v>
      </c>
      <c r="BA8" s="14" t="s">
        <v>65</v>
      </c>
      <c r="BB8" s="15" t="s">
        <v>856</v>
      </c>
      <c r="BC8" s="890" t="s">
        <v>915</v>
      </c>
      <c r="BD8" s="890" t="s">
        <v>916</v>
      </c>
    </row>
    <row r="9" s="1" customFormat="1" ht="24" customHeight="1" spans="1:56">
      <c r="A9" s="15" t="str">
        <f>_xlfn.DISPIMG("ID_A4F2CA3BA9DE447E882F7F047A09CE2C",1)</f>
        <v>=DISPIMG("ID_A4F2CA3BA9DE447E882F7F047A09CE2C",1)</v>
      </c>
      <c r="B9" s="14" t="s">
        <v>738</v>
      </c>
      <c r="C9" s="14" t="s">
        <v>738</v>
      </c>
      <c r="D9" s="14" t="s">
        <v>65</v>
      </c>
      <c r="E9" s="14" t="s">
        <v>929</v>
      </c>
      <c r="F9" s="14" t="s">
        <v>930</v>
      </c>
      <c r="G9" s="14" t="s">
        <v>931</v>
      </c>
      <c r="H9" s="14" t="s">
        <v>932</v>
      </c>
      <c r="I9" s="14" t="s">
        <v>2858</v>
      </c>
      <c r="J9" s="15" t="s">
        <v>934</v>
      </c>
      <c r="K9" s="14" t="s">
        <v>850</v>
      </c>
      <c r="L9" s="14" t="s">
        <v>851</v>
      </c>
      <c r="M9" s="879">
        <v>494</v>
      </c>
      <c r="N9" s="880" t="s">
        <v>852</v>
      </c>
      <c r="O9" s="881" t="s">
        <v>935</v>
      </c>
      <c r="P9" s="13" t="s">
        <v>2809</v>
      </c>
      <c r="Q9" s="882">
        <v>2.6</v>
      </c>
      <c r="R9" s="882" t="s">
        <v>2859</v>
      </c>
      <c r="S9" s="882">
        <f t="shared" si="0"/>
        <v>2.4596</v>
      </c>
      <c r="T9" s="882" t="s">
        <v>2860</v>
      </c>
      <c r="U9" s="13" t="s">
        <v>64</v>
      </c>
      <c r="V9" s="13" t="s">
        <v>2812</v>
      </c>
      <c r="W9" s="13" t="s">
        <v>2861</v>
      </c>
      <c r="X9" s="13" t="s">
        <v>2862</v>
      </c>
      <c r="Y9" s="13" t="s">
        <v>2815</v>
      </c>
      <c r="Z9" s="883" t="s">
        <v>2816</v>
      </c>
      <c r="AA9" s="883" t="s">
        <v>2816</v>
      </c>
      <c r="AB9" s="883" t="s">
        <v>2816</v>
      </c>
      <c r="AC9" s="13" t="s">
        <v>2863</v>
      </c>
      <c r="AD9" s="13" t="s">
        <v>2819</v>
      </c>
      <c r="AE9" s="14" t="s">
        <v>2864</v>
      </c>
      <c r="AF9" s="14" t="s">
        <v>2821</v>
      </c>
      <c r="AG9" s="14" t="s">
        <v>2865</v>
      </c>
      <c r="AH9" s="14" t="s">
        <v>2823</v>
      </c>
      <c r="AI9" s="15">
        <v>1</v>
      </c>
      <c r="AJ9" s="879">
        <v>5301</v>
      </c>
      <c r="AK9" s="879">
        <v>211987</v>
      </c>
      <c r="AL9" s="884">
        <v>39.99</v>
      </c>
      <c r="AM9" s="885">
        <v>0.5017</v>
      </c>
      <c r="AN9" s="884">
        <v>13.93</v>
      </c>
      <c r="AO9" s="886">
        <v>4.5</v>
      </c>
      <c r="AP9" s="879">
        <v>29723</v>
      </c>
      <c r="AQ9" s="887">
        <v>0.0681</v>
      </c>
      <c r="AR9" s="879">
        <v>361</v>
      </c>
      <c r="AS9" s="888"/>
      <c r="AT9" s="15" t="s">
        <v>876</v>
      </c>
      <c r="AU9" s="15" t="s">
        <v>936</v>
      </c>
      <c r="AV9" s="889">
        <v>1236</v>
      </c>
      <c r="AW9" s="889">
        <v>1</v>
      </c>
      <c r="AX9" s="889">
        <v>2</v>
      </c>
      <c r="AY9" s="14" t="s">
        <v>867</v>
      </c>
      <c r="AZ9" s="15" t="s">
        <v>65</v>
      </c>
      <c r="BA9" s="14" t="s">
        <v>65</v>
      </c>
      <c r="BB9" s="15" t="s">
        <v>856</v>
      </c>
      <c r="BC9" s="890" t="s">
        <v>937</v>
      </c>
      <c r="BD9" s="890" t="s">
        <v>938</v>
      </c>
    </row>
    <row r="10" s="1" customFormat="1" ht="24" customHeight="1" spans="1:56">
      <c r="A10" s="15" t="str">
        <f>_xlfn.DISPIMG("ID_57D3D300B19F47BF96510083017D4F61",1)</f>
        <v>=DISPIMG("ID_57D3D300B19F47BF96510083017D4F61",1)</v>
      </c>
      <c r="B10" s="14" t="s">
        <v>951</v>
      </c>
      <c r="C10" s="14" t="s">
        <v>951</v>
      </c>
      <c r="D10" s="14" t="s">
        <v>65</v>
      </c>
      <c r="E10" s="14" t="s">
        <v>952</v>
      </c>
      <c r="F10" s="14" t="s">
        <v>953</v>
      </c>
      <c r="G10" s="14" t="s">
        <v>954</v>
      </c>
      <c r="H10" s="14" t="s">
        <v>955</v>
      </c>
      <c r="I10" s="14" t="s">
        <v>956</v>
      </c>
      <c r="J10" s="15" t="s">
        <v>934</v>
      </c>
      <c r="K10" s="14" t="s">
        <v>850</v>
      </c>
      <c r="L10" s="14" t="s">
        <v>851</v>
      </c>
      <c r="M10" s="879">
        <v>603</v>
      </c>
      <c r="N10" s="880" t="s">
        <v>852</v>
      </c>
      <c r="O10" s="881" t="s">
        <v>957</v>
      </c>
      <c r="P10" s="13" t="s">
        <v>2809</v>
      </c>
      <c r="Q10" s="882">
        <v>6</v>
      </c>
      <c r="R10" s="882" t="s">
        <v>2841</v>
      </c>
      <c r="S10" s="882">
        <f t="shared" si="0"/>
        <v>5.676</v>
      </c>
      <c r="T10" s="882" t="s">
        <v>2842</v>
      </c>
      <c r="U10" s="13" t="s">
        <v>64</v>
      </c>
      <c r="V10" s="13" t="s">
        <v>2812</v>
      </c>
      <c r="W10" s="13" t="s">
        <v>2849</v>
      </c>
      <c r="X10" s="13" t="s">
        <v>2828</v>
      </c>
      <c r="Y10" s="13" t="s">
        <v>2815</v>
      </c>
      <c r="Z10" s="883" t="s">
        <v>2816</v>
      </c>
      <c r="AA10" s="883" t="s">
        <v>2817</v>
      </c>
      <c r="AB10" s="883" t="s">
        <v>2816</v>
      </c>
      <c r="AC10" s="13" t="s">
        <v>2818</v>
      </c>
      <c r="AD10" s="13" t="s">
        <v>2819</v>
      </c>
      <c r="AE10" s="14" t="s">
        <v>2866</v>
      </c>
      <c r="AF10" s="14" t="s">
        <v>2867</v>
      </c>
      <c r="AG10" s="14" t="s">
        <v>2822</v>
      </c>
      <c r="AH10" s="14" t="s">
        <v>2868</v>
      </c>
      <c r="AI10" s="15">
        <v>1</v>
      </c>
      <c r="AJ10" s="879">
        <v>8734</v>
      </c>
      <c r="AK10" s="879">
        <v>521681.8</v>
      </c>
      <c r="AL10" s="884">
        <v>59.77</v>
      </c>
      <c r="AM10" s="885">
        <v>0.5535</v>
      </c>
      <c r="AN10" s="884">
        <v>17.71</v>
      </c>
      <c r="AO10" s="886">
        <v>4.6</v>
      </c>
      <c r="AP10" s="879">
        <v>875</v>
      </c>
      <c r="AQ10" s="887">
        <v>0.0071</v>
      </c>
      <c r="AR10" s="879">
        <v>62</v>
      </c>
      <c r="AS10" s="888"/>
      <c r="AT10" s="15" t="s">
        <v>854</v>
      </c>
      <c r="AU10" s="15" t="s">
        <v>958</v>
      </c>
      <c r="AV10" s="889">
        <v>483</v>
      </c>
      <c r="AW10" s="889">
        <v>1</v>
      </c>
      <c r="AX10" s="889">
        <v>7</v>
      </c>
      <c r="AY10" s="14" t="s">
        <v>867</v>
      </c>
      <c r="AZ10" s="15" t="s">
        <v>65</v>
      </c>
      <c r="BA10" s="14" t="s">
        <v>65</v>
      </c>
      <c r="BB10" s="15" t="s">
        <v>856</v>
      </c>
      <c r="BC10" s="890" t="s">
        <v>959</v>
      </c>
      <c r="BD10" s="890" t="s">
        <v>960</v>
      </c>
    </row>
    <row r="11" s="1" customFormat="1" ht="24" customHeight="1" spans="1:56">
      <c r="A11" s="15" t="str">
        <f>_xlfn.DISPIMG("ID_F3B5588D37C54F9EBCEAA5C85D490498",1)</f>
        <v>=DISPIMG("ID_F3B5588D37C54F9EBCEAA5C85D490498",1)</v>
      </c>
      <c r="B11" s="14" t="s">
        <v>304</v>
      </c>
      <c r="C11" s="14" t="s">
        <v>304</v>
      </c>
      <c r="D11" s="14" t="s">
        <v>65</v>
      </c>
      <c r="E11" s="14" t="s">
        <v>961</v>
      </c>
      <c r="F11" s="14" t="s">
        <v>962</v>
      </c>
      <c r="G11" s="14" t="s">
        <v>846</v>
      </c>
      <c r="H11" s="14" t="s">
        <v>963</v>
      </c>
      <c r="I11" s="14" t="s">
        <v>964</v>
      </c>
      <c r="J11" s="15" t="s">
        <v>864</v>
      </c>
      <c r="K11" s="14" t="s">
        <v>850</v>
      </c>
      <c r="L11" s="14" t="s">
        <v>851</v>
      </c>
      <c r="M11" s="879">
        <v>958</v>
      </c>
      <c r="N11" s="880" t="s">
        <v>852</v>
      </c>
      <c r="O11" s="881" t="s">
        <v>965</v>
      </c>
      <c r="P11" s="13" t="s">
        <v>2809</v>
      </c>
      <c r="Q11" s="882">
        <v>8</v>
      </c>
      <c r="R11" s="882" t="s">
        <v>2869</v>
      </c>
      <c r="S11" s="882">
        <f t="shared" si="0"/>
        <v>7.568</v>
      </c>
      <c r="T11" s="882" t="s">
        <v>2870</v>
      </c>
      <c r="U11" s="13" t="s">
        <v>64</v>
      </c>
      <c r="V11" s="13" t="s">
        <v>2855</v>
      </c>
      <c r="W11" s="13" t="s">
        <v>2843</v>
      </c>
      <c r="X11" s="13" t="s">
        <v>2856</v>
      </c>
      <c r="Y11" s="13" t="s">
        <v>2829</v>
      </c>
      <c r="Z11" s="883" t="s">
        <v>2816</v>
      </c>
      <c r="AA11" s="883" t="s">
        <v>2817</v>
      </c>
      <c r="AB11" s="883" t="s">
        <v>2816</v>
      </c>
      <c r="AC11" s="13" t="s">
        <v>2818</v>
      </c>
      <c r="AD11" s="13" t="s">
        <v>2850</v>
      </c>
      <c r="AE11" s="14" t="s">
        <v>2871</v>
      </c>
      <c r="AF11" s="14" t="s">
        <v>2851</v>
      </c>
      <c r="AG11" s="14" t="s">
        <v>2822</v>
      </c>
      <c r="AH11" s="14" t="s">
        <v>2823</v>
      </c>
      <c r="AI11" s="15">
        <v>1</v>
      </c>
      <c r="AJ11" s="879">
        <v>6319</v>
      </c>
      <c r="AK11" s="879">
        <v>1263484</v>
      </c>
      <c r="AL11" s="884">
        <v>199.95</v>
      </c>
      <c r="AM11" s="885">
        <v>0.7341</v>
      </c>
      <c r="AN11" s="884">
        <v>23.17</v>
      </c>
      <c r="AO11" s="886">
        <v>4.8</v>
      </c>
      <c r="AP11" s="879">
        <v>18050</v>
      </c>
      <c r="AQ11" s="887">
        <v>0.0745</v>
      </c>
      <c r="AR11" s="879">
        <v>471</v>
      </c>
      <c r="AS11" s="888"/>
      <c r="AT11" s="15" t="s">
        <v>876</v>
      </c>
      <c r="AU11" s="15" t="s">
        <v>966</v>
      </c>
      <c r="AV11" s="889">
        <v>937</v>
      </c>
      <c r="AW11" s="889">
        <v>1</v>
      </c>
      <c r="AX11" s="889">
        <v>10</v>
      </c>
      <c r="AY11" s="14" t="s">
        <v>867</v>
      </c>
      <c r="AZ11" s="15" t="s">
        <v>65</v>
      </c>
      <c r="BA11" s="14" t="s">
        <v>65</v>
      </c>
      <c r="BB11" s="15" t="s">
        <v>856</v>
      </c>
      <c r="BC11" s="890" t="s">
        <v>967</v>
      </c>
      <c r="BD11" s="890" t="s">
        <v>968</v>
      </c>
    </row>
    <row r="12" s="1" customFormat="1" ht="24" customHeight="1" spans="1:56">
      <c r="A12" s="15" t="str">
        <f>_xlfn.DISPIMG("ID_D867FF3B6F984EF9B9A521B60372147C",1)</f>
        <v>=DISPIMG("ID_D867FF3B6F984EF9B9A521B60372147C",1)</v>
      </c>
      <c r="B12" s="14" t="s">
        <v>193</v>
      </c>
      <c r="C12" s="14" t="s">
        <v>193</v>
      </c>
      <c r="D12" s="14" t="s">
        <v>65</v>
      </c>
      <c r="E12" s="14" t="s">
        <v>969</v>
      </c>
      <c r="F12" s="14" t="s">
        <v>970</v>
      </c>
      <c r="G12" s="14" t="s">
        <v>971</v>
      </c>
      <c r="H12" s="14" t="s">
        <v>972</v>
      </c>
      <c r="I12" s="14" t="s">
        <v>973</v>
      </c>
      <c r="J12" s="15" t="s">
        <v>974</v>
      </c>
      <c r="K12" s="14" t="s">
        <v>850</v>
      </c>
      <c r="L12" s="14" t="s">
        <v>851</v>
      </c>
      <c r="M12" s="879">
        <v>1189</v>
      </c>
      <c r="N12" s="880" t="s">
        <v>852</v>
      </c>
      <c r="O12" s="881" t="s">
        <v>975</v>
      </c>
      <c r="P12" s="13" t="s">
        <v>2809</v>
      </c>
      <c r="Q12" s="892">
        <v>7.25</v>
      </c>
      <c r="R12" s="882" t="s">
        <v>2872</v>
      </c>
      <c r="S12" s="882">
        <f t="shared" si="0"/>
        <v>6.8585</v>
      </c>
      <c r="T12" s="882" t="s">
        <v>2873</v>
      </c>
      <c r="U12" s="13" t="s">
        <v>64</v>
      </c>
      <c r="V12" s="13" t="s">
        <v>2812</v>
      </c>
      <c r="W12" s="13" t="s">
        <v>2837</v>
      </c>
      <c r="X12" s="13" t="s">
        <v>2874</v>
      </c>
      <c r="Y12" s="13" t="s">
        <v>2815</v>
      </c>
      <c r="Z12" s="883" t="s">
        <v>2816</v>
      </c>
      <c r="AA12" s="883" t="s">
        <v>2817</v>
      </c>
      <c r="AB12" s="883" t="s">
        <v>2816</v>
      </c>
      <c r="AC12" s="13" t="s">
        <v>2818</v>
      </c>
      <c r="AD12" s="13" t="s">
        <v>2819</v>
      </c>
      <c r="AE12" s="14" t="s">
        <v>2820</v>
      </c>
      <c r="AF12" s="14" t="s">
        <v>2821</v>
      </c>
      <c r="AG12" s="14" t="s">
        <v>2865</v>
      </c>
      <c r="AH12" s="14" t="s">
        <v>2823</v>
      </c>
      <c r="AI12" s="15">
        <v>1</v>
      </c>
      <c r="AJ12" s="879">
        <v>5498</v>
      </c>
      <c r="AK12" s="879">
        <v>489816.8</v>
      </c>
      <c r="AL12" s="884">
        <v>89.09</v>
      </c>
      <c r="AM12" s="885">
        <v>0.6229</v>
      </c>
      <c r="AN12" s="884">
        <v>20.23</v>
      </c>
      <c r="AO12" s="886">
        <v>4.5</v>
      </c>
      <c r="AP12" s="879">
        <v>8480</v>
      </c>
      <c r="AQ12" s="887">
        <v>0.0349</v>
      </c>
      <c r="AR12" s="879">
        <v>192</v>
      </c>
      <c r="AS12" s="888"/>
      <c r="AT12" s="15" t="s">
        <v>947</v>
      </c>
      <c r="AU12" s="15" t="s">
        <v>976</v>
      </c>
      <c r="AV12" s="889">
        <v>2009</v>
      </c>
      <c r="AW12" s="889">
        <v>1</v>
      </c>
      <c r="AX12" s="889">
        <v>5</v>
      </c>
      <c r="AY12" s="14" t="s">
        <v>867</v>
      </c>
      <c r="AZ12" s="15" t="s">
        <v>65</v>
      </c>
      <c r="BA12" s="14" t="s">
        <v>65</v>
      </c>
      <c r="BB12" s="15" t="s">
        <v>856</v>
      </c>
      <c r="BC12" s="890" t="s">
        <v>977</v>
      </c>
      <c r="BD12" s="890" t="s">
        <v>978</v>
      </c>
    </row>
    <row r="13" s="1" customFormat="1" ht="24" customHeight="1" spans="1:56">
      <c r="A13" s="15" t="str">
        <f>_xlfn.DISPIMG("ID_5081BD8DF7104B418782487A028CDCFD",1)</f>
        <v>=DISPIMG("ID_5081BD8DF7104B418782487A028CDCFD",1)</v>
      </c>
      <c r="B13" s="14" t="s">
        <v>105</v>
      </c>
      <c r="C13" s="14" t="s">
        <v>105</v>
      </c>
      <c r="D13" s="14" t="s">
        <v>65</v>
      </c>
      <c r="E13" s="14" t="s">
        <v>979</v>
      </c>
      <c r="F13" s="14" t="s">
        <v>980</v>
      </c>
      <c r="G13" s="14" t="s">
        <v>846</v>
      </c>
      <c r="H13" s="14" t="s">
        <v>981</v>
      </c>
      <c r="I13" s="14" t="s">
        <v>982</v>
      </c>
      <c r="J13" s="15" t="s">
        <v>65</v>
      </c>
      <c r="K13" s="14" t="s">
        <v>850</v>
      </c>
      <c r="L13" s="14" t="s">
        <v>851</v>
      </c>
      <c r="M13" s="879">
        <v>1009</v>
      </c>
      <c r="N13" s="880" t="s">
        <v>852</v>
      </c>
      <c r="O13" s="881" t="s">
        <v>965</v>
      </c>
      <c r="P13" s="13" t="s">
        <v>2832</v>
      </c>
      <c r="Q13" s="882">
        <v>17</v>
      </c>
      <c r="R13" s="882" t="s">
        <v>2875</v>
      </c>
      <c r="S13" s="882">
        <f t="shared" si="0"/>
        <v>16.082</v>
      </c>
      <c r="T13" s="882" t="s">
        <v>2876</v>
      </c>
      <c r="U13" s="13" t="s">
        <v>2877</v>
      </c>
      <c r="V13" s="13" t="s">
        <v>2812</v>
      </c>
      <c r="W13" s="13" t="s">
        <v>2878</v>
      </c>
      <c r="X13" s="13" t="s">
        <v>2879</v>
      </c>
      <c r="Y13" s="13" t="s">
        <v>2829</v>
      </c>
      <c r="Z13" s="883" t="s">
        <v>2817</v>
      </c>
      <c r="AA13" s="883" t="s">
        <v>2817</v>
      </c>
      <c r="AB13" s="883" t="s">
        <v>2816</v>
      </c>
      <c r="AC13" s="13" t="s">
        <v>2818</v>
      </c>
      <c r="AD13" s="13" t="s">
        <v>2850</v>
      </c>
      <c r="AE13" s="14" t="s">
        <v>2880</v>
      </c>
      <c r="AF13" s="14" t="s">
        <v>2821</v>
      </c>
      <c r="AG13" s="14" t="s">
        <v>2822</v>
      </c>
      <c r="AH13" s="14" t="s">
        <v>2823</v>
      </c>
      <c r="AI13" s="15">
        <v>1</v>
      </c>
      <c r="AJ13" s="879">
        <v>9972</v>
      </c>
      <c r="AK13" s="879">
        <v>1994300.4</v>
      </c>
      <c r="AL13" s="884">
        <v>187</v>
      </c>
      <c r="AM13" s="885">
        <v>0.7362</v>
      </c>
      <c r="AN13" s="884">
        <v>22.75</v>
      </c>
      <c r="AO13" s="886">
        <v>4.6</v>
      </c>
      <c r="AP13" s="879">
        <v>24097</v>
      </c>
      <c r="AQ13" s="887">
        <v>0.0355</v>
      </c>
      <c r="AR13" s="879">
        <v>354</v>
      </c>
      <c r="AS13" s="888"/>
      <c r="AT13" s="15" t="s">
        <v>854</v>
      </c>
      <c r="AU13" s="15" t="s">
        <v>983</v>
      </c>
      <c r="AV13" s="889">
        <v>1341</v>
      </c>
      <c r="AW13" s="889">
        <v>1</v>
      </c>
      <c r="AX13" s="889">
        <v>16</v>
      </c>
      <c r="AY13" s="14" t="s">
        <v>65</v>
      </c>
      <c r="AZ13" s="15" t="s">
        <v>65</v>
      </c>
      <c r="BA13" s="14" t="s">
        <v>65</v>
      </c>
      <c r="BB13" s="15" t="s">
        <v>856</v>
      </c>
      <c r="BC13" s="890" t="s">
        <v>984</v>
      </c>
      <c r="BD13" s="890" t="s">
        <v>985</v>
      </c>
    </row>
    <row r="14" s="1" customFormat="1" ht="24" customHeight="1" spans="1:56">
      <c r="A14" s="15" t="str">
        <f>_xlfn.DISPIMG("ID_D3ECA348966449D08D28C7515248DDFA",1)</f>
        <v>=DISPIMG("ID_D3ECA348966449D08D28C7515248DDFA",1)</v>
      </c>
      <c r="B14" s="14" t="s">
        <v>986</v>
      </c>
      <c r="C14" s="14" t="s">
        <v>987</v>
      </c>
      <c r="D14" s="14" t="s">
        <v>988</v>
      </c>
      <c r="E14" s="14" t="s">
        <v>989</v>
      </c>
      <c r="F14" s="14" t="s">
        <v>990</v>
      </c>
      <c r="G14" s="14" t="s">
        <v>991</v>
      </c>
      <c r="H14" s="14" t="s">
        <v>992</v>
      </c>
      <c r="I14" s="14" t="s">
        <v>993</v>
      </c>
      <c r="J14" s="15" t="s">
        <v>934</v>
      </c>
      <c r="K14" s="14" t="s">
        <v>850</v>
      </c>
      <c r="L14" s="14" t="s">
        <v>851</v>
      </c>
      <c r="M14" s="879">
        <v>1488</v>
      </c>
      <c r="N14" s="880" t="s">
        <v>852</v>
      </c>
      <c r="O14" s="881" t="s">
        <v>994</v>
      </c>
      <c r="P14" s="13" t="s">
        <v>2881</v>
      </c>
      <c r="Q14" s="882">
        <v>4</v>
      </c>
      <c r="R14" s="882" t="s">
        <v>2810</v>
      </c>
      <c r="S14" s="882">
        <f t="shared" si="0"/>
        <v>3.784</v>
      </c>
      <c r="T14" s="882" t="s">
        <v>2811</v>
      </c>
      <c r="U14" s="13" t="s">
        <v>64</v>
      </c>
      <c r="V14" s="13" t="s">
        <v>2812</v>
      </c>
      <c r="W14" s="13" t="s">
        <v>2827</v>
      </c>
      <c r="X14" s="694" t="s">
        <v>2814</v>
      </c>
      <c r="Y14" s="13" t="s">
        <v>2829</v>
      </c>
      <c r="Z14" s="883" t="s">
        <v>2816</v>
      </c>
      <c r="AA14" s="883" t="s">
        <v>2817</v>
      </c>
      <c r="AB14" s="883" t="s">
        <v>2816</v>
      </c>
      <c r="AC14" s="13" t="s">
        <v>2818</v>
      </c>
      <c r="AD14" s="13" t="s">
        <v>2819</v>
      </c>
      <c r="AE14" s="14" t="s">
        <v>2882</v>
      </c>
      <c r="AF14" s="14" t="s">
        <v>2883</v>
      </c>
      <c r="AG14" s="14" t="s">
        <v>2865</v>
      </c>
      <c r="AH14" s="14" t="s">
        <v>2884</v>
      </c>
      <c r="AI14" s="15">
        <v>1</v>
      </c>
      <c r="AJ14" s="879">
        <v>4279</v>
      </c>
      <c r="AK14" s="879">
        <v>342277.2</v>
      </c>
      <c r="AL14" s="884">
        <v>67.99</v>
      </c>
      <c r="AM14" s="885">
        <v>0.6391</v>
      </c>
      <c r="AN14" s="884">
        <v>16.87</v>
      </c>
      <c r="AO14" s="886">
        <v>4.4</v>
      </c>
      <c r="AP14" s="879">
        <v>382</v>
      </c>
      <c r="AQ14" s="887">
        <v>0.0327</v>
      </c>
      <c r="AR14" s="879">
        <v>140</v>
      </c>
      <c r="AS14" s="888"/>
      <c r="AT14" s="15" t="s">
        <v>876</v>
      </c>
      <c r="AU14" s="15" t="s">
        <v>995</v>
      </c>
      <c r="AV14" s="889">
        <v>291</v>
      </c>
      <c r="AW14" s="889">
        <v>5</v>
      </c>
      <c r="AX14" s="889">
        <v>2</v>
      </c>
      <c r="AY14" s="14" t="s">
        <v>996</v>
      </c>
      <c r="AZ14" s="15" t="s">
        <v>65</v>
      </c>
      <c r="BA14" s="14" t="s">
        <v>65</v>
      </c>
      <c r="BB14" s="15" t="s">
        <v>997</v>
      </c>
      <c r="BC14" s="890" t="s">
        <v>907</v>
      </c>
      <c r="BD14" s="890" t="s">
        <v>998</v>
      </c>
    </row>
    <row r="15" s="1" customFormat="1" ht="24" customHeight="1" spans="1:56">
      <c r="A15" s="15" t="str">
        <f>_xlfn.DISPIMG("ID_8F526F5171E649F6861FFFB079CAC276",1)</f>
        <v>=DISPIMG("ID_8F526F5171E649F6861FFFB079CAC276",1)</v>
      </c>
      <c r="B15" s="14" t="s">
        <v>187</v>
      </c>
      <c r="C15" s="14" t="s">
        <v>187</v>
      </c>
      <c r="D15" s="14" t="s">
        <v>65</v>
      </c>
      <c r="E15" s="14" t="s">
        <v>999</v>
      </c>
      <c r="F15" s="14" t="s">
        <v>1000</v>
      </c>
      <c r="G15" s="14" t="s">
        <v>846</v>
      </c>
      <c r="H15" s="14" t="s">
        <v>1001</v>
      </c>
      <c r="I15" s="14" t="s">
        <v>1002</v>
      </c>
      <c r="J15" s="15" t="s">
        <v>1003</v>
      </c>
      <c r="K15" s="14" t="s">
        <v>850</v>
      </c>
      <c r="L15" s="14" t="s">
        <v>851</v>
      </c>
      <c r="M15" s="879">
        <v>1041</v>
      </c>
      <c r="N15" s="880" t="s">
        <v>852</v>
      </c>
      <c r="O15" s="881" t="s">
        <v>975</v>
      </c>
      <c r="P15" s="13" t="s">
        <v>2824</v>
      </c>
      <c r="Q15" s="882">
        <v>5.5</v>
      </c>
      <c r="R15" s="882" t="s">
        <v>2885</v>
      </c>
      <c r="S15" s="882">
        <f t="shared" si="0"/>
        <v>5.203</v>
      </c>
      <c r="T15" s="882" t="s">
        <v>2886</v>
      </c>
      <c r="U15" s="13" t="s">
        <v>64</v>
      </c>
      <c r="V15" s="13" t="s">
        <v>2812</v>
      </c>
      <c r="W15" s="13" t="s">
        <v>2837</v>
      </c>
      <c r="X15" s="694" t="s">
        <v>2879</v>
      </c>
      <c r="Y15" s="13" t="s">
        <v>2829</v>
      </c>
      <c r="Z15" s="883" t="s">
        <v>2816</v>
      </c>
      <c r="AA15" s="883" t="s">
        <v>2817</v>
      </c>
      <c r="AB15" s="883" t="s">
        <v>2816</v>
      </c>
      <c r="AC15" s="13" t="s">
        <v>2818</v>
      </c>
      <c r="AD15" s="13" t="s">
        <v>2819</v>
      </c>
      <c r="AE15" s="14" t="s">
        <v>2887</v>
      </c>
      <c r="AF15" s="14" t="s">
        <v>2821</v>
      </c>
      <c r="AG15" s="14" t="s">
        <v>2822</v>
      </c>
      <c r="AH15" s="14" t="s">
        <v>2823</v>
      </c>
      <c r="AI15" s="15">
        <v>1</v>
      </c>
      <c r="AJ15" s="879">
        <v>7579</v>
      </c>
      <c r="AK15" s="879">
        <v>1136774.2</v>
      </c>
      <c r="AL15" s="884">
        <v>149.99</v>
      </c>
      <c r="AM15" s="885">
        <v>0.7179</v>
      </c>
      <c r="AN15" s="884">
        <v>19.81</v>
      </c>
      <c r="AO15" s="886">
        <v>4.7</v>
      </c>
      <c r="AP15" s="879">
        <v>16093</v>
      </c>
      <c r="AQ15" s="887">
        <v>0.0289</v>
      </c>
      <c r="AR15" s="879">
        <v>219</v>
      </c>
      <c r="AS15" s="888"/>
      <c r="AT15" s="15" t="s">
        <v>854</v>
      </c>
      <c r="AU15" s="15" t="s">
        <v>1004</v>
      </c>
      <c r="AV15" s="889">
        <v>1361</v>
      </c>
      <c r="AW15" s="889">
        <v>1</v>
      </c>
      <c r="AX15" s="889">
        <v>8</v>
      </c>
      <c r="AY15" s="14" t="s">
        <v>65</v>
      </c>
      <c r="AZ15" s="15" t="s">
        <v>65</v>
      </c>
      <c r="BA15" s="14" t="s">
        <v>65</v>
      </c>
      <c r="BB15" s="15" t="s">
        <v>856</v>
      </c>
      <c r="BC15" s="890" t="s">
        <v>1005</v>
      </c>
      <c r="BD15" s="890" t="s">
        <v>1006</v>
      </c>
    </row>
    <row r="16" s="1" customFormat="1" ht="24" customHeight="1" spans="1:56">
      <c r="A16" s="15" t="str">
        <f>_xlfn.DISPIMG("ID_EFD05E987FC244FC8974B30F1238A284",1)</f>
        <v>=DISPIMG("ID_EFD05E987FC244FC8974B30F1238A284",1)</v>
      </c>
      <c r="B16" s="14" t="s">
        <v>1007</v>
      </c>
      <c r="C16" s="14" t="s">
        <v>1007</v>
      </c>
      <c r="D16" s="14" t="s">
        <v>65</v>
      </c>
      <c r="E16" s="14" t="s">
        <v>1008</v>
      </c>
      <c r="F16" s="14" t="s">
        <v>1009</v>
      </c>
      <c r="G16" s="14" t="s">
        <v>861</v>
      </c>
      <c r="H16" s="14" t="s">
        <v>1010</v>
      </c>
      <c r="I16" s="14" t="s">
        <v>1011</v>
      </c>
      <c r="J16" s="15" t="s">
        <v>1012</v>
      </c>
      <c r="K16" s="14" t="s">
        <v>850</v>
      </c>
      <c r="L16" s="14" t="s">
        <v>851</v>
      </c>
      <c r="M16" s="879">
        <v>1367</v>
      </c>
      <c r="N16" s="880" t="s">
        <v>852</v>
      </c>
      <c r="O16" s="881" t="s">
        <v>1013</v>
      </c>
      <c r="P16" s="13" t="s">
        <v>2809</v>
      </c>
      <c r="Q16" s="882">
        <v>10</v>
      </c>
      <c r="R16" s="882" t="s">
        <v>2833</v>
      </c>
      <c r="S16" s="882">
        <f t="shared" si="0"/>
        <v>9.46</v>
      </c>
      <c r="T16" s="882" t="s">
        <v>2834</v>
      </c>
      <c r="U16" s="13" t="s">
        <v>64</v>
      </c>
      <c r="V16" s="13" t="s">
        <v>2836</v>
      </c>
      <c r="W16" s="13" t="s">
        <v>2888</v>
      </c>
      <c r="X16" s="13" t="s">
        <v>2874</v>
      </c>
      <c r="Y16" s="13" t="s">
        <v>2829</v>
      </c>
      <c r="Z16" s="883" t="s">
        <v>2817</v>
      </c>
      <c r="AA16" s="883" t="s">
        <v>2817</v>
      </c>
      <c r="AB16" s="891" t="s">
        <v>2817</v>
      </c>
      <c r="AC16" s="13" t="s">
        <v>2854</v>
      </c>
      <c r="AD16" s="13" t="s">
        <v>2889</v>
      </c>
      <c r="AE16" s="14" t="s">
        <v>2840</v>
      </c>
      <c r="AF16" s="14" t="s">
        <v>2883</v>
      </c>
      <c r="AG16" s="14" t="s">
        <v>2822</v>
      </c>
      <c r="AH16" s="14" t="s">
        <v>2823</v>
      </c>
      <c r="AI16" s="15">
        <v>1</v>
      </c>
      <c r="AJ16" s="879">
        <v>1372</v>
      </c>
      <c r="AK16" s="879">
        <v>150892.56</v>
      </c>
      <c r="AL16" s="884">
        <v>109.98</v>
      </c>
      <c r="AM16" s="885">
        <v>0.6431</v>
      </c>
      <c r="AN16" s="884">
        <v>22.75</v>
      </c>
      <c r="AO16" s="886">
        <v>4.7</v>
      </c>
      <c r="AP16" s="879">
        <v>4736</v>
      </c>
      <c r="AQ16" s="887">
        <v>0</v>
      </c>
      <c r="AR16" s="879">
        <v>3055</v>
      </c>
      <c r="AS16" s="888"/>
      <c r="AT16" s="15" t="s">
        <v>947</v>
      </c>
      <c r="AU16" s="15" t="s">
        <v>1014</v>
      </c>
      <c r="AV16" s="889">
        <v>251</v>
      </c>
      <c r="AW16" s="889">
        <v>1</v>
      </c>
      <c r="AX16" s="889">
        <v>1</v>
      </c>
      <c r="AY16" s="14" t="s">
        <v>867</v>
      </c>
      <c r="AZ16" s="15" t="s">
        <v>65</v>
      </c>
      <c r="BA16" s="14" t="s">
        <v>65</v>
      </c>
      <c r="BB16" s="15" t="s">
        <v>856</v>
      </c>
      <c r="BC16" s="890" t="s">
        <v>1015</v>
      </c>
      <c r="BD16" s="890" t="s">
        <v>1016</v>
      </c>
    </row>
    <row r="17" s="1" customFormat="1" ht="24" customHeight="1" spans="1:56">
      <c r="A17" s="15" t="str">
        <f>_xlfn.DISPIMG("ID_5446CDB133D04700B667BAED4B259405",1)</f>
        <v>=DISPIMG("ID_5446CDB133D04700B667BAED4B259405",1)</v>
      </c>
      <c r="B17" s="14" t="s">
        <v>439</v>
      </c>
      <c r="C17" s="14" t="s">
        <v>439</v>
      </c>
      <c r="D17" s="14" t="s">
        <v>65</v>
      </c>
      <c r="E17" s="14" t="s">
        <v>1017</v>
      </c>
      <c r="F17" s="14" t="s">
        <v>1018</v>
      </c>
      <c r="G17" s="14" t="s">
        <v>872</v>
      </c>
      <c r="H17" s="14" t="s">
        <v>1019</v>
      </c>
      <c r="I17" s="14" t="s">
        <v>1020</v>
      </c>
      <c r="J17" s="15" t="s">
        <v>974</v>
      </c>
      <c r="K17" s="14" t="s">
        <v>850</v>
      </c>
      <c r="L17" s="14" t="s">
        <v>851</v>
      </c>
      <c r="M17" s="879">
        <v>1263</v>
      </c>
      <c r="N17" s="880" t="s">
        <v>852</v>
      </c>
      <c r="O17" s="881" t="s">
        <v>1021</v>
      </c>
      <c r="P17" s="13" t="s">
        <v>2832</v>
      </c>
      <c r="Q17" s="882">
        <v>6</v>
      </c>
      <c r="R17" s="882" t="s">
        <v>2841</v>
      </c>
      <c r="S17" s="882">
        <f t="shared" si="0"/>
        <v>5.676</v>
      </c>
      <c r="T17" s="882" t="s">
        <v>2842</v>
      </c>
      <c r="U17" s="13" t="s">
        <v>64</v>
      </c>
      <c r="V17" s="13" t="s">
        <v>2812</v>
      </c>
      <c r="W17" s="13" t="s">
        <v>2843</v>
      </c>
      <c r="X17" s="13" t="s">
        <v>2844</v>
      </c>
      <c r="Y17" s="13" t="s">
        <v>2829</v>
      </c>
      <c r="Z17" s="883" t="s">
        <v>2817</v>
      </c>
      <c r="AA17" s="883" t="s">
        <v>2817</v>
      </c>
      <c r="AB17" s="883" t="s">
        <v>2816</v>
      </c>
      <c r="AC17" s="13" t="s">
        <v>2818</v>
      </c>
      <c r="AD17" s="13" t="s">
        <v>2850</v>
      </c>
      <c r="AE17" s="14" t="s">
        <v>2890</v>
      </c>
      <c r="AF17" s="14" t="s">
        <v>2831</v>
      </c>
      <c r="AG17" s="14" t="s">
        <v>2865</v>
      </c>
      <c r="AH17" s="14" t="s">
        <v>2823</v>
      </c>
      <c r="AI17" s="15">
        <v>1</v>
      </c>
      <c r="AJ17" s="879">
        <v>5320</v>
      </c>
      <c r="AK17" s="879">
        <v>850934</v>
      </c>
      <c r="AL17" s="884">
        <v>159.95</v>
      </c>
      <c r="AM17" s="885">
        <v>0.7262</v>
      </c>
      <c r="AN17" s="884">
        <v>19.81</v>
      </c>
      <c r="AO17" s="886">
        <v>4.5</v>
      </c>
      <c r="AP17" s="879">
        <v>18506</v>
      </c>
      <c r="AQ17" s="887">
        <v>0.0596</v>
      </c>
      <c r="AR17" s="879">
        <v>317</v>
      </c>
      <c r="AS17" s="888"/>
      <c r="AT17" s="15" t="s">
        <v>876</v>
      </c>
      <c r="AU17" s="15" t="s">
        <v>886</v>
      </c>
      <c r="AV17" s="889">
        <v>661</v>
      </c>
      <c r="AW17" s="889">
        <v>1</v>
      </c>
      <c r="AX17" s="889">
        <v>4</v>
      </c>
      <c r="AY17" s="14" t="s">
        <v>867</v>
      </c>
      <c r="AZ17" s="15" t="s">
        <v>65</v>
      </c>
      <c r="BA17" s="14" t="s">
        <v>65</v>
      </c>
      <c r="BB17" s="15" t="s">
        <v>856</v>
      </c>
      <c r="BC17" s="890" t="s">
        <v>1022</v>
      </c>
      <c r="BD17" s="890" t="s">
        <v>1023</v>
      </c>
    </row>
    <row r="18" s="1" customFormat="1" ht="24" customHeight="1" spans="1:56">
      <c r="A18" s="15" t="str">
        <f>_xlfn.DISPIMG("ID_BF719436269342C39120D5BF56B8BEC7",1)</f>
        <v>=DISPIMG("ID_BF719436269342C39120D5BF56B8BEC7",1)</v>
      </c>
      <c r="B18" s="14" t="s">
        <v>291</v>
      </c>
      <c r="C18" s="14" t="s">
        <v>291</v>
      </c>
      <c r="D18" s="14" t="s">
        <v>65</v>
      </c>
      <c r="E18" s="14" t="s">
        <v>1024</v>
      </c>
      <c r="F18" s="14" t="s">
        <v>1025</v>
      </c>
      <c r="G18" s="14" t="s">
        <v>1026</v>
      </c>
      <c r="H18" s="14" t="s">
        <v>1027</v>
      </c>
      <c r="I18" s="14" t="s">
        <v>1028</v>
      </c>
      <c r="J18" s="15" t="s">
        <v>893</v>
      </c>
      <c r="K18" s="14" t="s">
        <v>850</v>
      </c>
      <c r="L18" s="14" t="s">
        <v>851</v>
      </c>
      <c r="M18" s="879">
        <v>1974</v>
      </c>
      <c r="N18" s="880" t="s">
        <v>1029</v>
      </c>
      <c r="O18" s="881" t="s">
        <v>1030</v>
      </c>
      <c r="P18" s="13" t="s">
        <v>2852</v>
      </c>
      <c r="Q18" s="882">
        <v>26</v>
      </c>
      <c r="R18" s="882" t="s">
        <v>2891</v>
      </c>
      <c r="S18" s="882">
        <f t="shared" si="0"/>
        <v>24.596</v>
      </c>
      <c r="T18" s="882" t="s">
        <v>2892</v>
      </c>
      <c r="U18" s="13" t="s">
        <v>2877</v>
      </c>
      <c r="V18" s="13" t="s">
        <v>2893</v>
      </c>
      <c r="W18" s="13" t="s">
        <v>2894</v>
      </c>
      <c r="X18" s="13" t="s">
        <v>2874</v>
      </c>
      <c r="Y18" s="13" t="s">
        <v>2895</v>
      </c>
      <c r="Z18" s="883" t="s">
        <v>2817</v>
      </c>
      <c r="AA18" s="883" t="s">
        <v>2817</v>
      </c>
      <c r="AB18" s="883" t="s">
        <v>2816</v>
      </c>
      <c r="AC18" s="13" t="s">
        <v>2845</v>
      </c>
      <c r="AD18" s="13" t="s">
        <v>2896</v>
      </c>
      <c r="AE18" s="14" t="s">
        <v>2857</v>
      </c>
      <c r="AF18" s="14" t="s">
        <v>2831</v>
      </c>
      <c r="AG18" s="14" t="s">
        <v>2822</v>
      </c>
      <c r="AH18" s="14" t="s">
        <v>2823</v>
      </c>
      <c r="AI18" s="15">
        <v>1</v>
      </c>
      <c r="AJ18" s="879">
        <v>2970</v>
      </c>
      <c r="AK18" s="879">
        <v>858330</v>
      </c>
      <c r="AL18" s="884">
        <v>289</v>
      </c>
      <c r="AM18" s="885">
        <v>0.7451</v>
      </c>
      <c r="AN18" s="884">
        <v>30.31</v>
      </c>
      <c r="AO18" s="886">
        <v>4.6</v>
      </c>
      <c r="AP18" s="879">
        <v>2118</v>
      </c>
      <c r="AQ18" s="887">
        <v>0.0572</v>
      </c>
      <c r="AR18" s="879">
        <v>170</v>
      </c>
      <c r="AS18" s="888"/>
      <c r="AT18" s="15" t="s">
        <v>854</v>
      </c>
      <c r="AU18" s="15" t="s">
        <v>1031</v>
      </c>
      <c r="AV18" s="889">
        <v>609</v>
      </c>
      <c r="AW18" s="889">
        <v>1</v>
      </c>
      <c r="AX18" s="889">
        <v>14</v>
      </c>
      <c r="AY18" s="14" t="s">
        <v>1032</v>
      </c>
      <c r="AZ18" s="15" t="s">
        <v>65</v>
      </c>
      <c r="BA18" s="14" t="s">
        <v>1033</v>
      </c>
      <c r="BB18" s="15" t="s">
        <v>856</v>
      </c>
      <c r="BC18" s="890" t="s">
        <v>1034</v>
      </c>
      <c r="BD18" s="890" t="s">
        <v>1035</v>
      </c>
    </row>
    <row r="19" s="1" customFormat="1" ht="24" customHeight="1" spans="1:56">
      <c r="A19" s="15" t="str">
        <f>_xlfn.DISPIMG("ID_BA29F564E8A7433287A2991E08F24C7A",1)</f>
        <v>=DISPIMG("ID_BA29F564E8A7433287A2991E08F24C7A",1)</v>
      </c>
      <c r="B19" s="14" t="s">
        <v>103</v>
      </c>
      <c r="C19" s="14" t="s">
        <v>103</v>
      </c>
      <c r="D19" s="14" t="s">
        <v>65</v>
      </c>
      <c r="E19" s="14" t="s">
        <v>1047</v>
      </c>
      <c r="F19" s="14" t="s">
        <v>1048</v>
      </c>
      <c r="G19" s="14" t="s">
        <v>861</v>
      </c>
      <c r="H19" s="14" t="s">
        <v>1049</v>
      </c>
      <c r="I19" s="14" t="s">
        <v>1050</v>
      </c>
      <c r="J19" s="15" t="s">
        <v>1012</v>
      </c>
      <c r="K19" s="14" t="s">
        <v>850</v>
      </c>
      <c r="L19" s="14" t="s">
        <v>851</v>
      </c>
      <c r="M19" s="879">
        <v>1787</v>
      </c>
      <c r="N19" s="880" t="s">
        <v>1051</v>
      </c>
      <c r="O19" s="881" t="s">
        <v>1052</v>
      </c>
      <c r="P19" s="13" t="s">
        <v>2852</v>
      </c>
      <c r="Q19" s="882">
        <v>26.4</v>
      </c>
      <c r="R19" s="882" t="s">
        <v>2897</v>
      </c>
      <c r="S19" s="882">
        <f t="shared" si="0"/>
        <v>24.9744</v>
      </c>
      <c r="T19" s="882" t="s">
        <v>2898</v>
      </c>
      <c r="U19" s="13" t="s">
        <v>64</v>
      </c>
      <c r="V19" s="13" t="s">
        <v>2836</v>
      </c>
      <c r="W19" s="13" t="s">
        <v>2849</v>
      </c>
      <c r="X19" s="13" t="s">
        <v>2874</v>
      </c>
      <c r="Y19" s="13" t="s">
        <v>2829</v>
      </c>
      <c r="Z19" s="883" t="s">
        <v>2817</v>
      </c>
      <c r="AA19" s="883" t="s">
        <v>2817</v>
      </c>
      <c r="AB19" s="891" t="s">
        <v>2817</v>
      </c>
      <c r="AC19" s="13" t="s">
        <v>2899</v>
      </c>
      <c r="AD19" s="13" t="s">
        <v>2896</v>
      </c>
      <c r="AE19" s="14" t="s">
        <v>2890</v>
      </c>
      <c r="AF19" s="14" t="s">
        <v>2900</v>
      </c>
      <c r="AG19" s="14" t="s">
        <v>2865</v>
      </c>
      <c r="AH19" s="14" t="s">
        <v>2823</v>
      </c>
      <c r="AI19" s="15">
        <v>1</v>
      </c>
      <c r="AJ19" s="879">
        <v>4224</v>
      </c>
      <c r="AK19" s="879">
        <v>675797.8</v>
      </c>
      <c r="AL19" s="884">
        <v>159.99</v>
      </c>
      <c r="AM19" s="885">
        <v>0.6684</v>
      </c>
      <c r="AN19" s="884">
        <v>29.05</v>
      </c>
      <c r="AO19" s="886">
        <v>4.5</v>
      </c>
      <c r="AP19" s="879">
        <v>2434</v>
      </c>
      <c r="AQ19" s="887">
        <v>0</v>
      </c>
      <c r="AR19" s="879">
        <v>0</v>
      </c>
      <c r="AS19" s="879">
        <v>427</v>
      </c>
      <c r="AT19" s="15" t="s">
        <v>947</v>
      </c>
      <c r="AU19" s="15" t="s">
        <v>1053</v>
      </c>
      <c r="AV19" s="889">
        <v>755</v>
      </c>
      <c r="AW19" s="889">
        <v>1</v>
      </c>
      <c r="AX19" s="889">
        <v>1</v>
      </c>
      <c r="AY19" s="14" t="s">
        <v>867</v>
      </c>
      <c r="AZ19" s="15" t="s">
        <v>65</v>
      </c>
      <c r="BA19" s="14" t="s">
        <v>65</v>
      </c>
      <c r="BB19" s="15" t="s">
        <v>856</v>
      </c>
      <c r="BC19" s="890" t="s">
        <v>1054</v>
      </c>
      <c r="BD19" s="890" t="s">
        <v>1055</v>
      </c>
    </row>
    <row r="20" s="1" customFormat="1" ht="24" customHeight="1" spans="1:56">
      <c r="A20" s="15" t="str">
        <f>_xlfn.DISPIMG("ID_3F732B098A8F4924ADB7473A50C75507",1)</f>
        <v>=DISPIMG("ID_3F732B098A8F4924ADB7473A50C75507",1)</v>
      </c>
      <c r="B20" s="14" t="s">
        <v>1056</v>
      </c>
      <c r="C20" s="14" t="s">
        <v>1056</v>
      </c>
      <c r="D20" s="14" t="s">
        <v>65</v>
      </c>
      <c r="E20" s="14" t="s">
        <v>1057</v>
      </c>
      <c r="F20" s="14" t="s">
        <v>1058</v>
      </c>
      <c r="G20" s="14" t="s">
        <v>1059</v>
      </c>
      <c r="H20" s="14" t="s">
        <v>1060</v>
      </c>
      <c r="I20" s="14" t="s">
        <v>1061</v>
      </c>
      <c r="J20" s="15" t="s">
        <v>974</v>
      </c>
      <c r="K20" s="14" t="s">
        <v>850</v>
      </c>
      <c r="L20" s="14" t="s">
        <v>851</v>
      </c>
      <c r="M20" s="879">
        <v>2031</v>
      </c>
      <c r="N20" s="880" t="s">
        <v>852</v>
      </c>
      <c r="O20" s="881" t="s">
        <v>1062</v>
      </c>
      <c r="P20" s="13" t="s">
        <v>2852</v>
      </c>
      <c r="Q20" s="882">
        <v>8</v>
      </c>
      <c r="R20" s="882" t="s">
        <v>2869</v>
      </c>
      <c r="S20" s="882">
        <f t="shared" si="0"/>
        <v>7.568</v>
      </c>
      <c r="T20" s="882" t="s">
        <v>2870</v>
      </c>
      <c r="U20" s="13" t="s">
        <v>64</v>
      </c>
      <c r="V20" s="13" t="s">
        <v>2812</v>
      </c>
      <c r="W20" s="13" t="s">
        <v>2813</v>
      </c>
      <c r="X20" s="13" t="s">
        <v>2844</v>
      </c>
      <c r="Y20" s="13" t="s">
        <v>2815</v>
      </c>
      <c r="Z20" s="883" t="s">
        <v>2817</v>
      </c>
      <c r="AA20" s="883" t="s">
        <v>2817</v>
      </c>
      <c r="AB20" s="883" t="s">
        <v>2816</v>
      </c>
      <c r="AC20" s="13" t="s">
        <v>2818</v>
      </c>
      <c r="AD20" s="13" t="s">
        <v>2850</v>
      </c>
      <c r="AE20" s="14" t="s">
        <v>2830</v>
      </c>
      <c r="AF20" s="14" t="s">
        <v>2851</v>
      </c>
      <c r="AG20" s="14" t="s">
        <v>2822</v>
      </c>
      <c r="AH20" s="14" t="s">
        <v>2823</v>
      </c>
      <c r="AI20" s="15">
        <v>1</v>
      </c>
      <c r="AJ20" s="879">
        <v>2980</v>
      </c>
      <c r="AK20" s="879">
        <v>297970.2</v>
      </c>
      <c r="AL20" s="884">
        <v>99.99</v>
      </c>
      <c r="AM20" s="885">
        <v>0.6435</v>
      </c>
      <c r="AN20" s="884">
        <v>20.65</v>
      </c>
      <c r="AO20" s="886">
        <v>4.6</v>
      </c>
      <c r="AP20" s="879">
        <v>7320</v>
      </c>
      <c r="AQ20" s="887">
        <v>0.0725</v>
      </c>
      <c r="AR20" s="879">
        <v>216</v>
      </c>
      <c r="AS20" s="888"/>
      <c r="AT20" s="15" t="s">
        <v>854</v>
      </c>
      <c r="AU20" s="15" t="s">
        <v>1063</v>
      </c>
      <c r="AV20" s="889">
        <v>949</v>
      </c>
      <c r="AW20" s="889">
        <v>1</v>
      </c>
      <c r="AX20" s="889">
        <v>3</v>
      </c>
      <c r="AY20" s="14" t="s">
        <v>867</v>
      </c>
      <c r="AZ20" s="15" t="s">
        <v>65</v>
      </c>
      <c r="BA20" s="14" t="s">
        <v>65</v>
      </c>
      <c r="BB20" s="15" t="s">
        <v>856</v>
      </c>
      <c r="BC20" s="890" t="s">
        <v>1064</v>
      </c>
      <c r="BD20" s="890" t="s">
        <v>1065</v>
      </c>
    </row>
    <row r="21" s="1" customFormat="1" ht="24" customHeight="1" spans="1:56">
      <c r="A21" s="15" t="str">
        <f>_xlfn.DISPIMG("ID_6D805549D46F4147BB727A2EE17E2C42",1)</f>
        <v>=DISPIMG("ID_6D805549D46F4147BB727A2EE17E2C42",1)</v>
      </c>
      <c r="B21" s="14" t="s">
        <v>1066</v>
      </c>
      <c r="C21" s="14" t="s">
        <v>1066</v>
      </c>
      <c r="D21" s="14" t="s">
        <v>65</v>
      </c>
      <c r="E21" s="14" t="s">
        <v>1067</v>
      </c>
      <c r="F21" s="14" t="s">
        <v>1068</v>
      </c>
      <c r="G21" s="14" t="s">
        <v>1069</v>
      </c>
      <c r="H21" s="14" t="s">
        <v>1070</v>
      </c>
      <c r="I21" s="14" t="s">
        <v>1071</v>
      </c>
      <c r="J21" s="15" t="s">
        <v>864</v>
      </c>
      <c r="K21" s="14" t="s">
        <v>850</v>
      </c>
      <c r="L21" s="14" t="s">
        <v>851</v>
      </c>
      <c r="M21" s="879">
        <v>2398</v>
      </c>
      <c r="N21" s="880" t="s">
        <v>852</v>
      </c>
      <c r="O21" s="881" t="s">
        <v>1072</v>
      </c>
      <c r="P21" s="13" t="s">
        <v>2809</v>
      </c>
      <c r="Q21" s="882">
        <v>2.1</v>
      </c>
      <c r="R21" s="882" t="s">
        <v>2901</v>
      </c>
      <c r="S21" s="882">
        <f t="shared" si="0"/>
        <v>1.9866</v>
      </c>
      <c r="T21" s="882" t="s">
        <v>2902</v>
      </c>
      <c r="U21" s="13" t="s">
        <v>64</v>
      </c>
      <c r="V21" s="13" t="s">
        <v>2812</v>
      </c>
      <c r="W21" s="13" t="s">
        <v>2843</v>
      </c>
      <c r="X21" s="13" t="s">
        <v>2862</v>
      </c>
      <c r="Y21" s="13" t="s">
        <v>2903</v>
      </c>
      <c r="Z21" s="883" t="s">
        <v>2816</v>
      </c>
      <c r="AA21" s="883" t="s">
        <v>2816</v>
      </c>
      <c r="AB21" s="883" t="s">
        <v>2816</v>
      </c>
      <c r="AC21" s="13" t="s">
        <v>2845</v>
      </c>
      <c r="AD21" s="13" t="s">
        <v>2819</v>
      </c>
      <c r="AE21" s="14" t="s">
        <v>2864</v>
      </c>
      <c r="AF21" s="14" t="s">
        <v>2821</v>
      </c>
      <c r="AG21" s="14" t="s">
        <v>2865</v>
      </c>
      <c r="AH21" s="14" t="s">
        <v>2823</v>
      </c>
      <c r="AI21" s="15">
        <v>1</v>
      </c>
      <c r="AJ21" s="879">
        <v>1574</v>
      </c>
      <c r="AK21" s="879">
        <v>62409.1</v>
      </c>
      <c r="AL21" s="884">
        <v>39.65</v>
      </c>
      <c r="AM21" s="885">
        <v>0.5093</v>
      </c>
      <c r="AN21" s="884">
        <v>13.51</v>
      </c>
      <c r="AO21" s="886">
        <v>4.5</v>
      </c>
      <c r="AP21" s="879">
        <v>5147</v>
      </c>
      <c r="AQ21" s="887">
        <v>0.2255</v>
      </c>
      <c r="AR21" s="879">
        <v>355</v>
      </c>
      <c r="AS21" s="888"/>
      <c r="AT21" s="15" t="s">
        <v>876</v>
      </c>
      <c r="AU21" s="15" t="s">
        <v>1073</v>
      </c>
      <c r="AV21" s="889">
        <v>1204</v>
      </c>
      <c r="AW21" s="889">
        <v>1</v>
      </c>
      <c r="AX21" s="889">
        <v>5</v>
      </c>
      <c r="AY21" s="14" t="s">
        <v>867</v>
      </c>
      <c r="AZ21" s="15" t="s">
        <v>65</v>
      </c>
      <c r="BA21" s="14" t="s">
        <v>65</v>
      </c>
      <c r="BB21" s="15" t="s">
        <v>856</v>
      </c>
      <c r="BC21" s="890" t="s">
        <v>1074</v>
      </c>
      <c r="BD21" s="890" t="s">
        <v>1075</v>
      </c>
    </row>
    <row r="22" s="1" customFormat="1" ht="24" customHeight="1" spans="1:56">
      <c r="A22" s="15" t="str">
        <f>_xlfn.DISPIMG("ID_2586E579DE7440F294699E86D562FB05",1)</f>
        <v>=DISPIMG("ID_2586E579DE7440F294699E86D562FB05",1)</v>
      </c>
      <c r="B22" s="14" t="s">
        <v>550</v>
      </c>
      <c r="C22" s="14" t="s">
        <v>550</v>
      </c>
      <c r="D22" s="14" t="s">
        <v>65</v>
      </c>
      <c r="E22" s="14" t="s">
        <v>1076</v>
      </c>
      <c r="F22" s="14" t="s">
        <v>1077</v>
      </c>
      <c r="G22" s="14" t="s">
        <v>1059</v>
      </c>
      <c r="H22" s="14" t="s">
        <v>1078</v>
      </c>
      <c r="I22" s="14" t="s">
        <v>1079</v>
      </c>
      <c r="J22" s="15" t="s">
        <v>974</v>
      </c>
      <c r="K22" s="14" t="s">
        <v>850</v>
      </c>
      <c r="L22" s="14" t="s">
        <v>851</v>
      </c>
      <c r="M22" s="879">
        <v>2256</v>
      </c>
      <c r="N22" s="880" t="s">
        <v>852</v>
      </c>
      <c r="O22" s="881" t="s">
        <v>1062</v>
      </c>
      <c r="P22" s="13" t="s">
        <v>2809</v>
      </c>
      <c r="Q22" s="882">
        <v>10</v>
      </c>
      <c r="R22" s="882" t="s">
        <v>2833</v>
      </c>
      <c r="S22" s="882">
        <f t="shared" si="0"/>
        <v>9.46</v>
      </c>
      <c r="T22" s="882" t="s">
        <v>2834</v>
      </c>
      <c r="U22" s="13" t="s">
        <v>64</v>
      </c>
      <c r="V22" s="13" t="s">
        <v>2904</v>
      </c>
      <c r="W22" s="13" t="s">
        <v>2905</v>
      </c>
      <c r="X22" s="13" t="s">
        <v>2844</v>
      </c>
      <c r="Y22" s="13" t="s">
        <v>2903</v>
      </c>
      <c r="Z22" s="883" t="s">
        <v>2816</v>
      </c>
      <c r="AA22" s="883" t="s">
        <v>2817</v>
      </c>
      <c r="AB22" s="883" t="s">
        <v>2816</v>
      </c>
      <c r="AC22" s="13" t="s">
        <v>2818</v>
      </c>
      <c r="AD22" s="13" t="s">
        <v>2889</v>
      </c>
      <c r="AE22" s="14" t="s">
        <v>2906</v>
      </c>
      <c r="AF22" s="14" t="s">
        <v>2851</v>
      </c>
      <c r="AG22" s="14" t="s">
        <v>2865</v>
      </c>
      <c r="AH22" s="14" t="s">
        <v>2823</v>
      </c>
      <c r="AI22" s="15">
        <v>1</v>
      </c>
      <c r="AJ22" s="879">
        <v>3245</v>
      </c>
      <c r="AK22" s="879">
        <v>389367.53</v>
      </c>
      <c r="AL22" s="884">
        <v>119.99</v>
      </c>
      <c r="AM22" s="885">
        <v>0.6744</v>
      </c>
      <c r="AN22" s="884">
        <v>21.07</v>
      </c>
      <c r="AO22" s="886">
        <v>4.3</v>
      </c>
      <c r="AP22" s="879">
        <v>10832</v>
      </c>
      <c r="AQ22" s="887">
        <v>0.0961</v>
      </c>
      <c r="AR22" s="879">
        <v>312</v>
      </c>
      <c r="AS22" s="879">
        <v>26</v>
      </c>
      <c r="AT22" s="15" t="s">
        <v>854</v>
      </c>
      <c r="AU22" s="15" t="s">
        <v>1063</v>
      </c>
      <c r="AV22" s="889">
        <v>949</v>
      </c>
      <c r="AW22" s="889">
        <v>1</v>
      </c>
      <c r="AX22" s="889">
        <v>8</v>
      </c>
      <c r="AY22" s="14" t="s">
        <v>867</v>
      </c>
      <c r="AZ22" s="15" t="s">
        <v>65</v>
      </c>
      <c r="BA22" s="14" t="s">
        <v>65</v>
      </c>
      <c r="BB22" s="15" t="s">
        <v>856</v>
      </c>
      <c r="BC22" s="890" t="s">
        <v>1080</v>
      </c>
      <c r="BD22" s="890" t="s">
        <v>1081</v>
      </c>
    </row>
    <row r="23" s="1" customFormat="1" ht="24" customHeight="1" spans="1:56">
      <c r="A23" s="15" t="str">
        <f>_xlfn.DISPIMG("ID_BF11A2B6EF6748E79B80B28F745B707C",1)</f>
        <v>=DISPIMG("ID_BF11A2B6EF6748E79B80B28F745B707C",1)</v>
      </c>
      <c r="B23" s="14" t="s">
        <v>1082</v>
      </c>
      <c r="C23" s="14" t="s">
        <v>1082</v>
      </c>
      <c r="D23" s="14" t="s">
        <v>65</v>
      </c>
      <c r="E23" s="14" t="s">
        <v>1083</v>
      </c>
      <c r="F23" s="14" t="s">
        <v>1084</v>
      </c>
      <c r="G23" s="14" t="s">
        <v>846</v>
      </c>
      <c r="H23" s="14" t="s">
        <v>1085</v>
      </c>
      <c r="I23" s="14" t="s">
        <v>1086</v>
      </c>
      <c r="J23" s="15" t="s">
        <v>974</v>
      </c>
      <c r="K23" s="14" t="s">
        <v>850</v>
      </c>
      <c r="L23" s="14" t="s">
        <v>851</v>
      </c>
      <c r="M23" s="879">
        <v>2635</v>
      </c>
      <c r="N23" s="880" t="s">
        <v>852</v>
      </c>
      <c r="O23" s="881" t="s">
        <v>1087</v>
      </c>
      <c r="P23" s="13" t="s">
        <v>2832</v>
      </c>
      <c r="Q23" s="882">
        <v>8</v>
      </c>
      <c r="R23" s="882" t="s">
        <v>2869</v>
      </c>
      <c r="S23" s="882">
        <f t="shared" si="0"/>
        <v>7.568</v>
      </c>
      <c r="T23" s="882" t="s">
        <v>2870</v>
      </c>
      <c r="U23" s="13" t="s">
        <v>2907</v>
      </c>
      <c r="V23" s="13" t="s">
        <v>2812</v>
      </c>
      <c r="W23" s="13" t="s">
        <v>2849</v>
      </c>
      <c r="X23" s="13" t="s">
        <v>2908</v>
      </c>
      <c r="Y23" s="13" t="s">
        <v>2815</v>
      </c>
      <c r="Z23" s="883" t="s">
        <v>2816</v>
      </c>
      <c r="AA23" s="883" t="s">
        <v>2817</v>
      </c>
      <c r="AB23" s="883" t="s">
        <v>2816</v>
      </c>
      <c r="AC23" s="13" t="s">
        <v>2845</v>
      </c>
      <c r="AD23" s="13" t="s">
        <v>2909</v>
      </c>
      <c r="AE23" s="14" t="s">
        <v>2857</v>
      </c>
      <c r="AF23" s="14" t="s">
        <v>2821</v>
      </c>
      <c r="AG23" s="14" t="s">
        <v>2822</v>
      </c>
      <c r="AH23" s="14" t="s">
        <v>2823</v>
      </c>
      <c r="AI23" s="15">
        <v>1</v>
      </c>
      <c r="AJ23" s="879">
        <v>3280</v>
      </c>
      <c r="AK23" s="879">
        <v>721436</v>
      </c>
      <c r="AL23" s="884">
        <v>219.95</v>
      </c>
      <c r="AM23" s="885">
        <v>0.716</v>
      </c>
      <c r="AN23" s="884">
        <v>29.47</v>
      </c>
      <c r="AO23" s="886">
        <v>4.8</v>
      </c>
      <c r="AP23" s="879">
        <v>33409</v>
      </c>
      <c r="AQ23" s="887">
        <v>0.0518</v>
      </c>
      <c r="AR23" s="879">
        <v>170</v>
      </c>
      <c r="AS23" s="888"/>
      <c r="AT23" s="15" t="s">
        <v>876</v>
      </c>
      <c r="AU23" s="15" t="s">
        <v>1088</v>
      </c>
      <c r="AV23" s="889">
        <v>1340</v>
      </c>
      <c r="AW23" s="889">
        <v>1</v>
      </c>
      <c r="AX23" s="889">
        <v>9</v>
      </c>
      <c r="AY23" s="14" t="s">
        <v>867</v>
      </c>
      <c r="AZ23" s="15" t="s">
        <v>65</v>
      </c>
      <c r="BA23" s="14" t="s">
        <v>65</v>
      </c>
      <c r="BB23" s="15" t="s">
        <v>856</v>
      </c>
      <c r="BC23" s="890" t="s">
        <v>1089</v>
      </c>
      <c r="BD23" s="890" t="s">
        <v>1090</v>
      </c>
    </row>
    <row r="24" s="1" customFormat="1" ht="24" customHeight="1" spans="1:56">
      <c r="A24" s="15" t="str">
        <f>_xlfn.DISPIMG("ID_EB1704935DA846C3A75C121E51387F9F",1)</f>
        <v>=DISPIMG("ID_EB1704935DA846C3A75C121E51387F9F",1)</v>
      </c>
      <c r="B24" s="14" t="s">
        <v>1091</v>
      </c>
      <c r="C24" s="14" t="s">
        <v>1091</v>
      </c>
      <c r="D24" s="14" t="s">
        <v>65</v>
      </c>
      <c r="E24" s="14" t="s">
        <v>1092</v>
      </c>
      <c r="F24" s="14" t="s">
        <v>1093</v>
      </c>
      <c r="G24" s="14" t="s">
        <v>1094</v>
      </c>
      <c r="H24" s="14" t="s">
        <v>1095</v>
      </c>
      <c r="I24" s="14" t="s">
        <v>1096</v>
      </c>
      <c r="J24" s="15" t="s">
        <v>974</v>
      </c>
      <c r="K24" s="14" t="s">
        <v>850</v>
      </c>
      <c r="L24" s="14" t="s">
        <v>851</v>
      </c>
      <c r="M24" s="879">
        <v>2469</v>
      </c>
      <c r="N24" s="880" t="s">
        <v>852</v>
      </c>
      <c r="O24" s="881" t="s">
        <v>1097</v>
      </c>
      <c r="P24" s="13" t="s">
        <v>2809</v>
      </c>
      <c r="Q24" s="882">
        <v>26</v>
      </c>
      <c r="R24" s="882" t="s">
        <v>2891</v>
      </c>
      <c r="S24" s="882">
        <f t="shared" si="0"/>
        <v>24.596</v>
      </c>
      <c r="T24" s="882" t="s">
        <v>2892</v>
      </c>
      <c r="U24" s="13" t="s">
        <v>2877</v>
      </c>
      <c r="V24" s="13" t="s">
        <v>2836</v>
      </c>
      <c r="W24" s="13" t="s">
        <v>2843</v>
      </c>
      <c r="X24" s="13" t="s">
        <v>2910</v>
      </c>
      <c r="Y24" s="13" t="s">
        <v>2829</v>
      </c>
      <c r="Z24" s="883" t="s">
        <v>2816</v>
      </c>
      <c r="AA24" s="883" t="s">
        <v>2817</v>
      </c>
      <c r="AB24" s="883" t="s">
        <v>2816</v>
      </c>
      <c r="AC24" s="13" t="s">
        <v>2845</v>
      </c>
      <c r="AD24" s="13" t="s">
        <v>2896</v>
      </c>
      <c r="AE24" s="14" t="s">
        <v>2857</v>
      </c>
      <c r="AF24" s="14" t="s">
        <v>2867</v>
      </c>
      <c r="AG24" s="14" t="s">
        <v>2865</v>
      </c>
      <c r="AH24" s="14" t="s">
        <v>2911</v>
      </c>
      <c r="AI24" s="15">
        <v>1</v>
      </c>
      <c r="AJ24" s="879">
        <v>2153</v>
      </c>
      <c r="AK24" s="879">
        <v>516698.47</v>
      </c>
      <c r="AL24" s="884">
        <v>329.99</v>
      </c>
      <c r="AM24" s="885">
        <v>0.7342</v>
      </c>
      <c r="AN24" s="884">
        <v>27.79</v>
      </c>
      <c r="AO24" s="886">
        <v>4.3</v>
      </c>
      <c r="AP24" s="879">
        <v>764</v>
      </c>
      <c r="AQ24" s="887">
        <v>0.0446</v>
      </c>
      <c r="AR24" s="879">
        <v>96</v>
      </c>
      <c r="AS24" s="879">
        <v>163</v>
      </c>
      <c r="AT24" s="15" t="s">
        <v>1098</v>
      </c>
      <c r="AU24" s="15" t="s">
        <v>1099</v>
      </c>
      <c r="AV24" s="889">
        <v>535</v>
      </c>
      <c r="AW24" s="889">
        <v>1</v>
      </c>
      <c r="AX24" s="889">
        <v>4</v>
      </c>
      <c r="AY24" s="14" t="s">
        <v>65</v>
      </c>
      <c r="AZ24" s="15" t="s">
        <v>65</v>
      </c>
      <c r="BA24" s="14" t="s">
        <v>65</v>
      </c>
      <c r="BB24" s="15" t="s">
        <v>856</v>
      </c>
      <c r="BC24" s="890" t="s">
        <v>1100</v>
      </c>
      <c r="BD24" s="890" t="s">
        <v>1101</v>
      </c>
    </row>
    <row r="25" s="1" customFormat="1" ht="24" customHeight="1" spans="1:56">
      <c r="A25" s="15" t="str">
        <f>_xlfn.DISPIMG("ID_5CBE838777C640E0BE71973DFED62FB4",1)</f>
        <v>=DISPIMG("ID_5CBE838777C640E0BE71973DFED62FB4",1)</v>
      </c>
      <c r="B25" s="14" t="s">
        <v>292</v>
      </c>
      <c r="C25" s="14" t="s">
        <v>292</v>
      </c>
      <c r="D25" s="14" t="s">
        <v>65</v>
      </c>
      <c r="E25" s="14" t="s">
        <v>1102</v>
      </c>
      <c r="F25" s="14" t="s">
        <v>1103</v>
      </c>
      <c r="G25" s="14" t="s">
        <v>1104</v>
      </c>
      <c r="H25" s="14" t="s">
        <v>1105</v>
      </c>
      <c r="I25" s="14" t="s">
        <v>1106</v>
      </c>
      <c r="J25" s="15" t="s">
        <v>934</v>
      </c>
      <c r="K25" s="14" t="s">
        <v>850</v>
      </c>
      <c r="L25" s="14" t="s">
        <v>851</v>
      </c>
      <c r="M25" s="879">
        <v>3010</v>
      </c>
      <c r="N25" s="880" t="s">
        <v>852</v>
      </c>
      <c r="O25" s="881" t="s">
        <v>1107</v>
      </c>
      <c r="P25" s="13" t="s">
        <v>2852</v>
      </c>
      <c r="Q25" s="882">
        <v>26</v>
      </c>
      <c r="R25" s="882" t="s">
        <v>2891</v>
      </c>
      <c r="S25" s="882">
        <f t="shared" si="0"/>
        <v>24.596</v>
      </c>
      <c r="T25" s="882" t="s">
        <v>2892</v>
      </c>
      <c r="U25" s="13" t="s">
        <v>2877</v>
      </c>
      <c r="V25" s="13" t="s">
        <v>2836</v>
      </c>
      <c r="W25" s="13" t="s">
        <v>2849</v>
      </c>
      <c r="X25" s="13" t="s">
        <v>2828</v>
      </c>
      <c r="Y25" s="13" t="s">
        <v>2829</v>
      </c>
      <c r="Z25" s="883" t="s">
        <v>2817</v>
      </c>
      <c r="AA25" s="883" t="s">
        <v>2817</v>
      </c>
      <c r="AB25" s="883" t="s">
        <v>2816</v>
      </c>
      <c r="AC25" s="13" t="s">
        <v>2912</v>
      </c>
      <c r="AD25" s="13" t="s">
        <v>2896</v>
      </c>
      <c r="AE25" s="14" t="s">
        <v>2913</v>
      </c>
      <c r="AF25" s="14" t="s">
        <v>2821</v>
      </c>
      <c r="AG25" s="14" t="s">
        <v>2865</v>
      </c>
      <c r="AH25" s="14" t="s">
        <v>2823</v>
      </c>
      <c r="AI25" s="15">
        <v>1</v>
      </c>
      <c r="AJ25" s="879">
        <v>2205</v>
      </c>
      <c r="AK25" s="879">
        <v>352777.97</v>
      </c>
      <c r="AL25" s="884">
        <v>163</v>
      </c>
      <c r="AM25" s="885">
        <v>0.6973</v>
      </c>
      <c r="AN25" s="884">
        <v>24.43</v>
      </c>
      <c r="AO25" s="886">
        <v>4.5</v>
      </c>
      <c r="AP25" s="879">
        <v>13970</v>
      </c>
      <c r="AQ25" s="887">
        <v>0.0807</v>
      </c>
      <c r="AR25" s="879">
        <v>178</v>
      </c>
      <c r="AS25" s="879">
        <v>965</v>
      </c>
      <c r="AT25" s="15" t="s">
        <v>876</v>
      </c>
      <c r="AU25" s="15" t="s">
        <v>1108</v>
      </c>
      <c r="AV25" s="889">
        <v>1505</v>
      </c>
      <c r="AW25" s="889">
        <v>1</v>
      </c>
      <c r="AX25" s="889">
        <v>8</v>
      </c>
      <c r="AY25" s="14" t="s">
        <v>1109</v>
      </c>
      <c r="AZ25" s="15" t="s">
        <v>1110</v>
      </c>
      <c r="BA25" s="14" t="s">
        <v>1111</v>
      </c>
      <c r="BB25" s="15" t="s">
        <v>856</v>
      </c>
      <c r="BC25" s="890" t="s">
        <v>1112</v>
      </c>
      <c r="BD25" s="890" t="s">
        <v>1113</v>
      </c>
    </row>
    <row r="26" s="1" customFormat="1" ht="24" customHeight="1" spans="1:56">
      <c r="A26" s="15" t="str">
        <f>_xlfn.DISPIMG("ID_FEB60C90BA9940408FA73B1AA52588A7",1)</f>
        <v>=DISPIMG("ID_FEB60C90BA9940408FA73B1AA52588A7",1)</v>
      </c>
      <c r="B26" s="14" t="s">
        <v>155</v>
      </c>
      <c r="C26" s="14" t="s">
        <v>155</v>
      </c>
      <c r="D26" s="14" t="s">
        <v>65</v>
      </c>
      <c r="E26" s="14" t="s">
        <v>1114</v>
      </c>
      <c r="F26" s="14" t="s">
        <v>1115</v>
      </c>
      <c r="G26" s="14" t="s">
        <v>1059</v>
      </c>
      <c r="H26" s="14" t="s">
        <v>1116</v>
      </c>
      <c r="I26" s="14" t="s">
        <v>1117</v>
      </c>
      <c r="J26" s="15" t="s">
        <v>893</v>
      </c>
      <c r="K26" s="14" t="s">
        <v>850</v>
      </c>
      <c r="L26" s="14" t="s">
        <v>851</v>
      </c>
      <c r="M26" s="879">
        <v>2720</v>
      </c>
      <c r="N26" s="880" t="s">
        <v>852</v>
      </c>
      <c r="O26" s="881" t="s">
        <v>1087</v>
      </c>
      <c r="P26" s="13" t="s">
        <v>2809</v>
      </c>
      <c r="Q26" s="882">
        <v>2</v>
      </c>
      <c r="R26" s="882" t="s">
        <v>2914</v>
      </c>
      <c r="S26" s="882">
        <f t="shared" si="0"/>
        <v>1.892</v>
      </c>
      <c r="T26" s="882" t="s">
        <v>2915</v>
      </c>
      <c r="U26" s="13" t="s">
        <v>64</v>
      </c>
      <c r="V26" s="13" t="s">
        <v>2812</v>
      </c>
      <c r="W26" s="13" t="s">
        <v>2861</v>
      </c>
      <c r="X26" s="13" t="s">
        <v>2862</v>
      </c>
      <c r="Y26" s="13" t="s">
        <v>2815</v>
      </c>
      <c r="Z26" s="883" t="s">
        <v>2816</v>
      </c>
      <c r="AA26" s="883" t="s">
        <v>2816</v>
      </c>
      <c r="AB26" s="883" t="s">
        <v>2816</v>
      </c>
      <c r="AC26" s="13" t="s">
        <v>2863</v>
      </c>
      <c r="AD26" s="13" t="s">
        <v>2819</v>
      </c>
      <c r="AE26" s="14" t="s">
        <v>2864</v>
      </c>
      <c r="AF26" s="14" t="s">
        <v>2821</v>
      </c>
      <c r="AG26" s="14" t="s">
        <v>2822</v>
      </c>
      <c r="AH26" s="14" t="s">
        <v>2823</v>
      </c>
      <c r="AI26" s="15">
        <v>1</v>
      </c>
      <c r="AJ26" s="879">
        <v>2946</v>
      </c>
      <c r="AK26" s="879">
        <v>117810.55</v>
      </c>
      <c r="AL26" s="884">
        <v>39.99</v>
      </c>
      <c r="AM26" s="885">
        <v>0.4807</v>
      </c>
      <c r="AN26" s="884">
        <v>14.77</v>
      </c>
      <c r="AO26" s="886">
        <v>4.6</v>
      </c>
      <c r="AP26" s="879">
        <v>21089</v>
      </c>
      <c r="AQ26" s="887">
        <v>0.1198</v>
      </c>
      <c r="AR26" s="879">
        <v>353</v>
      </c>
      <c r="AS26" s="888"/>
      <c r="AT26" s="15" t="s">
        <v>876</v>
      </c>
      <c r="AU26" s="15" t="s">
        <v>1118</v>
      </c>
      <c r="AV26" s="889">
        <v>1515</v>
      </c>
      <c r="AW26" s="889">
        <v>1</v>
      </c>
      <c r="AX26" s="889">
        <v>3</v>
      </c>
      <c r="AY26" s="14" t="s">
        <v>867</v>
      </c>
      <c r="AZ26" s="15" t="s">
        <v>65</v>
      </c>
      <c r="BA26" s="14" t="s">
        <v>65</v>
      </c>
      <c r="BB26" s="15" t="s">
        <v>856</v>
      </c>
      <c r="BC26" s="890" t="s">
        <v>1119</v>
      </c>
      <c r="BD26" s="890" t="s">
        <v>1120</v>
      </c>
    </row>
    <row r="27" s="1" customFormat="1" ht="24" customHeight="1" spans="1:56">
      <c r="A27" s="15" t="str">
        <f>_xlfn.DISPIMG("ID_655B8479D0FA49AC8940B053D0F4B56C",1)</f>
        <v>=DISPIMG("ID_655B8479D0FA49AC8940B053D0F4B56C",1)</v>
      </c>
      <c r="B27" s="14" t="s">
        <v>1121</v>
      </c>
      <c r="C27" s="14" t="s">
        <v>1121</v>
      </c>
      <c r="D27" s="14" t="s">
        <v>65</v>
      </c>
      <c r="E27" s="14" t="s">
        <v>1122</v>
      </c>
      <c r="F27" s="14" t="s">
        <v>1123</v>
      </c>
      <c r="G27" s="14" t="s">
        <v>861</v>
      </c>
      <c r="H27" s="14" t="s">
        <v>1124</v>
      </c>
      <c r="I27" s="14" t="s">
        <v>1125</v>
      </c>
      <c r="J27" s="15" t="s">
        <v>974</v>
      </c>
      <c r="K27" s="14" t="s">
        <v>850</v>
      </c>
      <c r="L27" s="14" t="s">
        <v>851</v>
      </c>
      <c r="M27" s="879">
        <v>2922</v>
      </c>
      <c r="N27" s="880" t="s">
        <v>852</v>
      </c>
      <c r="O27" s="881" t="s">
        <v>1107</v>
      </c>
      <c r="P27" s="13" t="s">
        <v>2824</v>
      </c>
      <c r="Q27" s="882">
        <v>2.1</v>
      </c>
      <c r="R27" s="882" t="s">
        <v>2901</v>
      </c>
      <c r="S27" s="882">
        <f t="shared" si="0"/>
        <v>1.9866</v>
      </c>
      <c r="T27" s="882" t="s">
        <v>2902</v>
      </c>
      <c r="U27" s="13" t="s">
        <v>64</v>
      </c>
      <c r="V27" s="13" t="s">
        <v>2812</v>
      </c>
      <c r="W27" s="13" t="s">
        <v>2813</v>
      </c>
      <c r="X27" s="13" t="s">
        <v>2910</v>
      </c>
      <c r="Y27" s="13" t="s">
        <v>2815</v>
      </c>
      <c r="Z27" s="883" t="s">
        <v>2816</v>
      </c>
      <c r="AA27" s="883" t="s">
        <v>2817</v>
      </c>
      <c r="AB27" s="883" t="s">
        <v>2816</v>
      </c>
      <c r="AC27" s="13" t="s">
        <v>2818</v>
      </c>
      <c r="AD27" s="13" t="s">
        <v>2819</v>
      </c>
      <c r="AE27" s="14" t="s">
        <v>2916</v>
      </c>
      <c r="AF27" s="14" t="s">
        <v>2917</v>
      </c>
      <c r="AG27" s="14" t="s">
        <v>2822</v>
      </c>
      <c r="AH27" s="14" t="s">
        <v>2823</v>
      </c>
      <c r="AI27" s="15">
        <v>1</v>
      </c>
      <c r="AJ27" s="879">
        <v>17432</v>
      </c>
      <c r="AK27" s="879">
        <v>871425.7</v>
      </c>
      <c r="AL27" s="884">
        <v>49.99</v>
      </c>
      <c r="AM27" s="885">
        <v>0.5881</v>
      </c>
      <c r="AN27" s="884">
        <v>13.09</v>
      </c>
      <c r="AO27" s="886">
        <v>4.7</v>
      </c>
      <c r="AP27" s="879">
        <v>2387</v>
      </c>
      <c r="AQ27" s="887">
        <v>0</v>
      </c>
      <c r="AR27" s="879">
        <v>0</v>
      </c>
      <c r="AS27" s="888"/>
      <c r="AT27" s="15" t="s">
        <v>854</v>
      </c>
      <c r="AU27" s="15" t="s">
        <v>1126</v>
      </c>
      <c r="AV27" s="889">
        <v>10</v>
      </c>
      <c r="AW27" s="889">
        <v>1</v>
      </c>
      <c r="AX27" s="889">
        <v>1</v>
      </c>
      <c r="AY27" s="14" t="s">
        <v>867</v>
      </c>
      <c r="AZ27" s="15" t="s">
        <v>65</v>
      </c>
      <c r="BA27" s="14" t="s">
        <v>65</v>
      </c>
      <c r="BB27" s="15" t="s">
        <v>856</v>
      </c>
      <c r="BC27" s="890" t="s">
        <v>1127</v>
      </c>
      <c r="BD27" s="890" t="s">
        <v>1128</v>
      </c>
    </row>
    <row r="28" s="1" customFormat="1" ht="24" customHeight="1" spans="1:56">
      <c r="A28" s="15" t="str">
        <f>_xlfn.DISPIMG("ID_5F705A5FDC144044AABB34A2F402B40B",1)</f>
        <v>=DISPIMG("ID_5F705A5FDC144044AABB34A2F402B40B",1)</v>
      </c>
      <c r="B28" s="14" t="s">
        <v>1129</v>
      </c>
      <c r="C28" s="14" t="s">
        <v>1129</v>
      </c>
      <c r="D28" s="14" t="s">
        <v>65</v>
      </c>
      <c r="E28" s="14" t="s">
        <v>1130</v>
      </c>
      <c r="F28" s="14" t="s">
        <v>1131</v>
      </c>
      <c r="G28" s="14" t="s">
        <v>1132</v>
      </c>
      <c r="H28" s="14" t="s">
        <v>1133</v>
      </c>
      <c r="I28" s="14" t="s">
        <v>1134</v>
      </c>
      <c r="J28" s="15" t="s">
        <v>934</v>
      </c>
      <c r="K28" s="14" t="s">
        <v>850</v>
      </c>
      <c r="L28" s="14" t="s">
        <v>851</v>
      </c>
      <c r="M28" s="879">
        <v>3655</v>
      </c>
      <c r="N28" s="880" t="s">
        <v>852</v>
      </c>
      <c r="O28" s="881" t="s">
        <v>1135</v>
      </c>
      <c r="P28" s="13" t="s">
        <v>2809</v>
      </c>
      <c r="Q28" s="882">
        <f>4.1/0.95</f>
        <v>4.31578947368421</v>
      </c>
      <c r="R28" s="882" t="s">
        <v>2918</v>
      </c>
      <c r="S28" s="882">
        <f t="shared" si="0"/>
        <v>4.08273684210526</v>
      </c>
      <c r="T28" s="882" t="s">
        <v>2919</v>
      </c>
      <c r="U28" s="13" t="s">
        <v>64</v>
      </c>
      <c r="V28" s="13" t="s">
        <v>2812</v>
      </c>
      <c r="W28" s="13" t="s">
        <v>2920</v>
      </c>
      <c r="X28" s="13" t="s">
        <v>2921</v>
      </c>
      <c r="Y28" s="13" t="s">
        <v>2815</v>
      </c>
      <c r="Z28" s="883" t="s">
        <v>2816</v>
      </c>
      <c r="AA28" s="883" t="s">
        <v>2817</v>
      </c>
      <c r="AB28" s="891" t="s">
        <v>2817</v>
      </c>
      <c r="AC28" s="13" t="s">
        <v>2922</v>
      </c>
      <c r="AD28" s="13" t="s">
        <v>2819</v>
      </c>
      <c r="AE28" s="14" t="s">
        <v>2887</v>
      </c>
      <c r="AF28" s="14" t="s">
        <v>2831</v>
      </c>
      <c r="AG28" s="14" t="s">
        <v>2822</v>
      </c>
      <c r="AH28" s="14" t="s">
        <v>2823</v>
      </c>
      <c r="AI28" s="15">
        <v>1</v>
      </c>
      <c r="AJ28" s="879">
        <v>1488</v>
      </c>
      <c r="AK28" s="879">
        <v>133905.11</v>
      </c>
      <c r="AL28" s="884">
        <v>149.95</v>
      </c>
      <c r="AM28" s="885">
        <v>0.6672</v>
      </c>
      <c r="AN28" s="884">
        <v>16.45</v>
      </c>
      <c r="AO28" s="886">
        <v>4.6</v>
      </c>
      <c r="AP28" s="879">
        <v>1069</v>
      </c>
      <c r="AQ28" s="887">
        <v>0.0296</v>
      </c>
      <c r="AR28" s="879">
        <v>44</v>
      </c>
      <c r="AS28" s="888"/>
      <c r="AT28" s="15" t="s">
        <v>876</v>
      </c>
      <c r="AU28" s="15" t="s">
        <v>1136</v>
      </c>
      <c r="AV28" s="889">
        <v>725</v>
      </c>
      <c r="AW28" s="889">
        <v>1</v>
      </c>
      <c r="AX28" s="889">
        <v>4</v>
      </c>
      <c r="AY28" s="14" t="s">
        <v>867</v>
      </c>
      <c r="AZ28" s="15" t="s">
        <v>65</v>
      </c>
      <c r="BA28" s="14" t="s">
        <v>65</v>
      </c>
      <c r="BB28" s="15" t="s">
        <v>856</v>
      </c>
      <c r="BC28" s="890" t="s">
        <v>1137</v>
      </c>
      <c r="BD28" s="890" t="s">
        <v>1138</v>
      </c>
    </row>
    <row r="29" s="1" customFormat="1" ht="24" customHeight="1" spans="1:56">
      <c r="A29" s="15" t="str">
        <f>_xlfn.DISPIMG("ID_A56FAFEB25634B9FB769A1E7444FBCA9",1)</f>
        <v>=DISPIMG("ID_A56FAFEB25634B9FB769A1E7444FBCA9",1)</v>
      </c>
      <c r="B29" s="14" t="s">
        <v>270</v>
      </c>
      <c r="C29" s="14" t="s">
        <v>270</v>
      </c>
      <c r="D29" s="14" t="s">
        <v>65</v>
      </c>
      <c r="E29" s="14" t="s">
        <v>1139</v>
      </c>
      <c r="F29" s="14" t="s">
        <v>1140</v>
      </c>
      <c r="G29" s="14" t="s">
        <v>1141</v>
      </c>
      <c r="H29" s="14" t="s">
        <v>1142</v>
      </c>
      <c r="I29" s="14" t="s">
        <v>1143</v>
      </c>
      <c r="J29" s="15" t="s">
        <v>934</v>
      </c>
      <c r="K29" s="14" t="s">
        <v>850</v>
      </c>
      <c r="L29" s="14" t="s">
        <v>851</v>
      </c>
      <c r="M29" s="879">
        <v>3139</v>
      </c>
      <c r="N29" s="880" t="s">
        <v>852</v>
      </c>
      <c r="O29" s="881" t="s">
        <v>1144</v>
      </c>
      <c r="P29" s="13" t="s">
        <v>2852</v>
      </c>
      <c r="Q29" s="882">
        <v>26</v>
      </c>
      <c r="R29" s="882" t="s">
        <v>2891</v>
      </c>
      <c r="S29" s="882">
        <f t="shared" si="0"/>
        <v>24.596</v>
      </c>
      <c r="T29" s="882" t="s">
        <v>2892</v>
      </c>
      <c r="U29" s="13" t="s">
        <v>2877</v>
      </c>
      <c r="V29" s="13" t="s">
        <v>2923</v>
      </c>
      <c r="W29" s="13" t="s">
        <v>2894</v>
      </c>
      <c r="X29" s="893" t="s">
        <v>2844</v>
      </c>
      <c r="Y29" s="13" t="s">
        <v>2895</v>
      </c>
      <c r="Z29" s="883" t="s">
        <v>2817</v>
      </c>
      <c r="AA29" s="883" t="s">
        <v>2817</v>
      </c>
      <c r="AB29" s="883" t="s">
        <v>2816</v>
      </c>
      <c r="AC29" s="13" t="s">
        <v>2912</v>
      </c>
      <c r="AD29" s="13" t="s">
        <v>2896</v>
      </c>
      <c r="AE29" s="14" t="s">
        <v>2924</v>
      </c>
      <c r="AF29" s="14" t="s">
        <v>2851</v>
      </c>
      <c r="AG29" s="14" t="s">
        <v>2865</v>
      </c>
      <c r="AH29" s="14" t="s">
        <v>2823</v>
      </c>
      <c r="AI29" s="15">
        <v>1</v>
      </c>
      <c r="AJ29" s="879">
        <v>1034</v>
      </c>
      <c r="AK29" s="879">
        <v>185086</v>
      </c>
      <c r="AL29" s="884">
        <v>179</v>
      </c>
      <c r="AM29" s="885">
        <v>0.7018</v>
      </c>
      <c r="AN29" s="884">
        <v>26.53</v>
      </c>
      <c r="AO29" s="886">
        <v>4.4</v>
      </c>
      <c r="AP29" s="879">
        <v>10571</v>
      </c>
      <c r="AQ29" s="887">
        <v>0.1644</v>
      </c>
      <c r="AR29" s="879">
        <v>170</v>
      </c>
      <c r="AS29" s="888"/>
      <c r="AT29" s="15" t="s">
        <v>947</v>
      </c>
      <c r="AU29" s="15" t="s">
        <v>1145</v>
      </c>
      <c r="AV29" s="889">
        <v>1084</v>
      </c>
      <c r="AW29" s="889">
        <v>1</v>
      </c>
      <c r="AX29" s="889">
        <v>15</v>
      </c>
      <c r="AY29" s="14" t="s">
        <v>1146</v>
      </c>
      <c r="AZ29" s="15" t="s">
        <v>1110</v>
      </c>
      <c r="BA29" s="14" t="s">
        <v>1147</v>
      </c>
      <c r="BB29" s="15" t="s">
        <v>856</v>
      </c>
      <c r="BC29" s="890" t="s">
        <v>1148</v>
      </c>
      <c r="BD29" s="890" t="s">
        <v>1149</v>
      </c>
    </row>
    <row r="30" s="1" customFormat="1" ht="24" customHeight="1" spans="1:56">
      <c r="A30" s="15" t="str">
        <f>_xlfn.DISPIMG("ID_2B121DD4114D4409B3077D94682C9E9A",1)</f>
        <v>=DISPIMG("ID_2B121DD4114D4409B3077D94682C9E9A",1)</v>
      </c>
      <c r="B30" s="14" t="s">
        <v>353</v>
      </c>
      <c r="C30" s="14" t="s">
        <v>353</v>
      </c>
      <c r="D30" s="14" t="s">
        <v>65</v>
      </c>
      <c r="E30" s="14" t="s">
        <v>1150</v>
      </c>
      <c r="F30" s="14" t="s">
        <v>1151</v>
      </c>
      <c r="G30" s="14" t="s">
        <v>1152</v>
      </c>
      <c r="H30" s="14" t="s">
        <v>1153</v>
      </c>
      <c r="I30" s="14" t="s">
        <v>2925</v>
      </c>
      <c r="J30" s="15" t="s">
        <v>893</v>
      </c>
      <c r="K30" s="14" t="s">
        <v>850</v>
      </c>
      <c r="L30" s="14" t="s">
        <v>851</v>
      </c>
      <c r="M30" s="879">
        <v>2724</v>
      </c>
      <c r="N30" s="880" t="s">
        <v>852</v>
      </c>
      <c r="O30" s="881" t="s">
        <v>1155</v>
      </c>
      <c r="P30" s="13" t="s">
        <v>2809</v>
      </c>
      <c r="Q30" s="882">
        <v>4.2</v>
      </c>
      <c r="R30" s="882" t="s">
        <v>2926</v>
      </c>
      <c r="S30" s="882">
        <f t="shared" si="0"/>
        <v>3.9732</v>
      </c>
      <c r="T30" s="882" t="s">
        <v>2927</v>
      </c>
      <c r="U30" s="13" t="s">
        <v>64</v>
      </c>
      <c r="V30" s="13" t="s">
        <v>2812</v>
      </c>
      <c r="W30" s="13" t="s">
        <v>2861</v>
      </c>
      <c r="X30" s="13" t="s">
        <v>2828</v>
      </c>
      <c r="Y30" s="13" t="s">
        <v>2815</v>
      </c>
      <c r="Z30" s="883" t="s">
        <v>2816</v>
      </c>
      <c r="AA30" s="883" t="s">
        <v>2817</v>
      </c>
      <c r="AB30" s="883" t="s">
        <v>2816</v>
      </c>
      <c r="AC30" s="13" t="s">
        <v>2928</v>
      </c>
      <c r="AD30" s="13" t="s">
        <v>2819</v>
      </c>
      <c r="AE30" s="14" t="s">
        <v>2882</v>
      </c>
      <c r="AF30" s="14" t="s">
        <v>2821</v>
      </c>
      <c r="AG30" s="14" t="s">
        <v>2822</v>
      </c>
      <c r="AH30" s="14" t="s">
        <v>2823</v>
      </c>
      <c r="AI30" s="15">
        <v>1</v>
      </c>
      <c r="AJ30" s="879">
        <v>3991</v>
      </c>
      <c r="AK30" s="879">
        <v>279330.1</v>
      </c>
      <c r="AL30" s="884">
        <v>69.99</v>
      </c>
      <c r="AM30" s="885">
        <v>0.615</v>
      </c>
      <c r="AN30" s="884">
        <v>16.45</v>
      </c>
      <c r="AO30" s="886">
        <v>4.7</v>
      </c>
      <c r="AP30" s="879">
        <v>40740</v>
      </c>
      <c r="AQ30" s="887">
        <v>0.0661</v>
      </c>
      <c r="AR30" s="879">
        <v>264</v>
      </c>
      <c r="AS30" s="888"/>
      <c r="AT30" s="15" t="s">
        <v>876</v>
      </c>
      <c r="AU30" s="15" t="s">
        <v>1156</v>
      </c>
      <c r="AV30" s="889">
        <v>1883</v>
      </c>
      <c r="AW30" s="889">
        <v>1</v>
      </c>
      <c r="AX30" s="889">
        <v>1</v>
      </c>
      <c r="AY30" s="14" t="s">
        <v>1157</v>
      </c>
      <c r="AZ30" s="15" t="s">
        <v>65</v>
      </c>
      <c r="BA30" s="14" t="s">
        <v>1158</v>
      </c>
      <c r="BB30" s="15" t="s">
        <v>856</v>
      </c>
      <c r="BC30" s="890" t="s">
        <v>1159</v>
      </c>
      <c r="BD30" s="890" t="s">
        <v>1160</v>
      </c>
    </row>
    <row r="31" s="1" customFormat="1" ht="24" customHeight="1" spans="1:56">
      <c r="A31" s="15" t="str">
        <f>_xlfn.DISPIMG("ID_EC5715FDE44E423DA2407A8C8149F902",1)</f>
        <v>=DISPIMG("ID_EC5715FDE44E423DA2407A8C8149F902",1)</v>
      </c>
      <c r="B31" s="14" t="s">
        <v>232</v>
      </c>
      <c r="C31" s="14" t="s">
        <v>232</v>
      </c>
      <c r="D31" s="14" t="s">
        <v>65</v>
      </c>
      <c r="E31" s="14" t="s">
        <v>1171</v>
      </c>
      <c r="F31" s="14" t="s">
        <v>1172</v>
      </c>
      <c r="G31" s="14" t="s">
        <v>1173</v>
      </c>
      <c r="H31" s="14" t="s">
        <v>1174</v>
      </c>
      <c r="I31" s="14" t="s">
        <v>1175</v>
      </c>
      <c r="J31" s="15" t="s">
        <v>974</v>
      </c>
      <c r="K31" s="14" t="s">
        <v>850</v>
      </c>
      <c r="L31" s="14" t="s">
        <v>851</v>
      </c>
      <c r="M31" s="879">
        <v>3310</v>
      </c>
      <c r="N31" s="880" t="s">
        <v>852</v>
      </c>
      <c r="O31" s="881" t="s">
        <v>1135</v>
      </c>
      <c r="P31" s="13" t="s">
        <v>2809</v>
      </c>
      <c r="Q31" s="882">
        <v>5.8</v>
      </c>
      <c r="R31" s="882" t="s">
        <v>2847</v>
      </c>
      <c r="S31" s="882">
        <f t="shared" si="0"/>
        <v>5.4868</v>
      </c>
      <c r="T31" s="882" t="s">
        <v>2848</v>
      </c>
      <c r="U31" s="13" t="s">
        <v>64</v>
      </c>
      <c r="V31" s="13" t="s">
        <v>2812</v>
      </c>
      <c r="W31" s="13" t="s">
        <v>2878</v>
      </c>
      <c r="X31" s="13" t="s">
        <v>2844</v>
      </c>
      <c r="Y31" s="13" t="s">
        <v>2815</v>
      </c>
      <c r="Z31" s="883" t="s">
        <v>2816</v>
      </c>
      <c r="AA31" s="883" t="s">
        <v>2817</v>
      </c>
      <c r="AB31" s="883" t="s">
        <v>2816</v>
      </c>
      <c r="AC31" s="13" t="s">
        <v>2818</v>
      </c>
      <c r="AD31" s="13" t="s">
        <v>2819</v>
      </c>
      <c r="AE31" s="14" t="s">
        <v>2882</v>
      </c>
      <c r="AF31" s="14" t="s">
        <v>2821</v>
      </c>
      <c r="AG31" s="14" t="s">
        <v>2822</v>
      </c>
      <c r="AH31" s="14" t="s">
        <v>2823</v>
      </c>
      <c r="AI31" s="15">
        <v>1</v>
      </c>
      <c r="AJ31" s="879">
        <v>2695</v>
      </c>
      <c r="AK31" s="879">
        <v>170485.7</v>
      </c>
      <c r="AL31" s="884">
        <v>63.26</v>
      </c>
      <c r="AM31" s="885">
        <v>0.5302</v>
      </c>
      <c r="AN31" s="884">
        <v>20.23</v>
      </c>
      <c r="AO31" s="886">
        <v>4.6</v>
      </c>
      <c r="AP31" s="879">
        <v>33005</v>
      </c>
      <c r="AQ31" s="887">
        <v>0.082</v>
      </c>
      <c r="AR31" s="879">
        <v>221</v>
      </c>
      <c r="AS31" s="879">
        <v>680</v>
      </c>
      <c r="AT31" s="15" t="s">
        <v>876</v>
      </c>
      <c r="AU31" s="15" t="s">
        <v>1176</v>
      </c>
      <c r="AV31" s="889">
        <v>1966</v>
      </c>
      <c r="AW31" s="889">
        <v>1</v>
      </c>
      <c r="AX31" s="889">
        <v>2</v>
      </c>
      <c r="AY31" s="14" t="s">
        <v>867</v>
      </c>
      <c r="AZ31" s="15" t="s">
        <v>65</v>
      </c>
      <c r="BA31" s="14" t="s">
        <v>65</v>
      </c>
      <c r="BB31" s="15" t="s">
        <v>856</v>
      </c>
      <c r="BC31" s="890" t="s">
        <v>1177</v>
      </c>
      <c r="BD31" s="890" t="s">
        <v>1178</v>
      </c>
    </row>
    <row r="32" s="1" customFormat="1" ht="24" customHeight="1" spans="1:56">
      <c r="A32" s="15" t="str">
        <f>_xlfn.DISPIMG("ID_57C5254188594DADA615573EE730EDB8",1)</f>
        <v>=DISPIMG("ID_57C5254188594DADA615573EE730EDB8",1)</v>
      </c>
      <c r="B32" s="14" t="s">
        <v>395</v>
      </c>
      <c r="C32" s="14" t="s">
        <v>395</v>
      </c>
      <c r="D32" s="14" t="s">
        <v>65</v>
      </c>
      <c r="E32" s="14" t="s">
        <v>1179</v>
      </c>
      <c r="F32" s="14" t="s">
        <v>1180</v>
      </c>
      <c r="G32" s="14" t="s">
        <v>931</v>
      </c>
      <c r="H32" s="14" t="s">
        <v>1181</v>
      </c>
      <c r="I32" s="14" t="s">
        <v>2929</v>
      </c>
      <c r="J32" s="15" t="s">
        <v>934</v>
      </c>
      <c r="K32" s="14" t="s">
        <v>850</v>
      </c>
      <c r="L32" s="14" t="s">
        <v>851</v>
      </c>
      <c r="M32" s="879">
        <v>3846</v>
      </c>
      <c r="N32" s="880" t="s">
        <v>852</v>
      </c>
      <c r="O32" s="881" t="s">
        <v>1183</v>
      </c>
      <c r="P32" s="13" t="s">
        <v>2881</v>
      </c>
      <c r="Q32" s="882">
        <v>2.6</v>
      </c>
      <c r="R32" s="882" t="s">
        <v>2859</v>
      </c>
      <c r="S32" s="882">
        <f t="shared" si="0"/>
        <v>2.4596</v>
      </c>
      <c r="T32" s="882" t="s">
        <v>2860</v>
      </c>
      <c r="U32" s="13" t="s">
        <v>64</v>
      </c>
      <c r="V32" s="13" t="s">
        <v>2812</v>
      </c>
      <c r="W32" s="13" t="s">
        <v>2861</v>
      </c>
      <c r="X32" s="13" t="s">
        <v>2862</v>
      </c>
      <c r="Y32" s="13" t="s">
        <v>2815</v>
      </c>
      <c r="Z32" s="883" t="s">
        <v>2816</v>
      </c>
      <c r="AA32" s="883" t="s">
        <v>2817</v>
      </c>
      <c r="AB32" s="883" t="s">
        <v>2816</v>
      </c>
      <c r="AC32" s="13" t="s">
        <v>2818</v>
      </c>
      <c r="AD32" s="13" t="s">
        <v>2819</v>
      </c>
      <c r="AE32" s="14" t="s">
        <v>2882</v>
      </c>
      <c r="AF32" s="14" t="s">
        <v>2900</v>
      </c>
      <c r="AG32" s="14" t="s">
        <v>2822</v>
      </c>
      <c r="AH32" s="14" t="s">
        <v>2823</v>
      </c>
      <c r="AI32" s="15">
        <v>1</v>
      </c>
      <c r="AJ32" s="879">
        <v>2032</v>
      </c>
      <c r="AK32" s="879">
        <v>132059.67</v>
      </c>
      <c r="AL32" s="884">
        <v>64.99</v>
      </c>
      <c r="AM32" s="885">
        <v>0.6357</v>
      </c>
      <c r="AN32" s="884">
        <v>13.93</v>
      </c>
      <c r="AO32" s="886">
        <v>4.6</v>
      </c>
      <c r="AP32" s="879">
        <v>2910</v>
      </c>
      <c r="AQ32" s="887">
        <v>0.0679</v>
      </c>
      <c r="AR32" s="879">
        <v>138</v>
      </c>
      <c r="AS32" s="888"/>
      <c r="AT32" s="15" t="s">
        <v>876</v>
      </c>
      <c r="AU32" s="15" t="s">
        <v>1184</v>
      </c>
      <c r="AV32" s="889">
        <v>832</v>
      </c>
      <c r="AW32" s="889">
        <v>1</v>
      </c>
      <c r="AX32" s="889">
        <v>2</v>
      </c>
      <c r="AY32" s="14" t="s">
        <v>867</v>
      </c>
      <c r="AZ32" s="15" t="s">
        <v>65</v>
      </c>
      <c r="BA32" s="14" t="s">
        <v>65</v>
      </c>
      <c r="BB32" s="15" t="s">
        <v>856</v>
      </c>
      <c r="BC32" s="890" t="s">
        <v>1185</v>
      </c>
      <c r="BD32" s="890" t="s">
        <v>1186</v>
      </c>
    </row>
    <row r="33" s="1" customFormat="1" ht="24" customHeight="1" spans="1:56">
      <c r="A33" s="15" t="str">
        <f>_xlfn.DISPIMG("ID_30AF9FE10AEA414CBF2D799A8F97B6E1",1)</f>
        <v>=DISPIMG("ID_30AF9FE10AEA414CBF2D799A8F97B6E1",1)</v>
      </c>
      <c r="B33" s="14" t="s">
        <v>116</v>
      </c>
      <c r="C33" s="14" t="s">
        <v>116</v>
      </c>
      <c r="D33" s="14" t="s">
        <v>65</v>
      </c>
      <c r="E33" s="14" t="s">
        <v>1187</v>
      </c>
      <c r="F33" s="14" t="s">
        <v>1188</v>
      </c>
      <c r="G33" s="14" t="s">
        <v>1189</v>
      </c>
      <c r="H33" s="14" t="s">
        <v>1190</v>
      </c>
      <c r="I33" s="14" t="s">
        <v>1191</v>
      </c>
      <c r="J33" s="15" t="s">
        <v>934</v>
      </c>
      <c r="K33" s="14" t="s">
        <v>850</v>
      </c>
      <c r="L33" s="14" t="s">
        <v>851</v>
      </c>
      <c r="M33" s="879">
        <v>3738</v>
      </c>
      <c r="N33" s="880" t="s">
        <v>852</v>
      </c>
      <c r="O33" s="881" t="s">
        <v>1135</v>
      </c>
      <c r="P33" s="13" t="s">
        <v>2852</v>
      </c>
      <c r="Q33" s="882">
        <v>17</v>
      </c>
      <c r="R33" s="882" t="s">
        <v>2875</v>
      </c>
      <c r="S33" s="882">
        <f t="shared" si="0"/>
        <v>16.082</v>
      </c>
      <c r="T33" s="882" t="s">
        <v>2876</v>
      </c>
      <c r="U33" s="13" t="s">
        <v>2835</v>
      </c>
      <c r="V33" s="13" t="s">
        <v>2836</v>
      </c>
      <c r="W33" s="13" t="s">
        <v>2813</v>
      </c>
      <c r="X33" s="13" t="s">
        <v>2828</v>
      </c>
      <c r="Y33" s="13" t="s">
        <v>2829</v>
      </c>
      <c r="Z33" s="883" t="s">
        <v>2817</v>
      </c>
      <c r="AA33" s="883" t="s">
        <v>2816</v>
      </c>
      <c r="AB33" s="883" t="s">
        <v>2816</v>
      </c>
      <c r="AC33" s="13" t="s">
        <v>2863</v>
      </c>
      <c r="AD33" s="13" t="s">
        <v>2889</v>
      </c>
      <c r="AE33" s="14" t="s">
        <v>2882</v>
      </c>
      <c r="AF33" s="14" t="s">
        <v>2851</v>
      </c>
      <c r="AG33" s="14" t="s">
        <v>2930</v>
      </c>
      <c r="AH33" s="14" t="s">
        <v>2823</v>
      </c>
      <c r="AI33" s="15">
        <v>1</v>
      </c>
      <c r="AJ33" s="879">
        <v>2305</v>
      </c>
      <c r="AK33" s="879">
        <v>161326.94</v>
      </c>
      <c r="AL33" s="884">
        <v>69.99</v>
      </c>
      <c r="AM33" s="885">
        <v>0.615</v>
      </c>
      <c r="AN33" s="884">
        <v>16.45</v>
      </c>
      <c r="AO33" s="886">
        <v>4.1</v>
      </c>
      <c r="AP33" s="879">
        <v>1929</v>
      </c>
      <c r="AQ33" s="887">
        <v>0.0364</v>
      </c>
      <c r="AR33" s="879">
        <v>84</v>
      </c>
      <c r="AS33" s="888"/>
      <c r="AT33" s="15" t="s">
        <v>854</v>
      </c>
      <c r="AU33" s="15" t="s">
        <v>1192</v>
      </c>
      <c r="AV33" s="889">
        <v>987</v>
      </c>
      <c r="AW33" s="889">
        <v>1</v>
      </c>
      <c r="AX33" s="889">
        <v>1</v>
      </c>
      <c r="AY33" s="14" t="s">
        <v>867</v>
      </c>
      <c r="AZ33" s="15" t="s">
        <v>65</v>
      </c>
      <c r="BA33" s="14" t="s">
        <v>65</v>
      </c>
      <c r="BB33" s="15" t="s">
        <v>856</v>
      </c>
      <c r="BC33" s="890" t="s">
        <v>1193</v>
      </c>
      <c r="BD33" s="890" t="s">
        <v>1194</v>
      </c>
    </row>
    <row r="34" s="1" customFormat="1" ht="24" customHeight="1" spans="1:56">
      <c r="A34" s="15" t="str">
        <f>_xlfn.DISPIMG("ID_3FE23FCA5B2E49C3844336FD61124FED",1)</f>
        <v>=DISPIMG("ID_3FE23FCA5B2E49C3844336FD61124FED",1)</v>
      </c>
      <c r="B34" s="14" t="s">
        <v>1218</v>
      </c>
      <c r="C34" s="14" t="s">
        <v>1218</v>
      </c>
      <c r="D34" s="14" t="s">
        <v>65</v>
      </c>
      <c r="E34" s="14" t="s">
        <v>1219</v>
      </c>
      <c r="F34" s="14" t="s">
        <v>1220</v>
      </c>
      <c r="G34" s="14" t="s">
        <v>1221</v>
      </c>
      <c r="H34" s="14" t="s">
        <v>1222</v>
      </c>
      <c r="I34" s="14" t="s">
        <v>1223</v>
      </c>
      <c r="J34" s="15" t="s">
        <v>1042</v>
      </c>
      <c r="K34" s="14" t="s">
        <v>850</v>
      </c>
      <c r="L34" s="14" t="s">
        <v>851</v>
      </c>
      <c r="M34" s="879">
        <v>3701</v>
      </c>
      <c r="N34" s="880" t="s">
        <v>852</v>
      </c>
      <c r="O34" s="881" t="s">
        <v>1183</v>
      </c>
      <c r="P34" s="13" t="s">
        <v>2809</v>
      </c>
      <c r="Q34" s="882">
        <v>3.7</v>
      </c>
      <c r="R34" s="882" t="s">
        <v>2931</v>
      </c>
      <c r="S34" s="882">
        <f t="shared" si="0"/>
        <v>3.5002</v>
      </c>
      <c r="T34" s="882" t="s">
        <v>2932</v>
      </c>
      <c r="U34" s="13" t="s">
        <v>64</v>
      </c>
      <c r="V34" s="13" t="s">
        <v>2812</v>
      </c>
      <c r="W34" s="13" t="s">
        <v>2878</v>
      </c>
      <c r="X34" s="13" t="s">
        <v>2921</v>
      </c>
      <c r="Y34" s="13" t="s">
        <v>2903</v>
      </c>
      <c r="Z34" s="883" t="s">
        <v>2816</v>
      </c>
      <c r="AA34" s="883" t="s">
        <v>2817</v>
      </c>
      <c r="AB34" s="883" t="s">
        <v>2816</v>
      </c>
      <c r="AC34" s="13" t="s">
        <v>2928</v>
      </c>
      <c r="AD34" s="13" t="s">
        <v>2819</v>
      </c>
      <c r="AE34" s="14" t="s">
        <v>2866</v>
      </c>
      <c r="AF34" s="14" t="s">
        <v>2917</v>
      </c>
      <c r="AG34" s="14" t="s">
        <v>2933</v>
      </c>
      <c r="AH34" s="14" t="s">
        <v>2934</v>
      </c>
      <c r="AI34" s="15">
        <v>1</v>
      </c>
      <c r="AJ34" s="879">
        <v>622</v>
      </c>
      <c r="AK34" s="879">
        <v>33469.82</v>
      </c>
      <c r="AL34" s="884">
        <v>53.81</v>
      </c>
      <c r="AM34" s="885">
        <v>0.5443</v>
      </c>
      <c r="AN34" s="884">
        <v>16.45</v>
      </c>
      <c r="AO34" s="886">
        <v>5</v>
      </c>
      <c r="AP34" s="879">
        <v>8</v>
      </c>
      <c r="AQ34" s="887">
        <v>0.0113</v>
      </c>
      <c r="AR34" s="879">
        <v>7</v>
      </c>
      <c r="AS34" s="888"/>
      <c r="AT34" s="15" t="s">
        <v>65</v>
      </c>
      <c r="AU34" s="15" t="s">
        <v>1224</v>
      </c>
      <c r="AV34" s="889">
        <v>26</v>
      </c>
      <c r="AW34" s="889">
        <v>1</v>
      </c>
      <c r="AX34" s="889">
        <v>1</v>
      </c>
      <c r="AY34" s="14" t="s">
        <v>867</v>
      </c>
      <c r="AZ34" s="15" t="s">
        <v>65</v>
      </c>
      <c r="BA34" s="14" t="s">
        <v>65</v>
      </c>
      <c r="BB34" s="15" t="s">
        <v>856</v>
      </c>
      <c r="BC34" s="890" t="s">
        <v>907</v>
      </c>
      <c r="BD34" s="890" t="s">
        <v>1225</v>
      </c>
    </row>
    <row r="35" s="1" customFormat="1" ht="24" customHeight="1" spans="1:56">
      <c r="A35" s="15" t="str">
        <f>_xlfn.DISPIMG("ID_326E9FDB3B4845F0A5722189EAC9E480",1)</f>
        <v>=DISPIMG("ID_326E9FDB3B4845F0A5722189EAC9E480",1)</v>
      </c>
      <c r="B35" s="14" t="s">
        <v>1226</v>
      </c>
      <c r="C35" s="14" t="s">
        <v>1226</v>
      </c>
      <c r="D35" s="14" t="s">
        <v>65</v>
      </c>
      <c r="E35" s="14" t="s">
        <v>1227</v>
      </c>
      <c r="F35" s="14" t="s">
        <v>1228</v>
      </c>
      <c r="G35" s="14" t="s">
        <v>1229</v>
      </c>
      <c r="H35" s="14" t="s">
        <v>1230</v>
      </c>
      <c r="I35" s="14" t="s">
        <v>1231</v>
      </c>
      <c r="J35" s="15" t="s">
        <v>893</v>
      </c>
      <c r="K35" s="14" t="s">
        <v>850</v>
      </c>
      <c r="L35" s="14" t="s">
        <v>851</v>
      </c>
      <c r="M35" s="879">
        <v>5110</v>
      </c>
      <c r="N35" s="880" t="s">
        <v>852</v>
      </c>
      <c r="O35" s="881" t="s">
        <v>1232</v>
      </c>
      <c r="P35" s="13" t="s">
        <v>2852</v>
      </c>
      <c r="Q35" s="882">
        <v>16</v>
      </c>
      <c r="R35" s="882" t="s">
        <v>2935</v>
      </c>
      <c r="S35" s="882">
        <f t="shared" ref="S35:S66" si="1">Q35*0.946</f>
        <v>15.136</v>
      </c>
      <c r="T35" s="882" t="s">
        <v>2936</v>
      </c>
      <c r="U35" s="13" t="s">
        <v>2835</v>
      </c>
      <c r="V35" s="13" t="s">
        <v>2836</v>
      </c>
      <c r="W35" s="13" t="s">
        <v>2843</v>
      </c>
      <c r="X35" s="13" t="s">
        <v>2874</v>
      </c>
      <c r="Y35" s="13" t="s">
        <v>2829</v>
      </c>
      <c r="Z35" s="883" t="s">
        <v>2817</v>
      </c>
      <c r="AA35" s="883" t="s">
        <v>2816</v>
      </c>
      <c r="AB35" s="883" t="s">
        <v>2816</v>
      </c>
      <c r="AC35" s="13" t="s">
        <v>2863</v>
      </c>
      <c r="AD35" s="13" t="s">
        <v>2896</v>
      </c>
      <c r="AE35" s="14" t="s">
        <v>2937</v>
      </c>
      <c r="AF35" s="14" t="s">
        <v>2821</v>
      </c>
      <c r="AG35" s="14" t="s">
        <v>2822</v>
      </c>
      <c r="AH35" s="14" t="s">
        <v>2823</v>
      </c>
      <c r="AI35" s="15">
        <v>1</v>
      </c>
      <c r="AJ35" s="879">
        <v>1381</v>
      </c>
      <c r="AK35" s="879">
        <v>170097.77</v>
      </c>
      <c r="AL35" s="884">
        <v>123.17</v>
      </c>
      <c r="AM35" s="885">
        <v>0.6789</v>
      </c>
      <c r="AN35" s="884">
        <v>21.07</v>
      </c>
      <c r="AO35" s="886">
        <v>4.6</v>
      </c>
      <c r="AP35" s="879">
        <v>5601</v>
      </c>
      <c r="AQ35" s="887">
        <v>0.0311</v>
      </c>
      <c r="AR35" s="879">
        <v>43</v>
      </c>
      <c r="AS35" s="888"/>
      <c r="AT35" s="15" t="s">
        <v>854</v>
      </c>
      <c r="AU35" s="15" t="s">
        <v>1233</v>
      </c>
      <c r="AV35" s="889">
        <v>1567</v>
      </c>
      <c r="AW35" s="889">
        <v>1</v>
      </c>
      <c r="AX35" s="889">
        <v>17</v>
      </c>
      <c r="AY35" s="14" t="s">
        <v>867</v>
      </c>
      <c r="AZ35" s="15" t="s">
        <v>65</v>
      </c>
      <c r="BA35" s="14" t="s">
        <v>65</v>
      </c>
      <c r="BB35" s="15" t="s">
        <v>856</v>
      </c>
      <c r="BC35" s="890" t="s">
        <v>937</v>
      </c>
      <c r="BD35" s="890" t="s">
        <v>1234</v>
      </c>
    </row>
    <row r="36" s="1" customFormat="1" ht="24" customHeight="1" spans="1:56">
      <c r="A36" s="15" t="str">
        <f>_xlfn.DISPIMG("ID_AAE88E8E58E24127872CEF24C45B9937",1)</f>
        <v>=DISPIMG("ID_AAE88E8E58E24127872CEF24C45B9937",1)</v>
      </c>
      <c r="B36" s="14" t="s">
        <v>1235</v>
      </c>
      <c r="C36" s="14" t="s">
        <v>1235</v>
      </c>
      <c r="D36" s="14" t="s">
        <v>65</v>
      </c>
      <c r="E36" s="14" t="s">
        <v>1236</v>
      </c>
      <c r="F36" s="14" t="s">
        <v>1237</v>
      </c>
      <c r="G36" s="14" t="s">
        <v>1238</v>
      </c>
      <c r="H36" s="14" t="s">
        <v>1239</v>
      </c>
      <c r="I36" s="14" t="s">
        <v>1240</v>
      </c>
      <c r="J36" s="15" t="s">
        <v>923</v>
      </c>
      <c r="K36" s="14" t="s">
        <v>850</v>
      </c>
      <c r="L36" s="14" t="s">
        <v>851</v>
      </c>
      <c r="M36" s="879">
        <v>6368</v>
      </c>
      <c r="N36" s="880" t="s">
        <v>852</v>
      </c>
      <c r="O36" s="881" t="s">
        <v>1241</v>
      </c>
      <c r="P36" s="13" t="s">
        <v>2852</v>
      </c>
      <c r="Q36" s="882">
        <v>17</v>
      </c>
      <c r="R36" s="882" t="s">
        <v>2875</v>
      </c>
      <c r="S36" s="882">
        <f t="shared" si="1"/>
        <v>16.082</v>
      </c>
      <c r="T36" s="882" t="s">
        <v>2876</v>
      </c>
      <c r="U36" s="13" t="s">
        <v>2835</v>
      </c>
      <c r="V36" s="13" t="s">
        <v>2836</v>
      </c>
      <c r="W36" s="13" t="s">
        <v>2938</v>
      </c>
      <c r="X36" s="13" t="s">
        <v>2828</v>
      </c>
      <c r="Y36" s="13" t="s">
        <v>2815</v>
      </c>
      <c r="Z36" s="883" t="s">
        <v>2817</v>
      </c>
      <c r="AA36" s="883" t="s">
        <v>2816</v>
      </c>
      <c r="AB36" s="883" t="s">
        <v>2816</v>
      </c>
      <c r="AC36" s="13" t="s">
        <v>2863</v>
      </c>
      <c r="AD36" s="13" t="s">
        <v>2896</v>
      </c>
      <c r="AE36" s="14" t="s">
        <v>2939</v>
      </c>
      <c r="AF36" s="14" t="s">
        <v>2900</v>
      </c>
      <c r="AG36" s="14" t="s">
        <v>2865</v>
      </c>
      <c r="AH36" s="14" t="s">
        <v>2823</v>
      </c>
      <c r="AI36" s="15">
        <v>1</v>
      </c>
      <c r="AJ36" s="879">
        <v>1341</v>
      </c>
      <c r="AK36" s="879">
        <v>107266.586</v>
      </c>
      <c r="AL36" s="884">
        <v>79.99</v>
      </c>
      <c r="AM36" s="885">
        <v>0.5761</v>
      </c>
      <c r="AN36" s="884">
        <v>21.91</v>
      </c>
      <c r="AO36" s="886">
        <v>4.3</v>
      </c>
      <c r="AP36" s="879">
        <v>1421</v>
      </c>
      <c r="AQ36" s="887">
        <v>0.0388</v>
      </c>
      <c r="AR36" s="879">
        <v>52</v>
      </c>
      <c r="AS36" s="888"/>
      <c r="AT36" s="15" t="s">
        <v>854</v>
      </c>
      <c r="AU36" s="15" t="s">
        <v>1242</v>
      </c>
      <c r="AV36" s="889">
        <v>847</v>
      </c>
      <c r="AW36" s="889">
        <v>1</v>
      </c>
      <c r="AX36" s="889">
        <v>2</v>
      </c>
      <c r="AY36" s="14" t="s">
        <v>65</v>
      </c>
      <c r="AZ36" s="15" t="s">
        <v>65</v>
      </c>
      <c r="BA36" s="14" t="s">
        <v>65</v>
      </c>
      <c r="BB36" s="15" t="s">
        <v>856</v>
      </c>
      <c r="BC36" s="890" t="s">
        <v>868</v>
      </c>
      <c r="BD36" s="890" t="s">
        <v>1243</v>
      </c>
    </row>
    <row r="37" s="1" customFormat="1" ht="24" customHeight="1" spans="1:56">
      <c r="A37" s="15" t="str">
        <f>_xlfn.DISPIMG("ID_EC8F5E1D8B5E43A7A8E6C0EC276E9523",1)</f>
        <v>=DISPIMG("ID_EC8F5E1D8B5E43A7A8E6C0EC276E9523",1)</v>
      </c>
      <c r="B37" s="14" t="s">
        <v>1244</v>
      </c>
      <c r="C37" s="14" t="s">
        <v>1244</v>
      </c>
      <c r="D37" s="14" t="s">
        <v>65</v>
      </c>
      <c r="E37" s="14" t="s">
        <v>1245</v>
      </c>
      <c r="F37" s="14" t="s">
        <v>1246</v>
      </c>
      <c r="G37" s="14" t="s">
        <v>1247</v>
      </c>
      <c r="H37" s="14" t="s">
        <v>1248</v>
      </c>
      <c r="I37" s="14" t="s">
        <v>1249</v>
      </c>
      <c r="J37" s="15" t="s">
        <v>974</v>
      </c>
      <c r="K37" s="14" t="s">
        <v>850</v>
      </c>
      <c r="L37" s="14" t="s">
        <v>851</v>
      </c>
      <c r="M37" s="879">
        <v>4417</v>
      </c>
      <c r="N37" s="880" t="s">
        <v>852</v>
      </c>
      <c r="O37" s="881" t="s">
        <v>1250</v>
      </c>
      <c r="P37" s="13" t="s">
        <v>2809</v>
      </c>
      <c r="Q37" s="882">
        <v>10</v>
      </c>
      <c r="R37" s="882" t="s">
        <v>2833</v>
      </c>
      <c r="S37" s="882">
        <f t="shared" si="1"/>
        <v>9.46</v>
      </c>
      <c r="T37" s="882" t="s">
        <v>2834</v>
      </c>
      <c r="U37" s="13" t="s">
        <v>2877</v>
      </c>
      <c r="V37" s="13" t="s">
        <v>2836</v>
      </c>
      <c r="W37" s="13" t="s">
        <v>2938</v>
      </c>
      <c r="X37" s="13" t="s">
        <v>2921</v>
      </c>
      <c r="Y37" s="894" t="s">
        <v>2829</v>
      </c>
      <c r="Z37" s="883" t="s">
        <v>2817</v>
      </c>
      <c r="AA37" s="883" t="s">
        <v>2817</v>
      </c>
      <c r="AB37" s="891" t="s">
        <v>2817</v>
      </c>
      <c r="AC37" s="13" t="s">
        <v>2922</v>
      </c>
      <c r="AD37" s="13" t="s">
        <v>2889</v>
      </c>
      <c r="AE37" s="14" t="s">
        <v>2871</v>
      </c>
      <c r="AF37" s="14" t="s">
        <v>2883</v>
      </c>
      <c r="AG37" s="14" t="s">
        <v>2865</v>
      </c>
      <c r="AH37" s="14" t="s">
        <v>2940</v>
      </c>
      <c r="AI37" s="15">
        <v>1</v>
      </c>
      <c r="AJ37" s="879">
        <v>985</v>
      </c>
      <c r="AK37" s="879">
        <v>196990.16</v>
      </c>
      <c r="AL37" s="884">
        <v>199.99</v>
      </c>
      <c r="AM37" s="885">
        <v>0.7677</v>
      </c>
      <c r="AN37" s="884">
        <v>16.45</v>
      </c>
      <c r="AO37" s="886">
        <v>4.3</v>
      </c>
      <c r="AP37" s="879">
        <v>167</v>
      </c>
      <c r="AQ37" s="887">
        <v>0</v>
      </c>
      <c r="AR37" s="879">
        <v>0</v>
      </c>
      <c r="AS37" s="888"/>
      <c r="AT37" s="15" t="s">
        <v>854</v>
      </c>
      <c r="AU37" s="15" t="s">
        <v>1251</v>
      </c>
      <c r="AV37" s="889">
        <v>186</v>
      </c>
      <c r="AW37" s="889">
        <v>1</v>
      </c>
      <c r="AX37" s="889">
        <v>1</v>
      </c>
      <c r="AY37" s="14" t="s">
        <v>65</v>
      </c>
      <c r="AZ37" s="15" t="s">
        <v>65</v>
      </c>
      <c r="BA37" s="14" t="s">
        <v>65</v>
      </c>
      <c r="BB37" s="15" t="s">
        <v>856</v>
      </c>
      <c r="BC37" s="890" t="s">
        <v>1252</v>
      </c>
      <c r="BD37" s="890" t="s">
        <v>1253</v>
      </c>
    </row>
    <row r="38" s="1" customFormat="1" ht="24" customHeight="1" spans="1:56">
      <c r="A38" s="15" t="str">
        <f>_xlfn.DISPIMG("ID_EFBFC06B2CA34CBEAE3BA64CC3E478CB",1)</f>
        <v>=DISPIMG("ID_EFBFC06B2CA34CBEAE3BA64CC3E478CB",1)</v>
      </c>
      <c r="B38" s="14" t="s">
        <v>1254</v>
      </c>
      <c r="C38" s="14" t="s">
        <v>1254</v>
      </c>
      <c r="D38" s="14" t="s">
        <v>65</v>
      </c>
      <c r="E38" s="14" t="s">
        <v>1255</v>
      </c>
      <c r="F38" s="14" t="s">
        <v>1256</v>
      </c>
      <c r="G38" s="14" t="s">
        <v>1132</v>
      </c>
      <c r="H38" s="14" t="s">
        <v>1257</v>
      </c>
      <c r="I38" s="14" t="s">
        <v>1258</v>
      </c>
      <c r="J38" s="15" t="s">
        <v>65</v>
      </c>
      <c r="K38" s="14" t="s">
        <v>850</v>
      </c>
      <c r="L38" s="14" t="s">
        <v>851</v>
      </c>
      <c r="M38" s="879">
        <v>6767</v>
      </c>
      <c r="N38" s="880" t="s">
        <v>852</v>
      </c>
      <c r="O38" s="881" t="s">
        <v>1241</v>
      </c>
      <c r="P38" s="13" t="s">
        <v>2809</v>
      </c>
      <c r="Q38" s="882">
        <v>7</v>
      </c>
      <c r="R38" s="882" t="s">
        <v>2941</v>
      </c>
      <c r="S38" s="882">
        <f t="shared" si="1"/>
        <v>6.622</v>
      </c>
      <c r="T38" s="882" t="s">
        <v>2942</v>
      </c>
      <c r="U38" s="13" t="s">
        <v>64</v>
      </c>
      <c r="V38" s="13" t="s">
        <v>2812</v>
      </c>
      <c r="W38" s="13" t="s">
        <v>2861</v>
      </c>
      <c r="X38" s="13" t="s">
        <v>2943</v>
      </c>
      <c r="Y38" s="894" t="s">
        <v>2815</v>
      </c>
      <c r="Z38" s="883" t="s">
        <v>2816</v>
      </c>
      <c r="AA38" s="883" t="s">
        <v>2817</v>
      </c>
      <c r="AB38" s="891" t="s">
        <v>2817</v>
      </c>
      <c r="AC38" s="13" t="s">
        <v>2944</v>
      </c>
      <c r="AD38" s="13" t="s">
        <v>2819</v>
      </c>
      <c r="AE38" s="14" t="s">
        <v>2880</v>
      </c>
      <c r="AF38" s="14" t="s">
        <v>2821</v>
      </c>
      <c r="AG38" s="14" t="s">
        <v>2865</v>
      </c>
      <c r="AH38" s="14" t="s">
        <v>2823</v>
      </c>
      <c r="AI38" s="15">
        <v>1</v>
      </c>
      <c r="AJ38" s="879">
        <v>922</v>
      </c>
      <c r="AK38" s="879">
        <v>166697.61</v>
      </c>
      <c r="AL38" s="884">
        <v>180.8</v>
      </c>
      <c r="AM38" s="885">
        <v>0.7242</v>
      </c>
      <c r="AN38" s="884">
        <v>22.75</v>
      </c>
      <c r="AO38" s="886">
        <v>4.5</v>
      </c>
      <c r="AP38" s="879">
        <v>2574</v>
      </c>
      <c r="AQ38" s="887">
        <v>0.0488</v>
      </c>
      <c r="AR38" s="879">
        <v>45</v>
      </c>
      <c r="AS38" s="888"/>
      <c r="AT38" s="15" t="s">
        <v>947</v>
      </c>
      <c r="AU38" s="15" t="s">
        <v>1259</v>
      </c>
      <c r="AV38" s="889">
        <v>1701</v>
      </c>
      <c r="AW38" s="889">
        <v>1</v>
      </c>
      <c r="AX38" s="889">
        <v>23</v>
      </c>
      <c r="AY38" s="14" t="s">
        <v>65</v>
      </c>
      <c r="AZ38" s="15" t="s">
        <v>65</v>
      </c>
      <c r="BA38" s="14" t="s">
        <v>65</v>
      </c>
      <c r="BB38" s="15" t="s">
        <v>856</v>
      </c>
      <c r="BC38" s="890" t="s">
        <v>878</v>
      </c>
      <c r="BD38" s="890" t="s">
        <v>1260</v>
      </c>
    </row>
    <row r="39" s="1" customFormat="1" ht="24" customHeight="1" spans="1:56">
      <c r="A39" s="15" t="str">
        <f>_xlfn.DISPIMG("ID_D74B9A3072A84714B66CE5C87FFCBA80",1)</f>
        <v>=DISPIMG("ID_D74B9A3072A84714B66CE5C87FFCBA80",1)</v>
      </c>
      <c r="B39" s="14" t="s">
        <v>1261</v>
      </c>
      <c r="C39" s="14" t="s">
        <v>1261</v>
      </c>
      <c r="D39" s="14" t="s">
        <v>65</v>
      </c>
      <c r="E39" s="14" t="s">
        <v>1262</v>
      </c>
      <c r="F39" s="14" t="s">
        <v>1263</v>
      </c>
      <c r="G39" s="14" t="s">
        <v>846</v>
      </c>
      <c r="H39" s="14" t="s">
        <v>1264</v>
      </c>
      <c r="I39" s="14" t="s">
        <v>1265</v>
      </c>
      <c r="J39" s="15" t="s">
        <v>934</v>
      </c>
      <c r="K39" s="14" t="s">
        <v>850</v>
      </c>
      <c r="L39" s="14" t="s">
        <v>851</v>
      </c>
      <c r="M39" s="879">
        <v>5911</v>
      </c>
      <c r="N39" s="880" t="s">
        <v>852</v>
      </c>
      <c r="O39" s="881" t="s">
        <v>1266</v>
      </c>
      <c r="P39" s="13" t="s">
        <v>2809</v>
      </c>
      <c r="Q39" s="882">
        <v>6.5</v>
      </c>
      <c r="R39" s="882" t="s">
        <v>2945</v>
      </c>
      <c r="S39" s="882">
        <f t="shared" si="1"/>
        <v>6.149</v>
      </c>
      <c r="T39" s="882" t="s">
        <v>2946</v>
      </c>
      <c r="U39" s="13" t="s">
        <v>2907</v>
      </c>
      <c r="V39" s="13" t="s">
        <v>2812</v>
      </c>
      <c r="W39" s="13" t="s">
        <v>2947</v>
      </c>
      <c r="X39" s="13" t="s">
        <v>2948</v>
      </c>
      <c r="Y39" s="894" t="s">
        <v>2815</v>
      </c>
      <c r="Z39" s="883" t="s">
        <v>2816</v>
      </c>
      <c r="AA39" s="883" t="s">
        <v>2817</v>
      </c>
      <c r="AB39" s="883" t="s">
        <v>2816</v>
      </c>
      <c r="AC39" s="13" t="s">
        <v>2818</v>
      </c>
      <c r="AD39" s="13" t="s">
        <v>2909</v>
      </c>
      <c r="AE39" s="14" t="s">
        <v>2924</v>
      </c>
      <c r="AF39" s="14" t="s">
        <v>2900</v>
      </c>
      <c r="AG39" s="14" t="s">
        <v>2822</v>
      </c>
      <c r="AH39" s="14" t="s">
        <v>2823</v>
      </c>
      <c r="AI39" s="15">
        <v>1</v>
      </c>
      <c r="AJ39" s="879">
        <v>1815</v>
      </c>
      <c r="AK39" s="879">
        <v>326681.88</v>
      </c>
      <c r="AL39" s="884">
        <v>179.99</v>
      </c>
      <c r="AM39" s="885">
        <v>0.7096</v>
      </c>
      <c r="AN39" s="884">
        <v>25.27</v>
      </c>
      <c r="AO39" s="886">
        <v>4.8</v>
      </c>
      <c r="AP39" s="879">
        <v>2738</v>
      </c>
      <c r="AQ39" s="887">
        <v>0.0512</v>
      </c>
      <c r="AR39" s="879">
        <v>93</v>
      </c>
      <c r="AS39" s="888"/>
      <c r="AT39" s="15" t="s">
        <v>1267</v>
      </c>
      <c r="AU39" s="15" t="s">
        <v>1268</v>
      </c>
      <c r="AV39" s="889">
        <v>896</v>
      </c>
      <c r="AW39" s="889">
        <v>1</v>
      </c>
      <c r="AX39" s="889">
        <v>4</v>
      </c>
      <c r="AY39" s="14" t="s">
        <v>867</v>
      </c>
      <c r="AZ39" s="15" t="s">
        <v>65</v>
      </c>
      <c r="BA39" s="14" t="s">
        <v>65</v>
      </c>
      <c r="BB39" s="15" t="s">
        <v>856</v>
      </c>
      <c r="BC39" s="890" t="s">
        <v>1269</v>
      </c>
      <c r="BD39" s="890" t="s">
        <v>1270</v>
      </c>
    </row>
    <row r="40" s="1" customFormat="1" ht="24" customHeight="1" spans="1:56">
      <c r="A40" s="15" t="str">
        <f>_xlfn.DISPIMG("ID_C4420D497CEE439CB44B54C9CDCD1365",1)</f>
        <v>=DISPIMG("ID_C4420D497CEE439CB44B54C9CDCD1365",1)</v>
      </c>
      <c r="B40" s="14" t="s">
        <v>705</v>
      </c>
      <c r="C40" s="14" t="s">
        <v>705</v>
      </c>
      <c r="D40" s="14" t="s">
        <v>65</v>
      </c>
      <c r="E40" s="14" t="s">
        <v>1271</v>
      </c>
      <c r="F40" s="14" t="s">
        <v>1272</v>
      </c>
      <c r="G40" s="14" t="s">
        <v>1059</v>
      </c>
      <c r="H40" s="14" t="s">
        <v>1273</v>
      </c>
      <c r="I40" s="14" t="s">
        <v>1274</v>
      </c>
      <c r="J40" s="15" t="s">
        <v>974</v>
      </c>
      <c r="K40" s="14" t="s">
        <v>850</v>
      </c>
      <c r="L40" s="14" t="s">
        <v>851</v>
      </c>
      <c r="M40" s="879">
        <v>5206</v>
      </c>
      <c r="N40" s="880" t="s">
        <v>852</v>
      </c>
      <c r="O40" s="881" t="s">
        <v>1275</v>
      </c>
      <c r="P40" s="13" t="s">
        <v>2809</v>
      </c>
      <c r="Q40" s="882">
        <v>2</v>
      </c>
      <c r="R40" s="882" t="s">
        <v>2914</v>
      </c>
      <c r="S40" s="882">
        <f t="shared" si="1"/>
        <v>1.892</v>
      </c>
      <c r="T40" s="882" t="s">
        <v>2915</v>
      </c>
      <c r="U40" s="13" t="s">
        <v>64</v>
      </c>
      <c r="V40" s="13" t="s">
        <v>2812</v>
      </c>
      <c r="W40" s="13" t="s">
        <v>2861</v>
      </c>
      <c r="X40" s="13" t="s">
        <v>2862</v>
      </c>
      <c r="Y40" s="13" t="s">
        <v>2949</v>
      </c>
      <c r="Z40" s="883" t="s">
        <v>2816</v>
      </c>
      <c r="AA40" s="883" t="s">
        <v>2816</v>
      </c>
      <c r="AB40" s="883" t="s">
        <v>2816</v>
      </c>
      <c r="AC40" s="13" t="s">
        <v>2863</v>
      </c>
      <c r="AD40" s="13" t="s">
        <v>2819</v>
      </c>
      <c r="AE40" s="14" t="s">
        <v>2916</v>
      </c>
      <c r="AF40" s="14" t="s">
        <v>2821</v>
      </c>
      <c r="AG40" s="14" t="s">
        <v>2822</v>
      </c>
      <c r="AH40" s="14" t="s">
        <v>2823</v>
      </c>
      <c r="AI40" s="15">
        <v>1</v>
      </c>
      <c r="AJ40" s="879">
        <v>837</v>
      </c>
      <c r="AK40" s="879">
        <v>40644.723</v>
      </c>
      <c r="AL40" s="884">
        <v>48.56</v>
      </c>
      <c r="AM40" s="885">
        <v>0.5545</v>
      </c>
      <c r="AN40" s="884">
        <v>14.35</v>
      </c>
      <c r="AO40" s="886">
        <v>4.6</v>
      </c>
      <c r="AP40" s="879">
        <v>17288</v>
      </c>
      <c r="AQ40" s="887">
        <v>0.1649</v>
      </c>
      <c r="AR40" s="879">
        <v>138</v>
      </c>
      <c r="AS40" s="879">
        <v>26</v>
      </c>
      <c r="AT40" s="15" t="s">
        <v>876</v>
      </c>
      <c r="AU40" s="15" t="s">
        <v>1276</v>
      </c>
      <c r="AV40" s="889">
        <v>1459</v>
      </c>
      <c r="AW40" s="889">
        <v>1</v>
      </c>
      <c r="AX40" s="889">
        <v>8</v>
      </c>
      <c r="AY40" s="14" t="s">
        <v>867</v>
      </c>
      <c r="AZ40" s="15" t="s">
        <v>65</v>
      </c>
      <c r="BA40" s="14" t="s">
        <v>65</v>
      </c>
      <c r="BB40" s="15" t="s">
        <v>856</v>
      </c>
      <c r="BC40" s="890" t="s">
        <v>1277</v>
      </c>
      <c r="BD40" s="890" t="s">
        <v>1278</v>
      </c>
    </row>
    <row r="41" s="1" customFormat="1" ht="24" customHeight="1" spans="1:56">
      <c r="A41" s="15" t="str">
        <f>_xlfn.DISPIMG("ID_5EF4F8B41D6F4D8D941029966DCF7200",1)</f>
        <v>=DISPIMG("ID_5EF4F8B41D6F4D8D941029966DCF7200",1)</v>
      </c>
      <c r="B41" s="14" t="s">
        <v>1279</v>
      </c>
      <c r="C41" s="14" t="s">
        <v>1279</v>
      </c>
      <c r="D41" s="14" t="s">
        <v>65</v>
      </c>
      <c r="E41" s="14" t="s">
        <v>1280</v>
      </c>
      <c r="F41" s="14" t="s">
        <v>1281</v>
      </c>
      <c r="G41" s="14" t="s">
        <v>1282</v>
      </c>
      <c r="H41" s="14" t="s">
        <v>1283</v>
      </c>
      <c r="I41" s="14" t="s">
        <v>1284</v>
      </c>
      <c r="J41" s="15" t="s">
        <v>934</v>
      </c>
      <c r="K41" s="14" t="s">
        <v>850</v>
      </c>
      <c r="L41" s="14" t="s">
        <v>851</v>
      </c>
      <c r="M41" s="879">
        <v>7484</v>
      </c>
      <c r="N41" s="880" t="s">
        <v>852</v>
      </c>
      <c r="O41" s="881" t="s">
        <v>1285</v>
      </c>
      <c r="P41" s="13" t="s">
        <v>2809</v>
      </c>
      <c r="Q41" s="882">
        <v>4.2</v>
      </c>
      <c r="R41" s="882" t="s">
        <v>2926</v>
      </c>
      <c r="S41" s="882">
        <f t="shared" si="1"/>
        <v>3.9732</v>
      </c>
      <c r="T41" s="882" t="s">
        <v>2927</v>
      </c>
      <c r="U41" s="13" t="s">
        <v>64</v>
      </c>
      <c r="V41" s="13" t="s">
        <v>2812</v>
      </c>
      <c r="W41" s="13" t="s">
        <v>2843</v>
      </c>
      <c r="X41" s="13" t="s">
        <v>2950</v>
      </c>
      <c r="Y41" s="894" t="s">
        <v>2815</v>
      </c>
      <c r="Z41" s="883" t="s">
        <v>2816</v>
      </c>
      <c r="AA41" s="883" t="s">
        <v>2816</v>
      </c>
      <c r="AB41" s="883" t="s">
        <v>2816</v>
      </c>
      <c r="AC41" s="13" t="s">
        <v>2863</v>
      </c>
      <c r="AD41" s="13" t="s">
        <v>2819</v>
      </c>
      <c r="AE41" s="14" t="s">
        <v>2916</v>
      </c>
      <c r="AF41" s="14" t="s">
        <v>2867</v>
      </c>
      <c r="AG41" s="14" t="s">
        <v>2865</v>
      </c>
      <c r="AH41" s="14" t="s">
        <v>2940</v>
      </c>
      <c r="AI41" s="15">
        <v>1</v>
      </c>
      <c r="AJ41" s="879">
        <v>1962</v>
      </c>
      <c r="AK41" s="879">
        <v>88074.18</v>
      </c>
      <c r="AL41" s="884">
        <v>44.89</v>
      </c>
      <c r="AM41" s="885">
        <v>0.5023</v>
      </c>
      <c r="AN41" s="884">
        <v>15.61</v>
      </c>
      <c r="AO41" s="886">
        <v>4.3</v>
      </c>
      <c r="AP41" s="879">
        <v>274</v>
      </c>
      <c r="AQ41" s="887">
        <v>0.0311</v>
      </c>
      <c r="AR41" s="879">
        <v>61</v>
      </c>
      <c r="AS41" s="888"/>
      <c r="AT41" s="15" t="s">
        <v>854</v>
      </c>
      <c r="AU41" s="15" t="s">
        <v>1286</v>
      </c>
      <c r="AV41" s="889">
        <v>385</v>
      </c>
      <c r="AW41" s="889">
        <v>1</v>
      </c>
      <c r="AX41" s="889">
        <v>1</v>
      </c>
      <c r="AY41" s="14" t="s">
        <v>1287</v>
      </c>
      <c r="AZ41" s="15" t="s">
        <v>1288</v>
      </c>
      <c r="BA41" s="14" t="s">
        <v>1289</v>
      </c>
      <c r="BB41" s="15" t="s">
        <v>856</v>
      </c>
      <c r="BC41" s="890" t="s">
        <v>1290</v>
      </c>
      <c r="BD41" s="890" t="s">
        <v>1291</v>
      </c>
    </row>
    <row r="42" s="1" customFormat="1" ht="24" customHeight="1" spans="1:56">
      <c r="A42" s="15" t="str">
        <f>_xlfn.DISPIMG("ID_14E7B489EDAE46A0A68C009239BF162A",1)</f>
        <v>=DISPIMG("ID_14E7B489EDAE46A0A68C009239BF162A",1)</v>
      </c>
      <c r="B42" s="14" t="s">
        <v>286</v>
      </c>
      <c r="C42" s="14" t="s">
        <v>286</v>
      </c>
      <c r="D42" s="14" t="s">
        <v>65</v>
      </c>
      <c r="E42" s="14" t="s">
        <v>1292</v>
      </c>
      <c r="F42" s="14" t="s">
        <v>1293</v>
      </c>
      <c r="G42" s="14" t="s">
        <v>861</v>
      </c>
      <c r="H42" s="14" t="s">
        <v>1294</v>
      </c>
      <c r="I42" s="14" t="s">
        <v>1295</v>
      </c>
      <c r="J42" s="15" t="s">
        <v>849</v>
      </c>
      <c r="K42" s="14" t="s">
        <v>850</v>
      </c>
      <c r="L42" s="14" t="s">
        <v>851</v>
      </c>
      <c r="M42" s="879">
        <v>4518</v>
      </c>
      <c r="N42" s="880" t="s">
        <v>852</v>
      </c>
      <c r="O42" s="881" t="s">
        <v>1296</v>
      </c>
      <c r="P42" s="13" t="s">
        <v>2809</v>
      </c>
      <c r="Q42" s="882">
        <v>26.4</v>
      </c>
      <c r="R42" s="882" t="s">
        <v>2897</v>
      </c>
      <c r="S42" s="882">
        <f t="shared" si="1"/>
        <v>24.9744</v>
      </c>
      <c r="T42" s="882" t="s">
        <v>2898</v>
      </c>
      <c r="U42" s="13" t="s">
        <v>2877</v>
      </c>
      <c r="V42" s="13" t="s">
        <v>2836</v>
      </c>
      <c r="W42" s="13" t="s">
        <v>2849</v>
      </c>
      <c r="X42" s="13" t="s">
        <v>2874</v>
      </c>
      <c r="Y42" s="894" t="s">
        <v>2829</v>
      </c>
      <c r="Z42" s="883" t="s">
        <v>2817</v>
      </c>
      <c r="AA42" s="883" t="s">
        <v>2817</v>
      </c>
      <c r="AB42" s="883" t="s">
        <v>2817</v>
      </c>
      <c r="AC42" s="13" t="s">
        <v>2951</v>
      </c>
      <c r="AD42" s="13" t="s">
        <v>2889</v>
      </c>
      <c r="AE42" s="14" t="s">
        <v>2887</v>
      </c>
      <c r="AF42" s="14" t="s">
        <v>2900</v>
      </c>
      <c r="AG42" s="14" t="s">
        <v>2822</v>
      </c>
      <c r="AH42" s="14" t="s">
        <v>2823</v>
      </c>
      <c r="AI42" s="15">
        <v>1</v>
      </c>
      <c r="AJ42" s="879">
        <v>1850</v>
      </c>
      <c r="AK42" s="879">
        <v>277481.5</v>
      </c>
      <c r="AL42" s="884">
        <v>149.99</v>
      </c>
      <c r="AM42" s="885">
        <v>0.6283</v>
      </c>
      <c r="AN42" s="884">
        <v>33.25</v>
      </c>
      <c r="AO42" s="886">
        <v>4.6</v>
      </c>
      <c r="AP42" s="879">
        <v>5162</v>
      </c>
      <c r="AQ42" s="887">
        <v>0.2941</v>
      </c>
      <c r="AR42" s="879">
        <v>544</v>
      </c>
      <c r="AS42" s="879">
        <v>427</v>
      </c>
      <c r="AT42" s="15" t="s">
        <v>947</v>
      </c>
      <c r="AU42" s="15" t="s">
        <v>1297</v>
      </c>
      <c r="AV42" s="889">
        <v>856</v>
      </c>
      <c r="AW42" s="889">
        <v>1</v>
      </c>
      <c r="AX42" s="889">
        <v>1</v>
      </c>
      <c r="AY42" s="14" t="s">
        <v>65</v>
      </c>
      <c r="AZ42" s="15" t="s">
        <v>65</v>
      </c>
      <c r="BA42" s="14" t="s">
        <v>65</v>
      </c>
      <c r="BB42" s="15" t="s">
        <v>856</v>
      </c>
      <c r="BC42" s="890" t="s">
        <v>1298</v>
      </c>
      <c r="BD42" s="890" t="s">
        <v>1055</v>
      </c>
    </row>
    <row r="43" s="1" customFormat="1" ht="24" customHeight="1" spans="1:56">
      <c r="A43" s="15" t="str">
        <f>_xlfn.DISPIMG("ID_FFEEF59C9E28452A81B58E12345A3D91",1)</f>
        <v>=DISPIMG("ID_FFEEF59C9E28452A81B58E12345A3D91",1)</v>
      </c>
      <c r="B43" s="14" t="s">
        <v>1299</v>
      </c>
      <c r="C43" s="14" t="s">
        <v>1299</v>
      </c>
      <c r="D43" s="14" t="s">
        <v>65</v>
      </c>
      <c r="E43" s="14" t="s">
        <v>1300</v>
      </c>
      <c r="F43" s="14" t="s">
        <v>1301</v>
      </c>
      <c r="G43" s="14" t="s">
        <v>1302</v>
      </c>
      <c r="H43" s="14" t="s">
        <v>1303</v>
      </c>
      <c r="I43" s="14" t="s">
        <v>1304</v>
      </c>
      <c r="J43" s="15" t="s">
        <v>934</v>
      </c>
      <c r="K43" s="14" t="s">
        <v>850</v>
      </c>
      <c r="L43" s="14" t="s">
        <v>851</v>
      </c>
      <c r="M43" s="879">
        <v>4762</v>
      </c>
      <c r="N43" s="880" t="s">
        <v>852</v>
      </c>
      <c r="O43" s="881" t="s">
        <v>1305</v>
      </c>
      <c r="P43" s="13" t="s">
        <v>2852</v>
      </c>
      <c r="Q43" s="882">
        <v>7</v>
      </c>
      <c r="R43" s="882" t="s">
        <v>2941</v>
      </c>
      <c r="S43" s="882">
        <f t="shared" si="1"/>
        <v>6.622</v>
      </c>
      <c r="T43" s="882" t="s">
        <v>2942</v>
      </c>
      <c r="U43" s="13" t="s">
        <v>64</v>
      </c>
      <c r="V43" s="13" t="s">
        <v>2812</v>
      </c>
      <c r="W43" s="13" t="s">
        <v>2849</v>
      </c>
      <c r="X43" s="13" t="s">
        <v>2844</v>
      </c>
      <c r="Y43" s="13" t="s">
        <v>2815</v>
      </c>
      <c r="Z43" s="883" t="s">
        <v>2816</v>
      </c>
      <c r="AA43" s="883" t="s">
        <v>2817</v>
      </c>
      <c r="AB43" s="883" t="s">
        <v>2816</v>
      </c>
      <c r="AC43" s="13" t="s">
        <v>2818</v>
      </c>
      <c r="AD43" s="13" t="s">
        <v>2819</v>
      </c>
      <c r="AE43" s="14" t="s">
        <v>2939</v>
      </c>
      <c r="AF43" s="14" t="s">
        <v>2831</v>
      </c>
      <c r="AG43" s="14" t="s">
        <v>2822</v>
      </c>
      <c r="AH43" s="14" t="s">
        <v>2823</v>
      </c>
      <c r="AI43" s="15">
        <v>1</v>
      </c>
      <c r="AJ43" s="879">
        <v>1583</v>
      </c>
      <c r="AK43" s="879">
        <v>126624.164</v>
      </c>
      <c r="AL43" s="884">
        <v>79.99</v>
      </c>
      <c r="AM43" s="885">
        <v>0.5919</v>
      </c>
      <c r="AN43" s="884">
        <v>20.65</v>
      </c>
      <c r="AO43" s="886">
        <v>4.7</v>
      </c>
      <c r="AP43" s="879">
        <v>2411</v>
      </c>
      <c r="AQ43" s="887">
        <v>0.0537</v>
      </c>
      <c r="AR43" s="879">
        <v>85</v>
      </c>
      <c r="AS43" s="888"/>
      <c r="AT43" s="15" t="s">
        <v>876</v>
      </c>
      <c r="AU43" s="15" t="s">
        <v>1306</v>
      </c>
      <c r="AV43" s="889">
        <v>710</v>
      </c>
      <c r="AW43" s="889">
        <v>1</v>
      </c>
      <c r="AX43" s="889">
        <v>15</v>
      </c>
      <c r="AY43" s="14" t="s">
        <v>1307</v>
      </c>
      <c r="AZ43" s="15" t="s">
        <v>65</v>
      </c>
      <c r="BA43" s="14" t="s">
        <v>1308</v>
      </c>
      <c r="BB43" s="15" t="s">
        <v>856</v>
      </c>
      <c r="BC43" s="890" t="s">
        <v>1309</v>
      </c>
      <c r="BD43" s="890" t="s">
        <v>1310</v>
      </c>
    </row>
    <row r="44" s="1" customFormat="1" ht="24" customHeight="1" spans="1:56">
      <c r="A44" s="15" t="str">
        <f>_xlfn.DISPIMG("ID_8B9E104DF27F4DD8830F9911E91369FC",1)</f>
        <v>=DISPIMG("ID_8B9E104DF27F4DD8830F9911E91369FC",1)</v>
      </c>
      <c r="B44" s="14" t="s">
        <v>1320</v>
      </c>
      <c r="C44" s="14" t="s">
        <v>1320</v>
      </c>
      <c r="D44" s="14" t="s">
        <v>65</v>
      </c>
      <c r="E44" s="14" t="s">
        <v>1321</v>
      </c>
      <c r="F44" s="14" t="s">
        <v>1322</v>
      </c>
      <c r="G44" s="14" t="s">
        <v>1323</v>
      </c>
      <c r="H44" s="14" t="s">
        <v>1324</v>
      </c>
      <c r="I44" s="14" t="s">
        <v>1325</v>
      </c>
      <c r="J44" s="15" t="s">
        <v>849</v>
      </c>
      <c r="K44" s="14" t="s">
        <v>1326</v>
      </c>
      <c r="L44" s="14" t="s">
        <v>851</v>
      </c>
      <c r="M44" s="879">
        <v>6666</v>
      </c>
      <c r="N44" s="880" t="s">
        <v>1327</v>
      </c>
      <c r="O44" s="881" t="s">
        <v>1328</v>
      </c>
      <c r="P44" s="13" t="s">
        <v>2852</v>
      </c>
      <c r="Q44" s="882">
        <v>17</v>
      </c>
      <c r="R44" s="882" t="s">
        <v>2875</v>
      </c>
      <c r="S44" s="882">
        <f t="shared" si="1"/>
        <v>16.082</v>
      </c>
      <c r="T44" s="882" t="s">
        <v>2876</v>
      </c>
      <c r="U44" s="13" t="s">
        <v>2877</v>
      </c>
      <c r="V44" s="13" t="s">
        <v>2836</v>
      </c>
      <c r="W44" s="13" t="s">
        <v>2938</v>
      </c>
      <c r="X44" s="13" t="s">
        <v>2874</v>
      </c>
      <c r="Y44" s="894" t="s">
        <v>2829</v>
      </c>
      <c r="Z44" s="883" t="s">
        <v>2817</v>
      </c>
      <c r="AA44" s="883" t="s">
        <v>2817</v>
      </c>
      <c r="AB44" s="883" t="s">
        <v>2816</v>
      </c>
      <c r="AC44" s="13" t="s">
        <v>2912</v>
      </c>
      <c r="AD44" s="13" t="s">
        <v>2896</v>
      </c>
      <c r="AE44" s="14" t="s">
        <v>2830</v>
      </c>
      <c r="AF44" s="14" t="s">
        <v>2883</v>
      </c>
      <c r="AG44" s="14" t="s">
        <v>2865</v>
      </c>
      <c r="AH44" s="14" t="s">
        <v>2823</v>
      </c>
      <c r="AI44" s="15">
        <v>1</v>
      </c>
      <c r="AJ44" s="879">
        <v>936</v>
      </c>
      <c r="AK44" s="879">
        <v>93590.64</v>
      </c>
      <c r="AL44" s="884">
        <v>99.99</v>
      </c>
      <c r="AM44" s="885">
        <v>0.5259</v>
      </c>
      <c r="AN44" s="884">
        <v>32.41</v>
      </c>
      <c r="AO44" s="886">
        <v>4.4</v>
      </c>
      <c r="AP44" s="879">
        <v>1109</v>
      </c>
      <c r="AQ44" s="887">
        <v>0.0342</v>
      </c>
      <c r="AR44" s="879">
        <v>32</v>
      </c>
      <c r="AS44" s="888"/>
      <c r="AT44" s="15" t="s">
        <v>854</v>
      </c>
      <c r="AU44" s="15" t="s">
        <v>1329</v>
      </c>
      <c r="AV44" s="889">
        <v>348</v>
      </c>
      <c r="AW44" s="889">
        <v>1</v>
      </c>
      <c r="AX44" s="889">
        <v>3</v>
      </c>
      <c r="AY44" s="14" t="s">
        <v>1330</v>
      </c>
      <c r="AZ44" s="15" t="s">
        <v>65</v>
      </c>
      <c r="BA44" s="14" t="s">
        <v>1331</v>
      </c>
      <c r="BB44" s="15" t="s">
        <v>856</v>
      </c>
      <c r="BC44" s="890" t="s">
        <v>1332</v>
      </c>
      <c r="BD44" s="890" t="s">
        <v>1333</v>
      </c>
    </row>
    <row r="45" s="1" customFormat="1" ht="24" customHeight="1" spans="1:56">
      <c r="A45" s="15" t="str">
        <f>_xlfn.DISPIMG("ID_1DC3B922AC8C44E1AED1D10E68582928",1)</f>
        <v>=DISPIMG("ID_1DC3B922AC8C44E1AED1D10E68582928",1)</v>
      </c>
      <c r="B45" s="14" t="s">
        <v>1334</v>
      </c>
      <c r="C45" s="14" t="s">
        <v>1334</v>
      </c>
      <c r="D45" s="14" t="s">
        <v>65</v>
      </c>
      <c r="E45" s="14" t="s">
        <v>1335</v>
      </c>
      <c r="F45" s="14" t="s">
        <v>1336</v>
      </c>
      <c r="G45" s="14" t="s">
        <v>861</v>
      </c>
      <c r="H45" s="14" t="s">
        <v>1337</v>
      </c>
      <c r="I45" s="14" t="s">
        <v>1338</v>
      </c>
      <c r="J45" s="15" t="s">
        <v>864</v>
      </c>
      <c r="K45" s="14" t="s">
        <v>850</v>
      </c>
      <c r="L45" s="14" t="s">
        <v>851</v>
      </c>
      <c r="M45" s="879">
        <v>6184</v>
      </c>
      <c r="N45" s="880" t="s">
        <v>1339</v>
      </c>
      <c r="O45" s="881" t="s">
        <v>1340</v>
      </c>
      <c r="P45" s="13" t="s">
        <v>2852</v>
      </c>
      <c r="Q45" s="882">
        <v>30</v>
      </c>
      <c r="R45" s="882" t="s">
        <v>2952</v>
      </c>
      <c r="S45" s="882">
        <f t="shared" si="1"/>
        <v>28.38</v>
      </c>
      <c r="T45" s="882" t="s">
        <v>2953</v>
      </c>
      <c r="U45" s="13" t="s">
        <v>2877</v>
      </c>
      <c r="V45" s="13" t="s">
        <v>2836</v>
      </c>
      <c r="W45" s="13" t="s">
        <v>2849</v>
      </c>
      <c r="X45" s="13" t="s">
        <v>2874</v>
      </c>
      <c r="Y45" s="894" t="s">
        <v>2829</v>
      </c>
      <c r="Z45" s="883" t="s">
        <v>2817</v>
      </c>
      <c r="AA45" s="883" t="s">
        <v>2817</v>
      </c>
      <c r="AB45" s="883" t="s">
        <v>2816</v>
      </c>
      <c r="AC45" s="13" t="s">
        <v>2912</v>
      </c>
      <c r="AD45" s="13" t="s">
        <v>2896</v>
      </c>
      <c r="AE45" s="14" t="s">
        <v>2880</v>
      </c>
      <c r="AF45" s="14" t="s">
        <v>2821</v>
      </c>
      <c r="AG45" s="14" t="s">
        <v>2865</v>
      </c>
      <c r="AH45" s="14" t="s">
        <v>2823</v>
      </c>
      <c r="AI45" s="15">
        <v>1</v>
      </c>
      <c r="AJ45" s="879">
        <v>1895</v>
      </c>
      <c r="AK45" s="879">
        <v>360031.06</v>
      </c>
      <c r="AL45" s="884">
        <v>189.99</v>
      </c>
      <c r="AM45" s="885">
        <v>0.6772</v>
      </c>
      <c r="AN45" s="884">
        <v>32.83</v>
      </c>
      <c r="AO45" s="886">
        <v>4.5</v>
      </c>
      <c r="AP45" s="879">
        <v>10554</v>
      </c>
      <c r="AQ45" s="887">
        <v>0.0686</v>
      </c>
      <c r="AR45" s="879">
        <v>130</v>
      </c>
      <c r="AS45" s="888"/>
      <c r="AT45" s="15" t="s">
        <v>854</v>
      </c>
      <c r="AU45" s="15" t="s">
        <v>1341</v>
      </c>
      <c r="AV45" s="889">
        <v>1303</v>
      </c>
      <c r="AW45" s="889">
        <v>1</v>
      </c>
      <c r="AX45" s="889">
        <v>3</v>
      </c>
      <c r="AY45" s="14" t="s">
        <v>867</v>
      </c>
      <c r="AZ45" s="15" t="s">
        <v>65</v>
      </c>
      <c r="BA45" s="14" t="s">
        <v>65</v>
      </c>
      <c r="BB45" s="15" t="s">
        <v>856</v>
      </c>
      <c r="BC45" s="890" t="s">
        <v>1342</v>
      </c>
      <c r="BD45" s="890" t="s">
        <v>1343</v>
      </c>
    </row>
    <row r="46" s="1" customFormat="1" ht="24" customHeight="1" spans="1:56">
      <c r="A46" s="15" t="str">
        <f>_xlfn.DISPIMG("ID_14C66A68CCD44D66B23E9F77B6546631",1)</f>
        <v>=DISPIMG("ID_14C66A68CCD44D66B23E9F77B6546631",1)</v>
      </c>
      <c r="B46" s="14" t="s">
        <v>1344</v>
      </c>
      <c r="C46" s="14" t="s">
        <v>1344</v>
      </c>
      <c r="D46" s="14" t="s">
        <v>65</v>
      </c>
      <c r="E46" s="14" t="s">
        <v>1345</v>
      </c>
      <c r="F46" s="14" t="s">
        <v>1346</v>
      </c>
      <c r="G46" s="14" t="s">
        <v>1173</v>
      </c>
      <c r="H46" s="14" t="s">
        <v>1347</v>
      </c>
      <c r="I46" s="14" t="s">
        <v>1348</v>
      </c>
      <c r="J46" s="15" t="s">
        <v>934</v>
      </c>
      <c r="K46" s="14" t="s">
        <v>850</v>
      </c>
      <c r="L46" s="14" t="s">
        <v>851</v>
      </c>
      <c r="M46" s="879">
        <v>6281</v>
      </c>
      <c r="N46" s="880" t="s">
        <v>852</v>
      </c>
      <c r="O46" s="881" t="s">
        <v>1349</v>
      </c>
      <c r="P46" s="13" t="s">
        <v>2809</v>
      </c>
      <c r="Q46" s="882">
        <v>7</v>
      </c>
      <c r="R46" s="882" t="s">
        <v>2941</v>
      </c>
      <c r="S46" s="882">
        <f t="shared" si="1"/>
        <v>6.622</v>
      </c>
      <c r="T46" s="882" t="s">
        <v>2942</v>
      </c>
      <c r="U46" s="13" t="s">
        <v>64</v>
      </c>
      <c r="V46" s="13" t="s">
        <v>2812</v>
      </c>
      <c r="W46" s="13" t="s">
        <v>2878</v>
      </c>
      <c r="X46" s="13" t="s">
        <v>2844</v>
      </c>
      <c r="Y46" s="13" t="s">
        <v>2815</v>
      </c>
      <c r="Z46" s="883" t="s">
        <v>2816</v>
      </c>
      <c r="AA46" s="883" t="s">
        <v>2817</v>
      </c>
      <c r="AB46" s="883" t="s">
        <v>2816</v>
      </c>
      <c r="AC46" s="13" t="s">
        <v>2818</v>
      </c>
      <c r="AD46" s="13" t="s">
        <v>2819</v>
      </c>
      <c r="AE46" s="14" t="s">
        <v>2906</v>
      </c>
      <c r="AF46" s="14" t="s">
        <v>2821</v>
      </c>
      <c r="AG46" s="14" t="s">
        <v>2822</v>
      </c>
      <c r="AH46" s="14" t="s">
        <v>2823</v>
      </c>
      <c r="AI46" s="15">
        <v>1</v>
      </c>
      <c r="AJ46" s="879">
        <v>1535</v>
      </c>
      <c r="AK46" s="879">
        <v>184184.64</v>
      </c>
      <c r="AL46" s="884">
        <v>119.99</v>
      </c>
      <c r="AM46" s="885">
        <v>0.6814</v>
      </c>
      <c r="AN46" s="884">
        <v>20.23</v>
      </c>
      <c r="AO46" s="886">
        <v>4.7</v>
      </c>
      <c r="AP46" s="879">
        <v>15447</v>
      </c>
      <c r="AQ46" s="887">
        <v>0.058</v>
      </c>
      <c r="AR46" s="879">
        <v>89</v>
      </c>
      <c r="AS46" s="888"/>
      <c r="AT46" s="15" t="s">
        <v>876</v>
      </c>
      <c r="AU46" s="15" t="s">
        <v>1350</v>
      </c>
      <c r="AV46" s="889">
        <v>1242</v>
      </c>
      <c r="AW46" s="889">
        <v>1</v>
      </c>
      <c r="AX46" s="889">
        <v>1</v>
      </c>
      <c r="AY46" s="14" t="s">
        <v>867</v>
      </c>
      <c r="AZ46" s="15" t="s">
        <v>65</v>
      </c>
      <c r="BA46" s="14" t="s">
        <v>65</v>
      </c>
      <c r="BB46" s="15" t="s">
        <v>856</v>
      </c>
      <c r="BC46" s="890" t="s">
        <v>1351</v>
      </c>
      <c r="BD46" s="890" t="s">
        <v>1352</v>
      </c>
    </row>
    <row r="47" s="1" customFormat="1" ht="24" customHeight="1" spans="1:56">
      <c r="A47" s="15" t="str">
        <f>_xlfn.DISPIMG("ID_A5C88BD34EDF4F8F84ED339150119AA7",1)</f>
        <v>=DISPIMG("ID_A5C88BD34EDF4F8F84ED339150119AA7",1)</v>
      </c>
      <c r="B47" s="14" t="s">
        <v>1353</v>
      </c>
      <c r="C47" s="14" t="s">
        <v>1353</v>
      </c>
      <c r="D47" s="14" t="s">
        <v>65</v>
      </c>
      <c r="E47" s="14" t="s">
        <v>1354</v>
      </c>
      <c r="F47" s="14" t="s">
        <v>1355</v>
      </c>
      <c r="G47" s="14" t="s">
        <v>971</v>
      </c>
      <c r="H47" s="14" t="s">
        <v>1356</v>
      </c>
      <c r="I47" s="14" t="s">
        <v>1357</v>
      </c>
      <c r="J47" s="15" t="s">
        <v>974</v>
      </c>
      <c r="K47" s="14" t="s">
        <v>850</v>
      </c>
      <c r="L47" s="14" t="s">
        <v>851</v>
      </c>
      <c r="M47" s="879">
        <v>6440</v>
      </c>
      <c r="N47" s="880" t="s">
        <v>852</v>
      </c>
      <c r="O47" s="881" t="s">
        <v>1358</v>
      </c>
      <c r="P47" s="13" t="s">
        <v>2809</v>
      </c>
      <c r="Q47" s="882">
        <v>8</v>
      </c>
      <c r="R47" s="882" t="s">
        <v>2869</v>
      </c>
      <c r="S47" s="882">
        <f t="shared" si="1"/>
        <v>7.568</v>
      </c>
      <c r="T47" s="882" t="s">
        <v>2870</v>
      </c>
      <c r="U47" s="13" t="s">
        <v>64</v>
      </c>
      <c r="V47" s="13" t="s">
        <v>2812</v>
      </c>
      <c r="W47" s="13" t="s">
        <v>2894</v>
      </c>
      <c r="X47" s="13" t="s">
        <v>2874</v>
      </c>
      <c r="Y47" s="13" t="s">
        <v>2815</v>
      </c>
      <c r="Z47" s="883" t="s">
        <v>2816</v>
      </c>
      <c r="AA47" s="883" t="s">
        <v>2817</v>
      </c>
      <c r="AB47" s="883" t="s">
        <v>2817</v>
      </c>
      <c r="AC47" s="13" t="s">
        <v>2922</v>
      </c>
      <c r="AD47" s="13" t="s">
        <v>2850</v>
      </c>
      <c r="AE47" s="14" t="s">
        <v>2840</v>
      </c>
      <c r="AF47" s="14" t="s">
        <v>2851</v>
      </c>
      <c r="AG47" s="14" t="s">
        <v>2865</v>
      </c>
      <c r="AH47" s="14" t="s">
        <v>2823</v>
      </c>
      <c r="AI47" s="15">
        <v>1</v>
      </c>
      <c r="AJ47" s="879">
        <v>1712</v>
      </c>
      <c r="AK47" s="879">
        <v>178048</v>
      </c>
      <c r="AL47" s="884">
        <v>104</v>
      </c>
      <c r="AM47" s="885">
        <v>0.6555</v>
      </c>
      <c r="AN47" s="884">
        <v>20.23</v>
      </c>
      <c r="AO47" s="886">
        <v>4.5</v>
      </c>
      <c r="AP47" s="879">
        <v>7450</v>
      </c>
      <c r="AQ47" s="887">
        <v>0.0567</v>
      </c>
      <c r="AR47" s="879">
        <v>97</v>
      </c>
      <c r="AS47" s="888"/>
      <c r="AT47" s="15" t="s">
        <v>947</v>
      </c>
      <c r="AU47" s="15" t="s">
        <v>1359</v>
      </c>
      <c r="AV47" s="889">
        <v>1027</v>
      </c>
      <c r="AW47" s="889">
        <v>1</v>
      </c>
      <c r="AX47" s="889">
        <v>2</v>
      </c>
      <c r="AY47" s="14" t="s">
        <v>867</v>
      </c>
      <c r="AZ47" s="15" t="s">
        <v>65</v>
      </c>
      <c r="BA47" s="14" t="s">
        <v>65</v>
      </c>
      <c r="BB47" s="15" t="s">
        <v>856</v>
      </c>
      <c r="BC47" s="890" t="s">
        <v>1360</v>
      </c>
      <c r="BD47" s="890" t="s">
        <v>1361</v>
      </c>
    </row>
    <row r="48" s="1" customFormat="1" ht="24" customHeight="1" spans="1:56">
      <c r="A48" s="15" t="str">
        <f>_xlfn.DISPIMG("ID_DF255A0C652948E2806FD4AAEF1D7897",1)</f>
        <v>=DISPIMG("ID_DF255A0C652948E2806FD4AAEF1D7897",1)</v>
      </c>
      <c r="B48" s="14" t="s">
        <v>206</v>
      </c>
      <c r="C48" s="14" t="s">
        <v>206</v>
      </c>
      <c r="D48" s="14" t="s">
        <v>65</v>
      </c>
      <c r="E48" s="14" t="s">
        <v>1362</v>
      </c>
      <c r="F48" s="14" t="s">
        <v>1363</v>
      </c>
      <c r="G48" s="14" t="s">
        <v>1364</v>
      </c>
      <c r="H48" s="14" t="s">
        <v>1365</v>
      </c>
      <c r="I48" s="14" t="s">
        <v>1366</v>
      </c>
      <c r="J48" s="15" t="s">
        <v>934</v>
      </c>
      <c r="K48" s="14" t="s">
        <v>850</v>
      </c>
      <c r="L48" s="14" t="s">
        <v>851</v>
      </c>
      <c r="M48" s="879">
        <v>6473</v>
      </c>
      <c r="N48" s="880" t="s">
        <v>852</v>
      </c>
      <c r="O48" s="881" t="s">
        <v>1367</v>
      </c>
      <c r="P48" s="13" t="s">
        <v>2809</v>
      </c>
      <c r="Q48" s="882">
        <v>6.8</v>
      </c>
      <c r="R48" s="882" t="s">
        <v>2954</v>
      </c>
      <c r="S48" s="882">
        <f t="shared" si="1"/>
        <v>6.4328</v>
      </c>
      <c r="T48" s="882" t="s">
        <v>2955</v>
      </c>
      <c r="U48" s="13" t="s">
        <v>64</v>
      </c>
      <c r="V48" s="13" t="s">
        <v>2812</v>
      </c>
      <c r="W48" s="13" t="s">
        <v>2947</v>
      </c>
      <c r="X48" s="13" t="s">
        <v>2828</v>
      </c>
      <c r="Y48" s="894" t="s">
        <v>2829</v>
      </c>
      <c r="Z48" s="883" t="s">
        <v>2817</v>
      </c>
      <c r="AA48" s="883" t="s">
        <v>2817</v>
      </c>
      <c r="AB48" s="883" t="s">
        <v>2816</v>
      </c>
      <c r="AC48" s="13" t="s">
        <v>2818</v>
      </c>
      <c r="AD48" s="13" t="s">
        <v>2850</v>
      </c>
      <c r="AE48" s="14" t="s">
        <v>2906</v>
      </c>
      <c r="AF48" s="14" t="s">
        <v>2867</v>
      </c>
      <c r="AG48" s="14" t="s">
        <v>2822</v>
      </c>
      <c r="AH48" s="14" t="s">
        <v>2823</v>
      </c>
      <c r="AI48" s="15">
        <v>1</v>
      </c>
      <c r="AJ48" s="879">
        <v>1757</v>
      </c>
      <c r="AK48" s="879">
        <v>208081.52</v>
      </c>
      <c r="AL48" s="884">
        <v>118.43</v>
      </c>
      <c r="AM48" s="885">
        <v>0.665</v>
      </c>
      <c r="AN48" s="884">
        <v>21.91</v>
      </c>
      <c r="AO48" s="886">
        <v>4.8</v>
      </c>
      <c r="AP48" s="879">
        <v>3064</v>
      </c>
      <c r="AQ48" s="887">
        <v>0.0711</v>
      </c>
      <c r="AR48" s="879">
        <v>125</v>
      </c>
      <c r="AS48" s="888"/>
      <c r="AT48" s="15" t="s">
        <v>947</v>
      </c>
      <c r="AU48" s="15" t="s">
        <v>1368</v>
      </c>
      <c r="AV48" s="889">
        <v>545</v>
      </c>
      <c r="AW48" s="889">
        <v>1</v>
      </c>
      <c r="AX48" s="889">
        <v>1</v>
      </c>
      <c r="AY48" s="14" t="s">
        <v>867</v>
      </c>
      <c r="AZ48" s="15" t="s">
        <v>65</v>
      </c>
      <c r="BA48" s="14" t="s">
        <v>65</v>
      </c>
      <c r="BB48" s="15" t="s">
        <v>856</v>
      </c>
      <c r="BC48" s="890" t="s">
        <v>868</v>
      </c>
      <c r="BD48" s="890" t="s">
        <v>1369</v>
      </c>
    </row>
    <row r="49" s="1" customFormat="1" ht="24" customHeight="1" spans="1:56">
      <c r="A49" s="15" t="str">
        <f>_xlfn.DISPIMG("ID_54E0AFE17F184E5990F96C254B254664",1)</f>
        <v>=DISPIMG("ID_54E0AFE17F184E5990F96C254B254664",1)</v>
      </c>
      <c r="B49" s="14" t="s">
        <v>1370</v>
      </c>
      <c r="C49" s="14" t="s">
        <v>1370</v>
      </c>
      <c r="D49" s="14" t="s">
        <v>65</v>
      </c>
      <c r="E49" s="14" t="s">
        <v>1371</v>
      </c>
      <c r="F49" s="14" t="s">
        <v>1372</v>
      </c>
      <c r="G49" s="14" t="s">
        <v>846</v>
      </c>
      <c r="H49" s="14" t="s">
        <v>1373</v>
      </c>
      <c r="I49" s="14" t="s">
        <v>1374</v>
      </c>
      <c r="J49" s="15" t="s">
        <v>934</v>
      </c>
      <c r="K49" s="14" t="s">
        <v>850</v>
      </c>
      <c r="L49" s="14" t="s">
        <v>851</v>
      </c>
      <c r="M49" s="879">
        <v>6834</v>
      </c>
      <c r="N49" s="880" t="s">
        <v>852</v>
      </c>
      <c r="O49" s="881" t="s">
        <v>1266</v>
      </c>
      <c r="P49" s="13" t="s">
        <v>2852</v>
      </c>
      <c r="Q49" s="882">
        <v>3.8</v>
      </c>
      <c r="R49" s="882" t="s">
        <v>2956</v>
      </c>
      <c r="S49" s="882">
        <f t="shared" si="1"/>
        <v>3.5948</v>
      </c>
      <c r="T49" s="882" t="s">
        <v>2957</v>
      </c>
      <c r="U49" s="13" t="s">
        <v>2877</v>
      </c>
      <c r="V49" s="13" t="s">
        <v>2812</v>
      </c>
      <c r="W49" s="13" t="s">
        <v>2920</v>
      </c>
      <c r="X49" s="13" t="s">
        <v>2874</v>
      </c>
      <c r="Y49" s="13" t="s">
        <v>2895</v>
      </c>
      <c r="Z49" s="883" t="s">
        <v>2817</v>
      </c>
      <c r="AA49" s="883" t="s">
        <v>2817</v>
      </c>
      <c r="AB49" s="883" t="s">
        <v>2816</v>
      </c>
      <c r="AC49" s="13" t="s">
        <v>2912</v>
      </c>
      <c r="AD49" s="13" t="s">
        <v>2896</v>
      </c>
      <c r="AE49" s="14" t="s">
        <v>2857</v>
      </c>
      <c r="AF49" s="14" t="s">
        <v>2831</v>
      </c>
      <c r="AG49" s="14" t="s">
        <v>2822</v>
      </c>
      <c r="AH49" s="14" t="s">
        <v>2884</v>
      </c>
      <c r="AI49" s="15">
        <v>1</v>
      </c>
      <c r="AJ49" s="879">
        <v>702</v>
      </c>
      <c r="AK49" s="879">
        <v>161452.98</v>
      </c>
      <c r="AL49" s="884">
        <v>229.99</v>
      </c>
      <c r="AM49" s="885">
        <v>0.7529</v>
      </c>
      <c r="AN49" s="884">
        <v>22.33</v>
      </c>
      <c r="AO49" s="886">
        <v>4.6</v>
      </c>
      <c r="AP49" s="879">
        <v>469</v>
      </c>
      <c r="AQ49" s="887">
        <v>0.0969</v>
      </c>
      <c r="AR49" s="879">
        <v>68</v>
      </c>
      <c r="AS49" s="888"/>
      <c r="AT49" s="15" t="s">
        <v>876</v>
      </c>
      <c r="AU49" s="15" t="s">
        <v>1375</v>
      </c>
      <c r="AV49" s="889">
        <v>597</v>
      </c>
      <c r="AW49" s="889">
        <v>1</v>
      </c>
      <c r="AX49" s="889">
        <v>6</v>
      </c>
      <c r="AY49" s="14" t="s">
        <v>867</v>
      </c>
      <c r="AZ49" s="15" t="s">
        <v>65</v>
      </c>
      <c r="BA49" s="14" t="s">
        <v>65</v>
      </c>
      <c r="BB49" s="15" t="s">
        <v>856</v>
      </c>
      <c r="BC49" s="890" t="s">
        <v>1376</v>
      </c>
      <c r="BD49" s="890" t="s">
        <v>1377</v>
      </c>
    </row>
    <row r="50" s="1" customFormat="1" ht="24" customHeight="1" spans="1:56">
      <c r="A50" s="15" t="str">
        <f>_xlfn.DISPIMG("ID_CF4CFA9B4BA044A4B75C7FB917181C2E",1)</f>
        <v>=DISPIMG("ID_CF4CFA9B4BA044A4B75C7FB917181C2E",1)</v>
      </c>
      <c r="B50" s="14" t="s">
        <v>1390</v>
      </c>
      <c r="C50" s="14" t="s">
        <v>1391</v>
      </c>
      <c r="D50" s="14" t="s">
        <v>1392</v>
      </c>
      <c r="E50" s="14" t="s">
        <v>1393</v>
      </c>
      <c r="F50" s="14" t="s">
        <v>1394</v>
      </c>
      <c r="G50" s="14" t="s">
        <v>1395</v>
      </c>
      <c r="H50" s="14" t="s">
        <v>1396</v>
      </c>
      <c r="I50" s="14" t="s">
        <v>1397</v>
      </c>
      <c r="J50" s="15" t="s">
        <v>934</v>
      </c>
      <c r="K50" s="14" t="s">
        <v>850</v>
      </c>
      <c r="L50" s="14" t="s">
        <v>851</v>
      </c>
      <c r="M50" s="879">
        <v>3421</v>
      </c>
      <c r="N50" s="880" t="s">
        <v>852</v>
      </c>
      <c r="O50" s="881" t="s">
        <v>1398</v>
      </c>
      <c r="P50" s="13" t="s">
        <v>2958</v>
      </c>
      <c r="Q50" s="882">
        <v>4.5</v>
      </c>
      <c r="R50" s="882" t="s">
        <v>2959</v>
      </c>
      <c r="S50" s="882">
        <f t="shared" si="1"/>
        <v>4.257</v>
      </c>
      <c r="T50" s="882" t="s">
        <v>2960</v>
      </c>
      <c r="U50" s="13" t="s">
        <v>64</v>
      </c>
      <c r="V50" s="13" t="s">
        <v>2812</v>
      </c>
      <c r="W50" s="13" t="s">
        <v>2878</v>
      </c>
      <c r="X50" s="13" t="s">
        <v>2921</v>
      </c>
      <c r="Y50" s="13" t="s">
        <v>2815</v>
      </c>
      <c r="Z50" s="883" t="s">
        <v>2816</v>
      </c>
      <c r="AA50" s="883" t="s">
        <v>2817</v>
      </c>
      <c r="AB50" s="883" t="s">
        <v>2816</v>
      </c>
      <c r="AC50" s="13" t="s">
        <v>2818</v>
      </c>
      <c r="AD50" s="13" t="s">
        <v>2850</v>
      </c>
      <c r="AE50" s="14" t="s">
        <v>2939</v>
      </c>
      <c r="AF50" s="14" t="s">
        <v>2831</v>
      </c>
      <c r="AG50" s="14" t="s">
        <v>2822</v>
      </c>
      <c r="AH50" s="14" t="s">
        <v>2823</v>
      </c>
      <c r="AI50" s="15">
        <v>1</v>
      </c>
      <c r="AJ50" s="879">
        <v>1109</v>
      </c>
      <c r="AK50" s="879">
        <v>70920.555</v>
      </c>
      <c r="AL50" s="884">
        <v>79.95</v>
      </c>
      <c r="AM50" s="885">
        <v>0.5928</v>
      </c>
      <c r="AN50" s="884">
        <v>16.45</v>
      </c>
      <c r="AO50" s="886">
        <v>4.7</v>
      </c>
      <c r="AP50" s="879">
        <v>1535</v>
      </c>
      <c r="AQ50" s="887">
        <v>0.0541</v>
      </c>
      <c r="AR50" s="879">
        <v>60</v>
      </c>
      <c r="AS50" s="888"/>
      <c r="AT50" s="15" t="s">
        <v>876</v>
      </c>
      <c r="AU50" s="15" t="s">
        <v>1399</v>
      </c>
      <c r="AV50" s="889">
        <v>630</v>
      </c>
      <c r="AW50" s="889">
        <v>4</v>
      </c>
      <c r="AX50" s="889">
        <v>2</v>
      </c>
      <c r="AY50" s="14" t="s">
        <v>1400</v>
      </c>
      <c r="AZ50" s="15" t="s">
        <v>1401</v>
      </c>
      <c r="BA50" s="14" t="s">
        <v>1402</v>
      </c>
      <c r="BB50" s="15" t="s">
        <v>997</v>
      </c>
      <c r="BC50" s="890" t="s">
        <v>1403</v>
      </c>
      <c r="BD50" s="890" t="s">
        <v>1404</v>
      </c>
    </row>
    <row r="51" s="1" customFormat="1" ht="24" customHeight="1" spans="1:56">
      <c r="A51" s="15" t="str">
        <f>_xlfn.DISPIMG("ID_ABB6A3F814174AC4B033F51D49C7DE64",1)</f>
        <v>=DISPIMG("ID_ABB6A3F814174AC4B033F51D49C7DE64",1)</v>
      </c>
      <c r="B51" s="14" t="s">
        <v>1405</v>
      </c>
      <c r="C51" s="14" t="s">
        <v>1405</v>
      </c>
      <c r="D51" s="14" t="s">
        <v>65</v>
      </c>
      <c r="E51" s="14" t="s">
        <v>1406</v>
      </c>
      <c r="F51" s="14" t="s">
        <v>1407</v>
      </c>
      <c r="G51" s="14" t="s">
        <v>1408</v>
      </c>
      <c r="H51" s="14" t="s">
        <v>1409</v>
      </c>
      <c r="I51" s="14" t="s">
        <v>1410</v>
      </c>
      <c r="J51" s="15" t="s">
        <v>934</v>
      </c>
      <c r="K51" s="14" t="s">
        <v>850</v>
      </c>
      <c r="L51" s="14" t="s">
        <v>851</v>
      </c>
      <c r="M51" s="879">
        <v>9111</v>
      </c>
      <c r="N51" s="880" t="s">
        <v>852</v>
      </c>
      <c r="O51" s="881" t="s">
        <v>1411</v>
      </c>
      <c r="P51" s="13" t="s">
        <v>2809</v>
      </c>
      <c r="Q51" s="882">
        <v>7</v>
      </c>
      <c r="R51" s="882" t="s">
        <v>2941</v>
      </c>
      <c r="S51" s="882">
        <f t="shared" si="1"/>
        <v>6.622</v>
      </c>
      <c r="T51" s="882" t="s">
        <v>2942</v>
      </c>
      <c r="U51" s="13" t="s">
        <v>64</v>
      </c>
      <c r="V51" s="13" t="s">
        <v>2812</v>
      </c>
      <c r="W51" s="13" t="s">
        <v>2837</v>
      </c>
      <c r="X51" s="13" t="s">
        <v>2844</v>
      </c>
      <c r="Y51" s="13" t="s">
        <v>2815</v>
      </c>
      <c r="Z51" s="883" t="s">
        <v>2816</v>
      </c>
      <c r="AA51" s="883" t="s">
        <v>2817</v>
      </c>
      <c r="AB51" s="883" t="s">
        <v>2816</v>
      </c>
      <c r="AC51" s="13" t="s">
        <v>2818</v>
      </c>
      <c r="AD51" s="13" t="s">
        <v>2819</v>
      </c>
      <c r="AE51" s="14" t="s">
        <v>2906</v>
      </c>
      <c r="AF51" s="14" t="s">
        <v>2851</v>
      </c>
      <c r="AG51" s="14" t="s">
        <v>2822</v>
      </c>
      <c r="AH51" s="14" t="s">
        <v>2823</v>
      </c>
      <c r="AI51" s="15">
        <v>1</v>
      </c>
      <c r="AJ51" s="879">
        <v>1487</v>
      </c>
      <c r="AK51" s="879">
        <v>178425.12</v>
      </c>
      <c r="AL51" s="884">
        <v>119.99</v>
      </c>
      <c r="AM51" s="885">
        <v>0.6919</v>
      </c>
      <c r="AN51" s="884">
        <v>18.97</v>
      </c>
      <c r="AO51" s="886">
        <v>4.6</v>
      </c>
      <c r="AP51" s="879">
        <v>5423</v>
      </c>
      <c r="AQ51" s="887">
        <v>0.0585</v>
      </c>
      <c r="AR51" s="879">
        <v>87</v>
      </c>
      <c r="AS51" s="888"/>
      <c r="AT51" s="15" t="s">
        <v>947</v>
      </c>
      <c r="AU51" s="15" t="s">
        <v>1412</v>
      </c>
      <c r="AV51" s="889">
        <v>958</v>
      </c>
      <c r="AW51" s="889">
        <v>1</v>
      </c>
      <c r="AX51" s="889">
        <v>2</v>
      </c>
      <c r="AY51" s="14" t="s">
        <v>867</v>
      </c>
      <c r="AZ51" s="15" t="s">
        <v>65</v>
      </c>
      <c r="BA51" s="14" t="s">
        <v>65</v>
      </c>
      <c r="BB51" s="15" t="s">
        <v>856</v>
      </c>
      <c r="BC51" s="890" t="s">
        <v>1413</v>
      </c>
      <c r="BD51" s="890" t="s">
        <v>1414</v>
      </c>
    </row>
    <row r="52" s="1" customFormat="1" ht="24" customHeight="1" spans="1:56">
      <c r="A52" s="15" t="str">
        <f>_xlfn.DISPIMG("ID_5562B5F163DB48C39AF88CF6C6DB9CA7",1)</f>
        <v>=DISPIMG("ID_5562B5F163DB48C39AF88CF6C6DB9CA7",1)</v>
      </c>
      <c r="B52" s="14" t="s">
        <v>1415</v>
      </c>
      <c r="C52" s="14" t="s">
        <v>1415</v>
      </c>
      <c r="D52" s="14" t="s">
        <v>65</v>
      </c>
      <c r="E52" s="14" t="s">
        <v>1416</v>
      </c>
      <c r="F52" s="14" t="s">
        <v>1417</v>
      </c>
      <c r="G52" s="14" t="s">
        <v>1418</v>
      </c>
      <c r="H52" s="14" t="s">
        <v>1419</v>
      </c>
      <c r="I52" s="14" t="s">
        <v>1420</v>
      </c>
      <c r="J52" s="15" t="s">
        <v>974</v>
      </c>
      <c r="K52" s="14" t="s">
        <v>850</v>
      </c>
      <c r="L52" s="14" t="s">
        <v>851</v>
      </c>
      <c r="M52" s="879">
        <v>8292</v>
      </c>
      <c r="N52" s="880" t="s">
        <v>852</v>
      </c>
      <c r="O52" s="881" t="s">
        <v>1421</v>
      </c>
      <c r="P52" s="13" t="s">
        <v>2809</v>
      </c>
      <c r="Q52" s="882">
        <v>5.8</v>
      </c>
      <c r="R52" s="882" t="s">
        <v>2847</v>
      </c>
      <c r="S52" s="882">
        <f t="shared" si="1"/>
        <v>5.4868</v>
      </c>
      <c r="T52" s="882" t="s">
        <v>2848</v>
      </c>
      <c r="U52" s="13" t="s">
        <v>64</v>
      </c>
      <c r="V52" s="13" t="s">
        <v>2812</v>
      </c>
      <c r="W52" s="13" t="s">
        <v>2861</v>
      </c>
      <c r="X52" s="13" t="s">
        <v>2844</v>
      </c>
      <c r="Y52" s="13" t="s">
        <v>2815</v>
      </c>
      <c r="Z52" s="883" t="s">
        <v>2816</v>
      </c>
      <c r="AA52" s="883" t="s">
        <v>2816</v>
      </c>
      <c r="AB52" s="883" t="s">
        <v>2816</v>
      </c>
      <c r="AC52" s="13" t="s">
        <v>2863</v>
      </c>
      <c r="AD52" s="13" t="s">
        <v>2819</v>
      </c>
      <c r="AE52" s="14" t="s">
        <v>2939</v>
      </c>
      <c r="AF52" s="14" t="s">
        <v>2821</v>
      </c>
      <c r="AG52" s="14" t="s">
        <v>2822</v>
      </c>
      <c r="AH52" s="14" t="s">
        <v>2823</v>
      </c>
      <c r="AI52" s="15">
        <v>1</v>
      </c>
      <c r="AJ52" s="879">
        <v>452</v>
      </c>
      <c r="AK52" s="879">
        <v>24335.68</v>
      </c>
      <c r="AL52" s="884">
        <v>73.72</v>
      </c>
      <c r="AM52" s="885">
        <v>0.4977</v>
      </c>
      <c r="AN52" s="884">
        <v>18.97</v>
      </c>
      <c r="AO52" s="886">
        <v>4.6</v>
      </c>
      <c r="AP52" s="879">
        <v>3489</v>
      </c>
      <c r="AQ52" s="887">
        <v>0.0796</v>
      </c>
      <c r="AR52" s="879">
        <v>36</v>
      </c>
      <c r="AS52" s="888"/>
      <c r="AT52" s="15" t="s">
        <v>876</v>
      </c>
      <c r="AU52" s="15" t="s">
        <v>1422</v>
      </c>
      <c r="AV52" s="889">
        <v>1344</v>
      </c>
      <c r="AW52" s="889">
        <v>1</v>
      </c>
      <c r="AX52" s="889">
        <v>1</v>
      </c>
      <c r="AY52" s="14" t="s">
        <v>1423</v>
      </c>
      <c r="AZ52" s="15" t="s">
        <v>65</v>
      </c>
      <c r="BA52" s="14" t="s">
        <v>1424</v>
      </c>
      <c r="BB52" s="15" t="s">
        <v>856</v>
      </c>
      <c r="BC52" s="890" t="s">
        <v>1425</v>
      </c>
      <c r="BD52" s="890" t="s">
        <v>1426</v>
      </c>
    </row>
    <row r="53" s="1" customFormat="1" ht="24" customHeight="1" spans="1:56">
      <c r="A53" s="15" t="str">
        <f>_xlfn.DISPIMG("ID_DE2B348AB1E54ACAB5026EC97FE64D1A",1)</f>
        <v>=DISPIMG("ID_DE2B348AB1E54ACAB5026EC97FE64D1A",1)</v>
      </c>
      <c r="B53" s="14" t="s">
        <v>1427</v>
      </c>
      <c r="C53" s="14" t="s">
        <v>1427</v>
      </c>
      <c r="D53" s="14" t="s">
        <v>65</v>
      </c>
      <c r="E53" s="14" t="s">
        <v>1428</v>
      </c>
      <c r="F53" s="14" t="s">
        <v>1429</v>
      </c>
      <c r="G53" s="14" t="s">
        <v>1430</v>
      </c>
      <c r="H53" s="14" t="s">
        <v>1431</v>
      </c>
      <c r="I53" s="14" t="s">
        <v>1432</v>
      </c>
      <c r="J53" s="15" t="s">
        <v>934</v>
      </c>
      <c r="K53" s="14" t="s">
        <v>850</v>
      </c>
      <c r="L53" s="14" t="s">
        <v>851</v>
      </c>
      <c r="M53" s="879">
        <v>9571</v>
      </c>
      <c r="N53" s="880" t="s">
        <v>852</v>
      </c>
      <c r="O53" s="881" t="s">
        <v>1433</v>
      </c>
      <c r="P53" s="13" t="s">
        <v>2832</v>
      </c>
      <c r="Q53" s="882">
        <v>20</v>
      </c>
      <c r="R53" s="882" t="s">
        <v>2961</v>
      </c>
      <c r="S53" s="882">
        <f t="shared" si="1"/>
        <v>18.92</v>
      </c>
      <c r="T53" s="882" t="s">
        <v>2962</v>
      </c>
      <c r="U53" s="13" t="s">
        <v>2835</v>
      </c>
      <c r="V53" s="13" t="s">
        <v>2836</v>
      </c>
      <c r="W53" s="13" t="s">
        <v>2894</v>
      </c>
      <c r="X53" s="13" t="s">
        <v>2874</v>
      </c>
      <c r="Y53" s="13" t="s">
        <v>2815</v>
      </c>
      <c r="Z53" s="883" t="s">
        <v>2817</v>
      </c>
      <c r="AA53" s="883" t="s">
        <v>2817</v>
      </c>
      <c r="AB53" s="883" t="s">
        <v>2817</v>
      </c>
      <c r="AC53" s="13" t="s">
        <v>2818</v>
      </c>
      <c r="AD53" s="13" t="s">
        <v>2889</v>
      </c>
      <c r="AE53" s="14" t="s">
        <v>2913</v>
      </c>
      <c r="AF53" s="14" t="s">
        <v>2883</v>
      </c>
      <c r="AG53" s="14" t="s">
        <v>2822</v>
      </c>
      <c r="AH53" s="14" t="s">
        <v>2940</v>
      </c>
      <c r="AI53" s="15">
        <v>1</v>
      </c>
      <c r="AJ53" s="879">
        <v>872</v>
      </c>
      <c r="AK53" s="879">
        <v>113351.28</v>
      </c>
      <c r="AL53" s="884">
        <v>169.99</v>
      </c>
      <c r="AM53" s="885">
        <v>0.6621</v>
      </c>
      <c r="AN53" s="884">
        <v>24.43</v>
      </c>
      <c r="AO53" s="886">
        <v>4.8</v>
      </c>
      <c r="AP53" s="879">
        <v>203</v>
      </c>
      <c r="AQ53" s="887">
        <v>0.1399</v>
      </c>
      <c r="AR53" s="879">
        <v>122</v>
      </c>
      <c r="AS53" s="888"/>
      <c r="AT53" s="15" t="s">
        <v>876</v>
      </c>
      <c r="AU53" s="15" t="s">
        <v>1434</v>
      </c>
      <c r="AV53" s="889">
        <v>184</v>
      </c>
      <c r="AW53" s="889">
        <v>1</v>
      </c>
      <c r="AX53" s="889">
        <v>2</v>
      </c>
      <c r="AY53" s="14" t="s">
        <v>65</v>
      </c>
      <c r="AZ53" s="15" t="s">
        <v>65</v>
      </c>
      <c r="BA53" s="14" t="s">
        <v>65</v>
      </c>
      <c r="BB53" s="15" t="s">
        <v>856</v>
      </c>
      <c r="BC53" s="890" t="s">
        <v>1435</v>
      </c>
      <c r="BD53" s="890" t="s">
        <v>1436</v>
      </c>
    </row>
    <row r="54" s="1" customFormat="1" ht="24" customHeight="1" spans="1:56">
      <c r="A54" s="15" t="str">
        <f>_xlfn.DISPIMG("ID_1CC8A60928EC4830A6791E0B1D53306D",1)</f>
        <v>=DISPIMG("ID_1CC8A60928EC4830A6791E0B1D53306D",1)</v>
      </c>
      <c r="B54" s="14" t="s">
        <v>1437</v>
      </c>
      <c r="C54" s="14" t="s">
        <v>1437</v>
      </c>
      <c r="D54" s="14" t="s">
        <v>65</v>
      </c>
      <c r="E54" s="14" t="s">
        <v>1438</v>
      </c>
      <c r="F54" s="14" t="s">
        <v>1439</v>
      </c>
      <c r="G54" s="14" t="s">
        <v>931</v>
      </c>
      <c r="H54" s="14" t="s">
        <v>1440</v>
      </c>
      <c r="I54" s="14" t="s">
        <v>1441</v>
      </c>
      <c r="J54" s="15" t="s">
        <v>934</v>
      </c>
      <c r="K54" s="14" t="s">
        <v>850</v>
      </c>
      <c r="L54" s="14" t="s">
        <v>851</v>
      </c>
      <c r="M54" s="879">
        <v>9177</v>
      </c>
      <c r="N54" s="880" t="s">
        <v>852</v>
      </c>
      <c r="O54" s="881" t="s">
        <v>1433</v>
      </c>
      <c r="P54" s="13" t="s">
        <v>2809</v>
      </c>
      <c r="Q54" s="882">
        <v>2</v>
      </c>
      <c r="R54" s="882" t="s">
        <v>2914</v>
      </c>
      <c r="S54" s="882">
        <f t="shared" si="1"/>
        <v>1.892</v>
      </c>
      <c r="T54" s="882" t="s">
        <v>2915</v>
      </c>
      <c r="U54" s="13" t="s">
        <v>64</v>
      </c>
      <c r="V54" s="13" t="s">
        <v>2812</v>
      </c>
      <c r="W54" s="13" t="s">
        <v>2861</v>
      </c>
      <c r="X54" s="13" t="s">
        <v>2862</v>
      </c>
      <c r="Y54" s="13" t="s">
        <v>2815</v>
      </c>
      <c r="Z54" s="883" t="s">
        <v>2816</v>
      </c>
      <c r="AA54" s="883" t="s">
        <v>2816</v>
      </c>
      <c r="AB54" s="883" t="s">
        <v>2816</v>
      </c>
      <c r="AC54" s="13" t="s">
        <v>2863</v>
      </c>
      <c r="AD54" s="13" t="s">
        <v>2819</v>
      </c>
      <c r="AE54" s="14" t="s">
        <v>2916</v>
      </c>
      <c r="AF54" s="14" t="s">
        <v>2821</v>
      </c>
      <c r="AG54" s="14" t="s">
        <v>2865</v>
      </c>
      <c r="AH54" s="14" t="s">
        <v>2823</v>
      </c>
      <c r="AI54" s="15">
        <v>1</v>
      </c>
      <c r="AJ54" s="879">
        <v>1006</v>
      </c>
      <c r="AK54" s="879">
        <v>48257.82</v>
      </c>
      <c r="AL54" s="884">
        <v>47.97</v>
      </c>
      <c r="AM54" s="885">
        <v>0.5711</v>
      </c>
      <c r="AN54" s="884">
        <v>13.93</v>
      </c>
      <c r="AO54" s="886">
        <v>4.5</v>
      </c>
      <c r="AP54" s="879">
        <v>16382</v>
      </c>
      <c r="AQ54" s="887">
        <v>0.0736</v>
      </c>
      <c r="AR54" s="879">
        <v>74</v>
      </c>
      <c r="AS54" s="888"/>
      <c r="AT54" s="15" t="s">
        <v>947</v>
      </c>
      <c r="AU54" s="15" t="s">
        <v>1442</v>
      </c>
      <c r="AV54" s="889">
        <v>2032</v>
      </c>
      <c r="AW54" s="889">
        <v>1</v>
      </c>
      <c r="AX54" s="889">
        <v>18</v>
      </c>
      <c r="AY54" s="14" t="s">
        <v>1443</v>
      </c>
      <c r="AZ54" s="15" t="s">
        <v>1110</v>
      </c>
      <c r="BA54" s="14" t="s">
        <v>1444</v>
      </c>
      <c r="BB54" s="15" t="s">
        <v>856</v>
      </c>
      <c r="BC54" s="890" t="s">
        <v>1445</v>
      </c>
      <c r="BD54" s="890" t="s">
        <v>1446</v>
      </c>
    </row>
    <row r="55" s="1" customFormat="1" ht="24" customHeight="1" spans="1:56">
      <c r="A55" s="15" t="str">
        <f>_xlfn.DISPIMG("ID_D5F7F4B1288C463CB4FBAB7A63B33D08",1)</f>
        <v>=DISPIMG("ID_D5F7F4B1288C463CB4FBAB7A63B33D08",1)</v>
      </c>
      <c r="B55" s="14" t="s">
        <v>352</v>
      </c>
      <c r="C55" s="14" t="s">
        <v>352</v>
      </c>
      <c r="D55" s="14" t="s">
        <v>65</v>
      </c>
      <c r="E55" s="14" t="s">
        <v>1447</v>
      </c>
      <c r="F55" s="14" t="s">
        <v>1448</v>
      </c>
      <c r="G55" s="14" t="s">
        <v>1152</v>
      </c>
      <c r="H55" s="14" t="s">
        <v>1449</v>
      </c>
      <c r="I55" s="14" t="s">
        <v>1450</v>
      </c>
      <c r="J55" s="15" t="s">
        <v>934</v>
      </c>
      <c r="K55" s="14" t="s">
        <v>850</v>
      </c>
      <c r="L55" s="14" t="s">
        <v>851</v>
      </c>
      <c r="M55" s="879">
        <v>8771</v>
      </c>
      <c r="N55" s="880" t="s">
        <v>852</v>
      </c>
      <c r="O55" s="881" t="s">
        <v>1411</v>
      </c>
      <c r="P55" s="13" t="s">
        <v>2809</v>
      </c>
      <c r="Q55" s="882">
        <v>5.8</v>
      </c>
      <c r="R55" s="882" t="s">
        <v>2847</v>
      </c>
      <c r="S55" s="882">
        <f t="shared" si="1"/>
        <v>5.4868</v>
      </c>
      <c r="T55" s="882" t="s">
        <v>2848</v>
      </c>
      <c r="U55" s="13" t="s">
        <v>64</v>
      </c>
      <c r="V55" s="13" t="s">
        <v>2812</v>
      </c>
      <c r="W55" s="13" t="s">
        <v>2894</v>
      </c>
      <c r="X55" s="13" t="s">
        <v>2844</v>
      </c>
      <c r="Y55" s="13" t="s">
        <v>2815</v>
      </c>
      <c r="Z55" s="883" t="s">
        <v>2816</v>
      </c>
      <c r="AA55" s="883" t="s">
        <v>2817</v>
      </c>
      <c r="AB55" s="883" t="s">
        <v>2816</v>
      </c>
      <c r="AC55" s="13" t="s">
        <v>2818</v>
      </c>
      <c r="AD55" s="13" t="s">
        <v>2819</v>
      </c>
      <c r="AE55" s="14" t="s">
        <v>2939</v>
      </c>
      <c r="AF55" s="14" t="s">
        <v>2821</v>
      </c>
      <c r="AG55" s="14" t="s">
        <v>2822</v>
      </c>
      <c r="AH55" s="14" t="s">
        <v>2823</v>
      </c>
      <c r="AI55" s="15">
        <v>1</v>
      </c>
      <c r="AJ55" s="879">
        <v>1104</v>
      </c>
      <c r="AK55" s="879">
        <v>88308.96</v>
      </c>
      <c r="AL55" s="884">
        <v>79.99</v>
      </c>
      <c r="AM55" s="885">
        <v>0.6129</v>
      </c>
      <c r="AN55" s="884">
        <v>18.97</v>
      </c>
      <c r="AO55" s="886">
        <v>4.7</v>
      </c>
      <c r="AP55" s="879">
        <v>12125</v>
      </c>
      <c r="AQ55" s="887">
        <v>0.173</v>
      </c>
      <c r="AR55" s="879">
        <v>191</v>
      </c>
      <c r="AS55" s="888"/>
      <c r="AT55" s="15" t="s">
        <v>876</v>
      </c>
      <c r="AU55" s="15" t="s">
        <v>1451</v>
      </c>
      <c r="AV55" s="889">
        <v>1308</v>
      </c>
      <c r="AW55" s="889">
        <v>1</v>
      </c>
      <c r="AX55" s="889">
        <v>1</v>
      </c>
      <c r="AY55" s="14" t="s">
        <v>1452</v>
      </c>
      <c r="AZ55" s="15" t="s">
        <v>1288</v>
      </c>
      <c r="BA55" s="14" t="s">
        <v>1453</v>
      </c>
      <c r="BB55" s="15" t="s">
        <v>856</v>
      </c>
      <c r="BC55" s="890" t="s">
        <v>1454</v>
      </c>
      <c r="BD55" s="890" t="s">
        <v>1455</v>
      </c>
    </row>
    <row r="56" s="1" customFormat="1" ht="24" customHeight="1" spans="1:56">
      <c r="A56" s="15" t="str">
        <f>_xlfn.DISPIMG("ID_F156718E2A894CB5961DE06C24ED3617",1)</f>
        <v>=DISPIMG("ID_F156718E2A894CB5961DE06C24ED3617",1)</v>
      </c>
      <c r="B56" s="14" t="s">
        <v>163</v>
      </c>
      <c r="C56" s="14" t="s">
        <v>163</v>
      </c>
      <c r="D56" s="14" t="s">
        <v>65</v>
      </c>
      <c r="E56" s="14" t="s">
        <v>1468</v>
      </c>
      <c r="F56" s="14" t="s">
        <v>1469</v>
      </c>
      <c r="G56" s="14" t="s">
        <v>1069</v>
      </c>
      <c r="H56" s="14" t="s">
        <v>1470</v>
      </c>
      <c r="I56" s="14" t="s">
        <v>1471</v>
      </c>
      <c r="J56" s="15" t="s">
        <v>864</v>
      </c>
      <c r="K56" s="14" t="s">
        <v>850</v>
      </c>
      <c r="L56" s="14" t="s">
        <v>851</v>
      </c>
      <c r="M56" s="879">
        <v>13651</v>
      </c>
      <c r="N56" s="880" t="s">
        <v>852</v>
      </c>
      <c r="O56" s="881" t="s">
        <v>1472</v>
      </c>
      <c r="P56" s="13" t="s">
        <v>2963</v>
      </c>
      <c r="Q56" s="882">
        <v>1.1</v>
      </c>
      <c r="R56" s="882" t="s">
        <v>2964</v>
      </c>
      <c r="S56" s="882">
        <f t="shared" si="1"/>
        <v>1.0406</v>
      </c>
      <c r="T56" s="882" t="s">
        <v>2965</v>
      </c>
      <c r="U56" s="13" t="s">
        <v>64</v>
      </c>
      <c r="V56" s="13" t="s">
        <v>2812</v>
      </c>
      <c r="W56" s="13" t="s">
        <v>2861</v>
      </c>
      <c r="X56" s="13" t="s">
        <v>2966</v>
      </c>
      <c r="Y56" s="13" t="s">
        <v>2903</v>
      </c>
      <c r="Z56" s="883" t="s">
        <v>2816</v>
      </c>
      <c r="AA56" s="883" t="s">
        <v>2816</v>
      </c>
      <c r="AB56" s="883" t="s">
        <v>2816</v>
      </c>
      <c r="AC56" s="13" t="s">
        <v>2863</v>
      </c>
      <c r="AD56" s="13" t="s">
        <v>2819</v>
      </c>
      <c r="AE56" s="14" t="s">
        <v>2864</v>
      </c>
      <c r="AF56" s="14" t="s">
        <v>2851</v>
      </c>
      <c r="AG56" s="14" t="s">
        <v>2930</v>
      </c>
      <c r="AH56" s="14" t="s">
        <v>2823</v>
      </c>
      <c r="AI56" s="15">
        <v>1</v>
      </c>
      <c r="AJ56" s="879">
        <v>1121</v>
      </c>
      <c r="AK56" s="879">
        <v>40221.48</v>
      </c>
      <c r="AL56" s="884">
        <v>35.88</v>
      </c>
      <c r="AM56" s="885">
        <v>0.5086</v>
      </c>
      <c r="AN56" s="884">
        <v>12.25</v>
      </c>
      <c r="AO56" s="886">
        <v>4.1</v>
      </c>
      <c r="AP56" s="879">
        <v>6569</v>
      </c>
      <c r="AQ56" s="887">
        <v>0.6191</v>
      </c>
      <c r="AR56" s="879">
        <v>694</v>
      </c>
      <c r="AS56" s="888"/>
      <c r="AT56" s="15" t="s">
        <v>876</v>
      </c>
      <c r="AU56" s="15" t="s">
        <v>1473</v>
      </c>
      <c r="AV56" s="889">
        <v>1063</v>
      </c>
      <c r="AW56" s="889">
        <v>1</v>
      </c>
      <c r="AX56" s="889">
        <v>5</v>
      </c>
      <c r="AY56" s="14" t="s">
        <v>867</v>
      </c>
      <c r="AZ56" s="15" t="s">
        <v>65</v>
      </c>
      <c r="BA56" s="14" t="s">
        <v>65</v>
      </c>
      <c r="BB56" s="15" t="s">
        <v>856</v>
      </c>
      <c r="BC56" s="890" t="s">
        <v>1474</v>
      </c>
      <c r="BD56" s="890" t="s">
        <v>1475</v>
      </c>
    </row>
    <row r="57" s="1" customFormat="1" ht="24" customHeight="1" spans="1:56">
      <c r="A57" s="15" t="str">
        <f>_xlfn.DISPIMG("ID_B1C8BB44B25043D4A886C115934DB689",1)</f>
        <v>=DISPIMG("ID_B1C8BB44B25043D4A886C115934DB689",1)</v>
      </c>
      <c r="B57" s="14" t="s">
        <v>1476</v>
      </c>
      <c r="C57" s="14" t="s">
        <v>1476</v>
      </c>
      <c r="D57" s="14" t="s">
        <v>65</v>
      </c>
      <c r="E57" s="14" t="s">
        <v>1477</v>
      </c>
      <c r="F57" s="14" t="s">
        <v>1478</v>
      </c>
      <c r="G57" s="14" t="s">
        <v>1479</v>
      </c>
      <c r="H57" s="14" t="s">
        <v>1480</v>
      </c>
      <c r="I57" s="14" t="s">
        <v>1481</v>
      </c>
      <c r="J57" s="15" t="s">
        <v>1384</v>
      </c>
      <c r="K57" s="14" t="s">
        <v>850</v>
      </c>
      <c r="L57" s="14" t="s">
        <v>851</v>
      </c>
      <c r="M57" s="879">
        <v>13404</v>
      </c>
      <c r="N57" s="880" t="s">
        <v>852</v>
      </c>
      <c r="O57" s="881" t="s">
        <v>1482</v>
      </c>
      <c r="P57" s="13" t="s">
        <v>2832</v>
      </c>
      <c r="Q57" s="882">
        <v>6.2</v>
      </c>
      <c r="R57" s="882" t="s">
        <v>2967</v>
      </c>
      <c r="S57" s="882">
        <f t="shared" si="1"/>
        <v>5.8652</v>
      </c>
      <c r="T57" s="882" t="s">
        <v>2968</v>
      </c>
      <c r="U57" s="13" t="s">
        <v>64</v>
      </c>
      <c r="V57" s="13" t="s">
        <v>2812</v>
      </c>
      <c r="W57" s="13" t="s">
        <v>2894</v>
      </c>
      <c r="X57" s="13" t="s">
        <v>2828</v>
      </c>
      <c r="Y57" s="13" t="s">
        <v>2815</v>
      </c>
      <c r="Z57" s="883" t="s">
        <v>2817</v>
      </c>
      <c r="AA57" s="883" t="s">
        <v>2817</v>
      </c>
      <c r="AB57" s="883" t="s">
        <v>2816</v>
      </c>
      <c r="AC57" s="13" t="s">
        <v>2818</v>
      </c>
      <c r="AD57" s="13" t="s">
        <v>2850</v>
      </c>
      <c r="AE57" s="14" t="s">
        <v>2939</v>
      </c>
      <c r="AF57" s="14" t="s">
        <v>2883</v>
      </c>
      <c r="AG57" s="14" t="s">
        <v>2865</v>
      </c>
      <c r="AH57" s="14" t="s">
        <v>2940</v>
      </c>
      <c r="AI57" s="15">
        <v>1</v>
      </c>
      <c r="AJ57" s="879">
        <v>667</v>
      </c>
      <c r="AK57" s="879">
        <v>53353.33</v>
      </c>
      <c r="AL57" s="884">
        <v>79.99</v>
      </c>
      <c r="AM57" s="885">
        <v>0.6181</v>
      </c>
      <c r="AN57" s="884">
        <v>18.55</v>
      </c>
      <c r="AO57" s="886">
        <v>4.5</v>
      </c>
      <c r="AP57" s="879">
        <v>268</v>
      </c>
      <c r="AQ57" s="887">
        <v>0.1139</v>
      </c>
      <c r="AR57" s="879">
        <v>76</v>
      </c>
      <c r="AS57" s="888"/>
      <c r="AT57" s="15" t="s">
        <v>1267</v>
      </c>
      <c r="AU57" s="15" t="s">
        <v>1483</v>
      </c>
      <c r="AV57" s="889">
        <v>217</v>
      </c>
      <c r="AW57" s="889">
        <v>1</v>
      </c>
      <c r="AX57" s="889">
        <v>1</v>
      </c>
      <c r="AY57" s="14" t="s">
        <v>65</v>
      </c>
      <c r="AZ57" s="15" t="s">
        <v>65</v>
      </c>
      <c r="BA57" s="14" t="s">
        <v>65</v>
      </c>
      <c r="BB57" s="15" t="s">
        <v>856</v>
      </c>
      <c r="BC57" s="890" t="s">
        <v>1484</v>
      </c>
      <c r="BD57" s="890" t="s">
        <v>1485</v>
      </c>
    </row>
    <row r="58" s="1" customFormat="1" ht="24" customHeight="1" spans="1:56">
      <c r="A58" s="15" t="str">
        <f>_xlfn.DISPIMG("ID_695D1CCC4CA045139C4ABF47E1CCACBF",1)</f>
        <v>=DISPIMG("ID_695D1CCC4CA045139C4ABF47E1CCACBF",1)</v>
      </c>
      <c r="B58" s="14" t="s">
        <v>1486</v>
      </c>
      <c r="C58" s="14" t="s">
        <v>1486</v>
      </c>
      <c r="D58" s="14" t="s">
        <v>65</v>
      </c>
      <c r="E58" s="14" t="s">
        <v>1487</v>
      </c>
      <c r="F58" s="14" t="s">
        <v>1488</v>
      </c>
      <c r="G58" s="14" t="s">
        <v>1479</v>
      </c>
      <c r="H58" s="14" t="s">
        <v>1489</v>
      </c>
      <c r="I58" s="14" t="s">
        <v>1490</v>
      </c>
      <c r="J58" s="15" t="s">
        <v>934</v>
      </c>
      <c r="K58" s="14" t="s">
        <v>850</v>
      </c>
      <c r="L58" s="14" t="s">
        <v>851</v>
      </c>
      <c r="M58" s="879">
        <v>13357</v>
      </c>
      <c r="N58" s="880" t="s">
        <v>852</v>
      </c>
      <c r="O58" s="881" t="s">
        <v>1491</v>
      </c>
      <c r="P58" s="13" t="s">
        <v>2809</v>
      </c>
      <c r="Q58" s="882">
        <v>12</v>
      </c>
      <c r="R58" s="882" t="s">
        <v>2969</v>
      </c>
      <c r="S58" s="882">
        <f t="shared" si="1"/>
        <v>11.352</v>
      </c>
      <c r="T58" s="882" t="s">
        <v>2970</v>
      </c>
      <c r="U58" s="13" t="s">
        <v>2835</v>
      </c>
      <c r="V58" s="13" t="s">
        <v>2836</v>
      </c>
      <c r="W58" s="13" t="s">
        <v>2894</v>
      </c>
      <c r="X58" s="13" t="s">
        <v>2844</v>
      </c>
      <c r="Y58" s="13" t="s">
        <v>2815</v>
      </c>
      <c r="Z58" s="883" t="s">
        <v>2817</v>
      </c>
      <c r="AA58" s="883" t="s">
        <v>2817</v>
      </c>
      <c r="AB58" s="883" t="s">
        <v>2816</v>
      </c>
      <c r="AC58" s="13" t="s">
        <v>2818</v>
      </c>
      <c r="AD58" s="13" t="s">
        <v>2971</v>
      </c>
      <c r="AE58" s="14" t="s">
        <v>2820</v>
      </c>
      <c r="AF58" s="14" t="s">
        <v>2883</v>
      </c>
      <c r="AG58" s="14" t="s">
        <v>2930</v>
      </c>
      <c r="AH58" s="14" t="s">
        <v>2940</v>
      </c>
      <c r="AI58" s="15">
        <v>1</v>
      </c>
      <c r="AJ58" s="879">
        <v>882</v>
      </c>
      <c r="AK58" s="879">
        <v>88191.18</v>
      </c>
      <c r="AL58" s="884">
        <v>84.99</v>
      </c>
      <c r="AM58" s="885">
        <v>0.6351</v>
      </c>
      <c r="AN58" s="884">
        <v>21.49</v>
      </c>
      <c r="AO58" s="886">
        <v>4.2</v>
      </c>
      <c r="AP58" s="879">
        <v>289</v>
      </c>
      <c r="AQ58" s="887">
        <v>0.0658</v>
      </c>
      <c r="AR58" s="879">
        <v>58</v>
      </c>
      <c r="AS58" s="888"/>
      <c r="AT58" s="15" t="s">
        <v>1267</v>
      </c>
      <c r="AU58" s="15" t="s">
        <v>1492</v>
      </c>
      <c r="AV58" s="889">
        <v>336</v>
      </c>
      <c r="AW58" s="889">
        <v>1</v>
      </c>
      <c r="AX58" s="889">
        <v>1</v>
      </c>
      <c r="AY58" s="14" t="s">
        <v>1493</v>
      </c>
      <c r="AZ58" s="15" t="s">
        <v>1288</v>
      </c>
      <c r="BA58" s="14" t="s">
        <v>1494</v>
      </c>
      <c r="BB58" s="15" t="s">
        <v>856</v>
      </c>
      <c r="BC58" s="890" t="s">
        <v>1495</v>
      </c>
      <c r="BD58" s="890" t="s">
        <v>1496</v>
      </c>
    </row>
    <row r="59" s="1" customFormat="1" ht="24" customHeight="1" spans="1:56">
      <c r="A59" s="15" t="str">
        <f>_xlfn.DISPIMG("ID_1F02B86715A94ABAB5EED5849E66B5FD",1)</f>
        <v>=DISPIMG("ID_1F02B86715A94ABAB5EED5849E66B5FD",1)</v>
      </c>
      <c r="B59" s="14" t="s">
        <v>1497</v>
      </c>
      <c r="C59" s="14" t="s">
        <v>1497</v>
      </c>
      <c r="D59" s="14" t="s">
        <v>65</v>
      </c>
      <c r="E59" s="14" t="s">
        <v>1498</v>
      </c>
      <c r="F59" s="14" t="s">
        <v>1499</v>
      </c>
      <c r="G59" s="14" t="s">
        <v>1408</v>
      </c>
      <c r="H59" s="14" t="s">
        <v>1500</v>
      </c>
      <c r="I59" s="14" t="s">
        <v>1501</v>
      </c>
      <c r="J59" s="15" t="s">
        <v>65</v>
      </c>
      <c r="K59" s="14" t="s">
        <v>850</v>
      </c>
      <c r="L59" s="14" t="s">
        <v>851</v>
      </c>
      <c r="M59" s="879">
        <v>9527</v>
      </c>
      <c r="N59" s="880" t="s">
        <v>1029</v>
      </c>
      <c r="O59" s="881" t="s">
        <v>1502</v>
      </c>
      <c r="P59" s="13" t="s">
        <v>2809</v>
      </c>
      <c r="Q59" s="882">
        <v>7</v>
      </c>
      <c r="R59" s="882" t="s">
        <v>2941</v>
      </c>
      <c r="S59" s="882">
        <f t="shared" si="1"/>
        <v>6.622</v>
      </c>
      <c r="T59" s="882" t="s">
        <v>2942</v>
      </c>
      <c r="U59" s="13" t="s">
        <v>2972</v>
      </c>
      <c r="V59" s="13" t="s">
        <v>2812</v>
      </c>
      <c r="W59" s="13" t="s">
        <v>2894</v>
      </c>
      <c r="X59" s="13" t="s">
        <v>2844</v>
      </c>
      <c r="Y59" s="13" t="s">
        <v>2815</v>
      </c>
      <c r="Z59" s="883" t="s">
        <v>2816</v>
      </c>
      <c r="AA59" s="883" t="s">
        <v>2817</v>
      </c>
      <c r="AB59" s="883" t="s">
        <v>2816</v>
      </c>
      <c r="AC59" s="13" t="s">
        <v>2818</v>
      </c>
      <c r="AD59" s="13" t="s">
        <v>2819</v>
      </c>
      <c r="AE59" s="14" t="s">
        <v>2820</v>
      </c>
      <c r="AF59" s="14" t="s">
        <v>2900</v>
      </c>
      <c r="AG59" s="14" t="s">
        <v>2822</v>
      </c>
      <c r="AH59" s="14" t="s">
        <v>2911</v>
      </c>
      <c r="AI59" s="15">
        <v>1</v>
      </c>
      <c r="AJ59" s="879">
        <v>398</v>
      </c>
      <c r="AK59" s="879">
        <v>33833.98</v>
      </c>
      <c r="AL59" s="884">
        <v>85.01</v>
      </c>
      <c r="AM59" s="885">
        <v>0.5478</v>
      </c>
      <c r="AN59" s="884">
        <v>25.69</v>
      </c>
      <c r="AO59" s="886">
        <v>4.6</v>
      </c>
      <c r="AP59" s="879">
        <v>627</v>
      </c>
      <c r="AQ59" s="887">
        <v>0.0528</v>
      </c>
      <c r="AR59" s="879">
        <v>21</v>
      </c>
      <c r="AS59" s="888"/>
      <c r="AT59" s="15" t="s">
        <v>1267</v>
      </c>
      <c r="AU59" s="15" t="s">
        <v>1503</v>
      </c>
      <c r="AV59" s="889">
        <v>766</v>
      </c>
      <c r="AW59" s="889">
        <v>1</v>
      </c>
      <c r="AX59" s="889">
        <v>4</v>
      </c>
      <c r="AY59" s="14" t="s">
        <v>1032</v>
      </c>
      <c r="AZ59" s="15" t="s">
        <v>65</v>
      </c>
      <c r="BA59" s="14" t="s">
        <v>1033</v>
      </c>
      <c r="BB59" s="15" t="s">
        <v>856</v>
      </c>
      <c r="BC59" s="890" t="s">
        <v>1504</v>
      </c>
      <c r="BD59" s="890" t="s">
        <v>1505</v>
      </c>
    </row>
    <row r="60" s="1" customFormat="1" ht="24" customHeight="1" spans="1:56">
      <c r="A60" s="15" t="str">
        <f>_xlfn.DISPIMG("ID_8C83148C43504D86A1DB58E8CCDF7309",1)</f>
        <v>=DISPIMG("ID_8C83148C43504D86A1DB58E8CCDF7309",1)</v>
      </c>
      <c r="B60" s="14" t="s">
        <v>1506</v>
      </c>
      <c r="C60" s="14" t="s">
        <v>1507</v>
      </c>
      <c r="D60" s="14" t="s">
        <v>1508</v>
      </c>
      <c r="E60" s="14" t="s">
        <v>1509</v>
      </c>
      <c r="F60" s="14" t="s">
        <v>1510</v>
      </c>
      <c r="G60" s="14" t="s">
        <v>1511</v>
      </c>
      <c r="H60" s="14" t="s">
        <v>1512</v>
      </c>
      <c r="I60" s="14" t="s">
        <v>1513</v>
      </c>
      <c r="J60" s="15" t="s">
        <v>934</v>
      </c>
      <c r="K60" s="14" t="s">
        <v>1326</v>
      </c>
      <c r="L60" s="14" t="s">
        <v>851</v>
      </c>
      <c r="M60" s="879">
        <v>9943</v>
      </c>
      <c r="N60" s="880" t="s">
        <v>1327</v>
      </c>
      <c r="O60" s="881" t="s">
        <v>1514</v>
      </c>
      <c r="P60" s="13" t="s">
        <v>2809</v>
      </c>
      <c r="Q60" s="882">
        <v>19</v>
      </c>
      <c r="R60" s="882" t="s">
        <v>2973</v>
      </c>
      <c r="S60" s="882">
        <f t="shared" si="1"/>
        <v>17.974</v>
      </c>
      <c r="T60" s="882" t="s">
        <v>2974</v>
      </c>
      <c r="U60" s="13" t="s">
        <v>2877</v>
      </c>
      <c r="V60" s="13" t="s">
        <v>2904</v>
      </c>
      <c r="W60" s="13" t="s">
        <v>2837</v>
      </c>
      <c r="X60" s="13" t="s">
        <v>2828</v>
      </c>
      <c r="Y60" s="13" t="s">
        <v>2829</v>
      </c>
      <c r="Z60" s="883" t="s">
        <v>2817</v>
      </c>
      <c r="AA60" s="883" t="s">
        <v>2816</v>
      </c>
      <c r="AB60" s="883" t="s">
        <v>2816</v>
      </c>
      <c r="AC60" s="13" t="s">
        <v>2863</v>
      </c>
      <c r="AD60" s="13" t="s">
        <v>2839</v>
      </c>
      <c r="AE60" s="14" t="s">
        <v>2830</v>
      </c>
      <c r="AF60" s="14" t="s">
        <v>2831</v>
      </c>
      <c r="AG60" s="14" t="s">
        <v>2930</v>
      </c>
      <c r="AH60" s="14" t="s">
        <v>2823</v>
      </c>
      <c r="AI60" s="15">
        <v>1</v>
      </c>
      <c r="AJ60" s="879">
        <v>817</v>
      </c>
      <c r="AK60" s="879">
        <v>81691.83</v>
      </c>
      <c r="AL60" s="884">
        <v>99.99</v>
      </c>
      <c r="AM60" s="885">
        <v>0.6358</v>
      </c>
      <c r="AN60" s="884">
        <v>24.85</v>
      </c>
      <c r="AO60" s="886">
        <v>4.2</v>
      </c>
      <c r="AP60" s="879">
        <v>7786</v>
      </c>
      <c r="AQ60" s="887">
        <v>0.0771</v>
      </c>
      <c r="AR60" s="879">
        <v>63</v>
      </c>
      <c r="AS60" s="888"/>
      <c r="AT60" s="15" t="s">
        <v>854</v>
      </c>
      <c r="AU60" s="15" t="s">
        <v>914</v>
      </c>
      <c r="AV60" s="889">
        <v>605</v>
      </c>
      <c r="AW60" s="889">
        <v>3</v>
      </c>
      <c r="AX60" s="889">
        <v>3</v>
      </c>
      <c r="AY60" s="14" t="s">
        <v>1515</v>
      </c>
      <c r="AZ60" s="15" t="s">
        <v>65</v>
      </c>
      <c r="BA60" s="14" t="s">
        <v>65</v>
      </c>
      <c r="BB60" s="15" t="s">
        <v>1516</v>
      </c>
      <c r="BC60" s="890" t="s">
        <v>1517</v>
      </c>
      <c r="BD60" s="890" t="s">
        <v>1518</v>
      </c>
    </row>
    <row r="61" s="1" customFormat="1" ht="24" customHeight="1" spans="1:56">
      <c r="A61" s="15" t="str">
        <f>_xlfn.DISPIMG("ID_888A755A882D4513BC9D8F5FC20B3AC9",1)</f>
        <v>=DISPIMG("ID_888A755A882D4513BC9D8F5FC20B3AC9",1)</v>
      </c>
      <c r="B61" s="14" t="s">
        <v>1519</v>
      </c>
      <c r="C61" s="14" t="s">
        <v>1519</v>
      </c>
      <c r="D61" s="14" t="s">
        <v>65</v>
      </c>
      <c r="E61" s="14" t="s">
        <v>1520</v>
      </c>
      <c r="F61" s="14" t="s">
        <v>1521</v>
      </c>
      <c r="G61" s="14" t="s">
        <v>971</v>
      </c>
      <c r="H61" s="14" t="s">
        <v>1522</v>
      </c>
      <c r="I61" s="14" t="s">
        <v>1523</v>
      </c>
      <c r="J61" s="15" t="s">
        <v>934</v>
      </c>
      <c r="K61" s="14" t="s">
        <v>850</v>
      </c>
      <c r="L61" s="14" t="s">
        <v>851</v>
      </c>
      <c r="M61" s="879">
        <v>12327</v>
      </c>
      <c r="N61" s="880" t="s">
        <v>852</v>
      </c>
      <c r="O61" s="881" t="s">
        <v>1524</v>
      </c>
      <c r="P61" s="13" t="s">
        <v>2809</v>
      </c>
      <c r="Q61" s="882">
        <v>6</v>
      </c>
      <c r="R61" s="882" t="s">
        <v>2841</v>
      </c>
      <c r="S61" s="882">
        <f t="shared" si="1"/>
        <v>5.676</v>
      </c>
      <c r="T61" s="882" t="s">
        <v>2842</v>
      </c>
      <c r="U61" s="13" t="s">
        <v>64</v>
      </c>
      <c r="V61" s="13" t="s">
        <v>2812</v>
      </c>
      <c r="W61" s="13" t="s">
        <v>2878</v>
      </c>
      <c r="X61" s="13" t="s">
        <v>2874</v>
      </c>
      <c r="Y61" s="13" t="s">
        <v>2815</v>
      </c>
      <c r="Z61" s="883" t="s">
        <v>2816</v>
      </c>
      <c r="AA61" s="883" t="s">
        <v>2817</v>
      </c>
      <c r="AB61" s="883" t="s">
        <v>2817</v>
      </c>
      <c r="AC61" s="13" t="s">
        <v>2922</v>
      </c>
      <c r="AD61" s="13" t="s">
        <v>2850</v>
      </c>
      <c r="AE61" s="14" t="s">
        <v>2840</v>
      </c>
      <c r="AF61" s="14" t="s">
        <v>2821</v>
      </c>
      <c r="AG61" s="14" t="s">
        <v>2865</v>
      </c>
      <c r="AH61" s="14" t="s">
        <v>2823</v>
      </c>
      <c r="AI61" s="15">
        <v>1</v>
      </c>
      <c r="AJ61" s="879">
        <v>869</v>
      </c>
      <c r="AK61" s="879">
        <v>90376</v>
      </c>
      <c r="AL61" s="884">
        <v>104</v>
      </c>
      <c r="AM61" s="885">
        <v>0.5909</v>
      </c>
      <c r="AN61" s="884">
        <v>26.95</v>
      </c>
      <c r="AO61" s="886">
        <v>4.5</v>
      </c>
      <c r="AP61" s="879">
        <v>3107</v>
      </c>
      <c r="AQ61" s="887">
        <v>0.0357</v>
      </c>
      <c r="AR61" s="879">
        <v>31</v>
      </c>
      <c r="AS61" s="888"/>
      <c r="AT61" s="15" t="s">
        <v>876</v>
      </c>
      <c r="AU61" s="15" t="s">
        <v>1525</v>
      </c>
      <c r="AV61" s="889">
        <v>1285</v>
      </c>
      <c r="AW61" s="889">
        <v>1</v>
      </c>
      <c r="AX61" s="889">
        <v>8</v>
      </c>
      <c r="AY61" s="14" t="s">
        <v>1515</v>
      </c>
      <c r="AZ61" s="15" t="s">
        <v>65</v>
      </c>
      <c r="BA61" s="14" t="s">
        <v>65</v>
      </c>
      <c r="BB61" s="15" t="s">
        <v>1516</v>
      </c>
      <c r="BC61" s="890" t="s">
        <v>1526</v>
      </c>
      <c r="BD61" s="890" t="s">
        <v>1527</v>
      </c>
    </row>
    <row r="62" s="1" customFormat="1" ht="24" customHeight="1" spans="1:56">
      <c r="A62" s="15" t="str">
        <f>_xlfn.DISPIMG("ID_CB4B079C03484E1FABD66C3A8EE5DBCA",1)</f>
        <v>=DISPIMG("ID_CB4B079C03484E1FABD66C3A8EE5DBCA",1)</v>
      </c>
      <c r="B62" s="14" t="s">
        <v>130</v>
      </c>
      <c r="C62" s="14" t="s">
        <v>130</v>
      </c>
      <c r="D62" s="14" t="s">
        <v>65</v>
      </c>
      <c r="E62" s="14" t="s">
        <v>1540</v>
      </c>
      <c r="F62" s="14" t="s">
        <v>1541</v>
      </c>
      <c r="G62" s="14" t="s">
        <v>1173</v>
      </c>
      <c r="H62" s="14" t="s">
        <v>1542</v>
      </c>
      <c r="I62" s="14" t="s">
        <v>1543</v>
      </c>
      <c r="J62" s="15" t="s">
        <v>934</v>
      </c>
      <c r="K62" s="14" t="s">
        <v>850</v>
      </c>
      <c r="L62" s="14" t="s">
        <v>851</v>
      </c>
      <c r="M62" s="879">
        <v>11099</v>
      </c>
      <c r="N62" s="880" t="s">
        <v>852</v>
      </c>
      <c r="O62" s="881" t="s">
        <v>1544</v>
      </c>
      <c r="P62" s="13" t="s">
        <v>2809</v>
      </c>
      <c r="Q62" s="882">
        <v>12.7</v>
      </c>
      <c r="R62" s="882" t="s">
        <v>2975</v>
      </c>
      <c r="S62" s="882">
        <f t="shared" si="1"/>
        <v>12.0142</v>
      </c>
      <c r="T62" s="882" t="s">
        <v>2976</v>
      </c>
      <c r="U62" s="13" t="s">
        <v>2877</v>
      </c>
      <c r="V62" s="13" t="s">
        <v>2836</v>
      </c>
      <c r="W62" s="13" t="s">
        <v>2977</v>
      </c>
      <c r="X62" s="13" t="s">
        <v>2853</v>
      </c>
      <c r="Y62" s="13" t="s">
        <v>2978</v>
      </c>
      <c r="Z62" s="883" t="s">
        <v>2817</v>
      </c>
      <c r="AA62" s="883" t="s">
        <v>2817</v>
      </c>
      <c r="AB62" s="883" t="s">
        <v>2816</v>
      </c>
      <c r="AC62" s="13" t="s">
        <v>2818</v>
      </c>
      <c r="AD62" s="13" t="s">
        <v>2839</v>
      </c>
      <c r="AE62" s="14" t="s">
        <v>2820</v>
      </c>
      <c r="AF62" s="14" t="s">
        <v>2821</v>
      </c>
      <c r="AG62" s="14" t="s">
        <v>2865</v>
      </c>
      <c r="AH62" s="14" t="s">
        <v>2823</v>
      </c>
      <c r="AI62" s="15">
        <v>1</v>
      </c>
      <c r="AJ62" s="879">
        <v>949</v>
      </c>
      <c r="AK62" s="879">
        <v>81272.36</v>
      </c>
      <c r="AL62" s="884">
        <v>85.66</v>
      </c>
      <c r="AM62" s="885">
        <v>0.5844</v>
      </c>
      <c r="AN62" s="884">
        <v>22.75</v>
      </c>
      <c r="AO62" s="886">
        <v>4.4</v>
      </c>
      <c r="AP62" s="879">
        <v>10891</v>
      </c>
      <c r="AQ62" s="887">
        <v>0.1201</v>
      </c>
      <c r="AR62" s="879">
        <v>114</v>
      </c>
      <c r="AS62" s="879">
        <v>73</v>
      </c>
      <c r="AT62" s="15" t="s">
        <v>876</v>
      </c>
      <c r="AU62" s="15" t="s">
        <v>1545</v>
      </c>
      <c r="AV62" s="889">
        <v>1629</v>
      </c>
      <c r="AW62" s="889">
        <v>1</v>
      </c>
      <c r="AX62" s="889">
        <v>1</v>
      </c>
      <c r="AY62" s="14" t="s">
        <v>867</v>
      </c>
      <c r="AZ62" s="15" t="s">
        <v>65</v>
      </c>
      <c r="BA62" s="14" t="s">
        <v>65</v>
      </c>
      <c r="BB62" s="15" t="s">
        <v>856</v>
      </c>
      <c r="BC62" s="890" t="s">
        <v>1546</v>
      </c>
      <c r="BD62" s="890" t="s">
        <v>1547</v>
      </c>
    </row>
    <row r="63" s="1" customFormat="1" ht="24" customHeight="1" spans="1:56">
      <c r="A63" s="15" t="str">
        <f>_xlfn.DISPIMG("ID_17D2559E86F44A54A0A9006016AB2DA9",1)</f>
        <v>=DISPIMG("ID_17D2559E86F44A54A0A9006016AB2DA9",1)</v>
      </c>
      <c r="B63" s="14" t="s">
        <v>1548</v>
      </c>
      <c r="C63" s="14" t="s">
        <v>1548</v>
      </c>
      <c r="D63" s="14" t="s">
        <v>65</v>
      </c>
      <c r="E63" s="14" t="s">
        <v>1549</v>
      </c>
      <c r="F63" s="14" t="s">
        <v>1550</v>
      </c>
      <c r="G63" s="14" t="s">
        <v>954</v>
      </c>
      <c r="H63" s="14" t="s">
        <v>1551</v>
      </c>
      <c r="I63" s="14" t="s">
        <v>1552</v>
      </c>
      <c r="J63" s="15" t="s">
        <v>934</v>
      </c>
      <c r="K63" s="14" t="s">
        <v>850</v>
      </c>
      <c r="L63" s="14" t="s">
        <v>851</v>
      </c>
      <c r="M63" s="879">
        <v>12047</v>
      </c>
      <c r="N63" s="880" t="s">
        <v>852</v>
      </c>
      <c r="O63" s="881" t="s">
        <v>1553</v>
      </c>
      <c r="P63" s="13" t="s">
        <v>2809</v>
      </c>
      <c r="Q63" s="882">
        <v>7</v>
      </c>
      <c r="R63" s="882" t="s">
        <v>2941</v>
      </c>
      <c r="S63" s="882">
        <f t="shared" si="1"/>
        <v>6.622</v>
      </c>
      <c r="T63" s="882" t="s">
        <v>2942</v>
      </c>
      <c r="U63" s="13" t="s">
        <v>64</v>
      </c>
      <c r="V63" s="13" t="s">
        <v>2812</v>
      </c>
      <c r="W63" s="13" t="s">
        <v>2849</v>
      </c>
      <c r="X63" s="13" t="s">
        <v>2844</v>
      </c>
      <c r="Y63" s="13" t="s">
        <v>2815</v>
      </c>
      <c r="Z63" s="883" t="s">
        <v>2816</v>
      </c>
      <c r="AA63" s="883" t="s">
        <v>2817</v>
      </c>
      <c r="AB63" s="883" t="s">
        <v>2816</v>
      </c>
      <c r="AC63" s="13" t="s">
        <v>2818</v>
      </c>
      <c r="AD63" s="13" t="s">
        <v>2889</v>
      </c>
      <c r="AE63" s="14" t="s">
        <v>2830</v>
      </c>
      <c r="AF63" s="14" t="s">
        <v>2900</v>
      </c>
      <c r="AG63" s="14" t="s">
        <v>2822</v>
      </c>
      <c r="AH63" s="14" t="s">
        <v>2868</v>
      </c>
      <c r="AI63" s="15">
        <v>1</v>
      </c>
      <c r="AJ63" s="879">
        <v>891</v>
      </c>
      <c r="AK63" s="879">
        <v>80635.5</v>
      </c>
      <c r="AL63" s="884">
        <v>90.5</v>
      </c>
      <c r="AM63" s="885">
        <v>0.6543</v>
      </c>
      <c r="AN63" s="884">
        <v>17.71</v>
      </c>
      <c r="AO63" s="886">
        <v>4.6</v>
      </c>
      <c r="AP63" s="879">
        <v>807</v>
      </c>
      <c r="AQ63" s="887">
        <v>0.0864</v>
      </c>
      <c r="AR63" s="879">
        <v>77</v>
      </c>
      <c r="AS63" s="888"/>
      <c r="AT63" s="15" t="s">
        <v>854</v>
      </c>
      <c r="AU63" s="15" t="s">
        <v>1554</v>
      </c>
      <c r="AV63" s="889">
        <v>825</v>
      </c>
      <c r="AW63" s="889">
        <v>1</v>
      </c>
      <c r="AX63" s="889">
        <v>1</v>
      </c>
      <c r="AY63" s="14" t="s">
        <v>867</v>
      </c>
      <c r="AZ63" s="15" t="s">
        <v>65</v>
      </c>
      <c r="BA63" s="14" t="s">
        <v>65</v>
      </c>
      <c r="BB63" s="15" t="s">
        <v>856</v>
      </c>
      <c r="BC63" s="890" t="s">
        <v>1555</v>
      </c>
      <c r="BD63" s="890" t="s">
        <v>1556</v>
      </c>
    </row>
    <row r="64" s="1" customFormat="1" ht="24" customHeight="1" spans="1:56">
      <c r="A64" s="15" t="str">
        <f>_xlfn.DISPIMG("ID_E72CFFF1B748493989220C334F229A7A",1)</f>
        <v>=DISPIMG("ID_E72CFFF1B748493989220C334F229A7A",1)</v>
      </c>
      <c r="B64" s="14" t="s">
        <v>1557</v>
      </c>
      <c r="C64" s="14" t="s">
        <v>1557</v>
      </c>
      <c r="D64" s="14" t="s">
        <v>65</v>
      </c>
      <c r="E64" s="14" t="s">
        <v>1558</v>
      </c>
      <c r="F64" s="14" t="s">
        <v>1559</v>
      </c>
      <c r="G64" s="14" t="s">
        <v>954</v>
      </c>
      <c r="H64" s="14" t="s">
        <v>1560</v>
      </c>
      <c r="I64" s="14" t="s">
        <v>1561</v>
      </c>
      <c r="J64" s="15" t="s">
        <v>1003</v>
      </c>
      <c r="K64" s="14" t="s">
        <v>850</v>
      </c>
      <c r="L64" s="14" t="s">
        <v>851</v>
      </c>
      <c r="M64" s="879">
        <v>14264</v>
      </c>
      <c r="N64" s="880" t="s">
        <v>852</v>
      </c>
      <c r="O64" s="881" t="s">
        <v>1562</v>
      </c>
      <c r="P64" s="13" t="s">
        <v>2852</v>
      </c>
      <c r="Q64" s="882">
        <v>8</v>
      </c>
      <c r="R64" s="882" t="s">
        <v>2869</v>
      </c>
      <c r="S64" s="882">
        <f t="shared" si="1"/>
        <v>7.568</v>
      </c>
      <c r="T64" s="882" t="s">
        <v>2870</v>
      </c>
      <c r="U64" s="13" t="s">
        <v>64</v>
      </c>
      <c r="V64" s="13" t="s">
        <v>2812</v>
      </c>
      <c r="W64" s="13" t="s">
        <v>2849</v>
      </c>
      <c r="X64" s="13" t="s">
        <v>2844</v>
      </c>
      <c r="Y64" s="13" t="s">
        <v>2815</v>
      </c>
      <c r="Z64" s="883" t="s">
        <v>2816</v>
      </c>
      <c r="AA64" s="883" t="s">
        <v>2817</v>
      </c>
      <c r="AB64" s="883" t="s">
        <v>2816</v>
      </c>
      <c r="AC64" s="13" t="s">
        <v>2818</v>
      </c>
      <c r="AD64" s="13" t="s">
        <v>2839</v>
      </c>
      <c r="AE64" s="14" t="s">
        <v>2820</v>
      </c>
      <c r="AF64" s="14" t="s">
        <v>2900</v>
      </c>
      <c r="AG64" s="14" t="s">
        <v>2930</v>
      </c>
      <c r="AH64" s="14" t="s">
        <v>2979</v>
      </c>
      <c r="AI64" s="15">
        <v>1</v>
      </c>
      <c r="AJ64" s="879">
        <v>531</v>
      </c>
      <c r="AK64" s="879">
        <v>43127.82</v>
      </c>
      <c r="AL64" s="884">
        <v>81.22</v>
      </c>
      <c r="AM64" s="885">
        <v>0.5958</v>
      </c>
      <c r="AN64" s="884">
        <v>20.65</v>
      </c>
      <c r="AO64" s="886">
        <v>4.2</v>
      </c>
      <c r="AP64" s="879">
        <v>55</v>
      </c>
      <c r="AQ64" s="887">
        <v>0.0075</v>
      </c>
      <c r="AR64" s="879">
        <v>4</v>
      </c>
      <c r="AS64" s="888"/>
      <c r="AT64" s="15" t="s">
        <v>876</v>
      </c>
      <c r="AU64" s="15" t="s">
        <v>1563</v>
      </c>
      <c r="AV64" s="889">
        <v>868</v>
      </c>
      <c r="AW64" s="889">
        <v>1</v>
      </c>
      <c r="AX64" s="889">
        <v>1</v>
      </c>
      <c r="AY64" s="14" t="s">
        <v>867</v>
      </c>
      <c r="AZ64" s="15" t="s">
        <v>65</v>
      </c>
      <c r="BA64" s="14" t="s">
        <v>65</v>
      </c>
      <c r="BB64" s="15" t="s">
        <v>856</v>
      </c>
      <c r="BC64" s="890" t="s">
        <v>1112</v>
      </c>
      <c r="BD64" s="890" t="s">
        <v>1564</v>
      </c>
    </row>
    <row r="65" s="1" customFormat="1" ht="24" customHeight="1" spans="1:56">
      <c r="A65" s="15" t="str">
        <f>_xlfn.DISPIMG("ID_09D48146F971440D80F2FC5359F757BB",1)</f>
        <v>=DISPIMG("ID_09D48146F971440D80F2FC5359F757BB",1)</v>
      </c>
      <c r="B65" s="14" t="s">
        <v>1565</v>
      </c>
      <c r="C65" s="14" t="s">
        <v>1565</v>
      </c>
      <c r="D65" s="14" t="s">
        <v>65</v>
      </c>
      <c r="E65" s="14" t="s">
        <v>1566</v>
      </c>
      <c r="F65" s="14" t="s">
        <v>1567</v>
      </c>
      <c r="G65" s="14" t="s">
        <v>971</v>
      </c>
      <c r="H65" s="14" t="s">
        <v>1568</v>
      </c>
      <c r="I65" s="14" t="s">
        <v>1569</v>
      </c>
      <c r="J65" s="15" t="s">
        <v>974</v>
      </c>
      <c r="K65" s="14" t="s">
        <v>850</v>
      </c>
      <c r="L65" s="14" t="s">
        <v>851</v>
      </c>
      <c r="M65" s="879">
        <v>10986</v>
      </c>
      <c r="N65" s="880" t="s">
        <v>852</v>
      </c>
      <c r="O65" s="881" t="s">
        <v>1472</v>
      </c>
      <c r="P65" s="13" t="s">
        <v>2809</v>
      </c>
      <c r="Q65" s="882">
        <v>15.5</v>
      </c>
      <c r="R65" s="882" t="s">
        <v>2980</v>
      </c>
      <c r="S65" s="882">
        <f t="shared" si="1"/>
        <v>14.663</v>
      </c>
      <c r="T65" s="882" t="s">
        <v>2981</v>
      </c>
      <c r="U65" s="13" t="s">
        <v>2877</v>
      </c>
      <c r="V65" s="13" t="s">
        <v>2836</v>
      </c>
      <c r="W65" s="895" t="s">
        <v>2938</v>
      </c>
      <c r="X65" s="13" t="s">
        <v>2828</v>
      </c>
      <c r="Y65" s="13" t="s">
        <v>2815</v>
      </c>
      <c r="Z65" s="883" t="s">
        <v>2817</v>
      </c>
      <c r="AA65" s="883" t="s">
        <v>2817</v>
      </c>
      <c r="AB65" s="883" t="s">
        <v>2817</v>
      </c>
      <c r="AC65" s="13" t="s">
        <v>2922</v>
      </c>
      <c r="AD65" s="13" t="s">
        <v>2839</v>
      </c>
      <c r="AE65" s="14" t="s">
        <v>2913</v>
      </c>
      <c r="AF65" s="14" t="s">
        <v>2851</v>
      </c>
      <c r="AG65" s="14" t="s">
        <v>2865</v>
      </c>
      <c r="AH65" s="14" t="s">
        <v>2823</v>
      </c>
      <c r="AI65" s="15">
        <v>1</v>
      </c>
      <c r="AJ65" s="879">
        <v>814</v>
      </c>
      <c r="AK65" s="879">
        <v>131452.86</v>
      </c>
      <c r="AL65" s="884">
        <v>161.49</v>
      </c>
      <c r="AM65" s="885">
        <v>0.7065</v>
      </c>
      <c r="AN65" s="884">
        <v>23.17</v>
      </c>
      <c r="AO65" s="886">
        <v>4.4</v>
      </c>
      <c r="AP65" s="879">
        <v>15778</v>
      </c>
      <c r="AQ65" s="887">
        <v>0.0676</v>
      </c>
      <c r="AR65" s="879">
        <v>55</v>
      </c>
      <c r="AS65" s="888"/>
      <c r="AT65" s="15" t="s">
        <v>876</v>
      </c>
      <c r="AU65" s="15" t="s">
        <v>1570</v>
      </c>
      <c r="AV65" s="889">
        <v>1046</v>
      </c>
      <c r="AW65" s="889">
        <v>1</v>
      </c>
      <c r="AX65" s="889">
        <v>1</v>
      </c>
      <c r="AY65" s="14" t="s">
        <v>867</v>
      </c>
      <c r="AZ65" s="15" t="s">
        <v>65</v>
      </c>
      <c r="BA65" s="14" t="s">
        <v>65</v>
      </c>
      <c r="BB65" s="15" t="s">
        <v>856</v>
      </c>
      <c r="BC65" s="890" t="s">
        <v>1571</v>
      </c>
      <c r="BD65" s="890" t="s">
        <v>1572</v>
      </c>
    </row>
    <row r="66" s="1" customFormat="1" ht="24" customHeight="1" spans="1:56">
      <c r="A66" s="15" t="str">
        <f>_xlfn.DISPIMG("ID_69D8304B4C734971B5962BEF265D5C42",1)</f>
        <v>=DISPIMG("ID_69D8304B4C734971B5962BEF265D5C42",1)</v>
      </c>
      <c r="B66" s="14" t="s">
        <v>1573</v>
      </c>
      <c r="C66" s="14" t="s">
        <v>1573</v>
      </c>
      <c r="D66" s="14" t="s">
        <v>65</v>
      </c>
      <c r="E66" s="14" t="s">
        <v>1574</v>
      </c>
      <c r="F66" s="14" t="s">
        <v>1575</v>
      </c>
      <c r="G66" s="14" t="s">
        <v>1059</v>
      </c>
      <c r="H66" s="14" t="s">
        <v>1576</v>
      </c>
      <c r="I66" s="14" t="s">
        <v>1577</v>
      </c>
      <c r="J66" s="15" t="s">
        <v>974</v>
      </c>
      <c r="K66" s="14" t="s">
        <v>850</v>
      </c>
      <c r="L66" s="14" t="s">
        <v>851</v>
      </c>
      <c r="M66" s="879">
        <v>10598</v>
      </c>
      <c r="N66" s="880" t="s">
        <v>852</v>
      </c>
      <c r="O66" s="881" t="s">
        <v>1578</v>
      </c>
      <c r="P66" s="13" t="s">
        <v>2809</v>
      </c>
      <c r="Q66" s="882">
        <v>9</v>
      </c>
      <c r="R66" s="882" t="s">
        <v>2982</v>
      </c>
      <c r="S66" s="882">
        <f t="shared" si="1"/>
        <v>8.514</v>
      </c>
      <c r="T66" s="882" t="s">
        <v>2983</v>
      </c>
      <c r="U66" s="13" t="s">
        <v>64</v>
      </c>
      <c r="V66" s="13" t="s">
        <v>2855</v>
      </c>
      <c r="W66" s="13" t="s">
        <v>2878</v>
      </c>
      <c r="X66" s="13" t="s">
        <v>2844</v>
      </c>
      <c r="Y66" s="13" t="s">
        <v>2815</v>
      </c>
      <c r="Z66" s="883" t="s">
        <v>2816</v>
      </c>
      <c r="AA66" s="883" t="s">
        <v>2817</v>
      </c>
      <c r="AB66" s="883" t="s">
        <v>2816</v>
      </c>
      <c r="AC66" s="13" t="s">
        <v>2818</v>
      </c>
      <c r="AD66" s="13" t="s">
        <v>2819</v>
      </c>
      <c r="AE66" s="14" t="s">
        <v>2984</v>
      </c>
      <c r="AF66" s="14" t="s">
        <v>2831</v>
      </c>
      <c r="AG66" s="14" t="s">
        <v>2865</v>
      </c>
      <c r="AH66" s="14" t="s">
        <v>2823</v>
      </c>
      <c r="AI66" s="15">
        <v>1</v>
      </c>
      <c r="AJ66" s="879">
        <v>768</v>
      </c>
      <c r="AK66" s="879">
        <v>107512.33</v>
      </c>
      <c r="AL66" s="884">
        <v>139.99</v>
      </c>
      <c r="AM66" s="885">
        <v>0.6875</v>
      </c>
      <c r="AN66" s="884">
        <v>22.75</v>
      </c>
      <c r="AO66" s="886">
        <v>4.5</v>
      </c>
      <c r="AP66" s="879">
        <v>3116</v>
      </c>
      <c r="AQ66" s="887">
        <v>0.1237</v>
      </c>
      <c r="AR66" s="879">
        <v>95</v>
      </c>
      <c r="AS66" s="888"/>
      <c r="AT66" s="15" t="s">
        <v>854</v>
      </c>
      <c r="AU66" s="15" t="s">
        <v>1579</v>
      </c>
      <c r="AV66" s="889">
        <v>599</v>
      </c>
      <c r="AW66" s="889">
        <v>1</v>
      </c>
      <c r="AX66" s="889">
        <v>8</v>
      </c>
      <c r="AY66" s="14" t="s">
        <v>65</v>
      </c>
      <c r="AZ66" s="15" t="s">
        <v>65</v>
      </c>
      <c r="BA66" s="14" t="s">
        <v>65</v>
      </c>
      <c r="BB66" s="15" t="s">
        <v>856</v>
      </c>
      <c r="BC66" s="890" t="s">
        <v>1580</v>
      </c>
      <c r="BD66" s="890" t="s">
        <v>1581</v>
      </c>
    </row>
    <row r="67" s="1" customFormat="1" ht="24" customHeight="1" spans="1:56">
      <c r="A67" s="15" t="str">
        <f>_xlfn.DISPIMG("ID_00011A14DD764057925EAB93B1C32B51",1)</f>
        <v>=DISPIMG("ID_00011A14DD764057925EAB93B1C32B51",1)</v>
      </c>
      <c r="B67" s="14" t="s">
        <v>1582</v>
      </c>
      <c r="C67" s="14" t="s">
        <v>1582</v>
      </c>
      <c r="D67" s="14" t="s">
        <v>65</v>
      </c>
      <c r="E67" s="14" t="s">
        <v>1583</v>
      </c>
      <c r="F67" s="14" t="s">
        <v>1584</v>
      </c>
      <c r="G67" s="14" t="s">
        <v>1059</v>
      </c>
      <c r="H67" s="14" t="s">
        <v>1585</v>
      </c>
      <c r="I67" s="14" t="s">
        <v>1586</v>
      </c>
      <c r="J67" s="15" t="s">
        <v>934</v>
      </c>
      <c r="K67" s="14" t="s">
        <v>850</v>
      </c>
      <c r="L67" s="14" t="s">
        <v>851</v>
      </c>
      <c r="M67" s="879">
        <v>8252</v>
      </c>
      <c r="N67" s="880" t="s">
        <v>852</v>
      </c>
      <c r="O67" s="881" t="s">
        <v>1285</v>
      </c>
      <c r="P67" s="13" t="s">
        <v>2809</v>
      </c>
      <c r="Q67" s="882">
        <v>5</v>
      </c>
      <c r="R67" s="882" t="s">
        <v>2825</v>
      </c>
      <c r="S67" s="882">
        <f t="shared" ref="S67:S101" si="2">Q67*0.946</f>
        <v>4.73</v>
      </c>
      <c r="T67" s="882" t="s">
        <v>2826</v>
      </c>
      <c r="U67" s="13" t="s">
        <v>64</v>
      </c>
      <c r="V67" s="13" t="s">
        <v>2812</v>
      </c>
      <c r="W67" s="13" t="s">
        <v>2878</v>
      </c>
      <c r="X67" s="13" t="s">
        <v>2950</v>
      </c>
      <c r="Y67" s="13" t="s">
        <v>2829</v>
      </c>
      <c r="Z67" s="883" t="s">
        <v>2817</v>
      </c>
      <c r="AA67" s="883" t="s">
        <v>2817</v>
      </c>
      <c r="AB67" s="883" t="s">
        <v>2816</v>
      </c>
      <c r="AC67" s="13" t="s">
        <v>2818</v>
      </c>
      <c r="AD67" s="13" t="s">
        <v>2971</v>
      </c>
      <c r="AE67" s="14" t="s">
        <v>2830</v>
      </c>
      <c r="AF67" s="14" t="s">
        <v>2883</v>
      </c>
      <c r="AG67" s="14" t="s">
        <v>2822</v>
      </c>
      <c r="AH67" s="14" t="s">
        <v>2868</v>
      </c>
      <c r="AI67" s="15">
        <v>1</v>
      </c>
      <c r="AJ67" s="879">
        <v>1180</v>
      </c>
      <c r="AK67" s="879">
        <v>117988.195</v>
      </c>
      <c r="AL67" s="884">
        <v>99.99</v>
      </c>
      <c r="AM67" s="885">
        <v>0.6603</v>
      </c>
      <c r="AN67" s="884">
        <v>18.97</v>
      </c>
      <c r="AO67" s="886">
        <v>4.6</v>
      </c>
      <c r="AP67" s="879">
        <v>914</v>
      </c>
      <c r="AQ67" s="887">
        <v>0.0534</v>
      </c>
      <c r="AR67" s="879">
        <v>63</v>
      </c>
      <c r="AS67" s="888"/>
      <c r="AT67" s="15" t="s">
        <v>876</v>
      </c>
      <c r="AU67" s="15" t="s">
        <v>1587</v>
      </c>
      <c r="AV67" s="889">
        <v>248</v>
      </c>
      <c r="AW67" s="889">
        <v>1</v>
      </c>
      <c r="AX67" s="889">
        <v>1</v>
      </c>
      <c r="AY67" s="14" t="s">
        <v>867</v>
      </c>
      <c r="AZ67" s="15" t="s">
        <v>65</v>
      </c>
      <c r="BA67" s="14" t="s">
        <v>65</v>
      </c>
      <c r="BB67" s="15" t="s">
        <v>856</v>
      </c>
      <c r="BC67" s="890" t="s">
        <v>1588</v>
      </c>
      <c r="BD67" s="890" t="s">
        <v>1589</v>
      </c>
    </row>
    <row r="68" s="1" customFormat="1" ht="24" customHeight="1" spans="1:56">
      <c r="A68" s="15" t="str">
        <f>_xlfn.DISPIMG("ID_31DC207AD3C44AAD8B67DA009FFB8A3D",1)</f>
        <v>=DISPIMG("ID_31DC207AD3C44AAD8B67DA009FFB8A3D",1)</v>
      </c>
      <c r="B68" s="14" t="s">
        <v>1602</v>
      </c>
      <c r="C68" s="14" t="s">
        <v>1602</v>
      </c>
      <c r="D68" s="14" t="s">
        <v>65</v>
      </c>
      <c r="E68" s="14" t="s">
        <v>1603</v>
      </c>
      <c r="F68" s="14" t="s">
        <v>1604</v>
      </c>
      <c r="G68" s="14" t="s">
        <v>846</v>
      </c>
      <c r="H68" s="14" t="s">
        <v>1605</v>
      </c>
      <c r="I68" s="14" t="s">
        <v>1606</v>
      </c>
      <c r="J68" s="15" t="s">
        <v>65</v>
      </c>
      <c r="K68" s="14" t="s">
        <v>850</v>
      </c>
      <c r="L68" s="14" t="s">
        <v>851</v>
      </c>
      <c r="M68" s="879">
        <v>13660</v>
      </c>
      <c r="N68" s="880" t="s">
        <v>852</v>
      </c>
      <c r="O68" s="881" t="s">
        <v>1607</v>
      </c>
      <c r="P68" s="13" t="s">
        <v>2832</v>
      </c>
      <c r="Q68" s="882">
        <v>26</v>
      </c>
      <c r="R68" s="882" t="s">
        <v>2891</v>
      </c>
      <c r="S68" s="882">
        <f t="shared" si="2"/>
        <v>24.596</v>
      </c>
      <c r="T68" s="882" t="s">
        <v>2892</v>
      </c>
      <c r="U68" s="13" t="s">
        <v>2877</v>
      </c>
      <c r="V68" s="13" t="s">
        <v>2836</v>
      </c>
      <c r="W68" s="13" t="s">
        <v>2878</v>
      </c>
      <c r="X68" s="13" t="s">
        <v>2874</v>
      </c>
      <c r="Y68" s="13" t="s">
        <v>2829</v>
      </c>
      <c r="Z68" s="883" t="s">
        <v>2817</v>
      </c>
      <c r="AA68" s="883" t="s">
        <v>2817</v>
      </c>
      <c r="AB68" s="883" t="s">
        <v>2816</v>
      </c>
      <c r="AC68" s="13" t="s">
        <v>2845</v>
      </c>
      <c r="AD68" s="13" t="s">
        <v>2985</v>
      </c>
      <c r="AE68" s="14" t="s">
        <v>2890</v>
      </c>
      <c r="AF68" s="14" t="s">
        <v>2821</v>
      </c>
      <c r="AG68" s="14" t="s">
        <v>2865</v>
      </c>
      <c r="AH68" s="14" t="s">
        <v>2823</v>
      </c>
      <c r="AI68" s="15">
        <v>1</v>
      </c>
      <c r="AJ68" s="879">
        <v>704</v>
      </c>
      <c r="AK68" s="879">
        <v>111900.8</v>
      </c>
      <c r="AL68" s="884">
        <v>158.95</v>
      </c>
      <c r="AM68" s="885">
        <v>0.7122</v>
      </c>
      <c r="AN68" s="884">
        <v>21.91</v>
      </c>
      <c r="AO68" s="886">
        <v>4.5</v>
      </c>
      <c r="AP68" s="879">
        <v>1887</v>
      </c>
      <c r="AQ68" s="887">
        <v>0.0483</v>
      </c>
      <c r="AR68" s="879">
        <v>34</v>
      </c>
      <c r="AS68" s="888"/>
      <c r="AT68" s="15" t="s">
        <v>854</v>
      </c>
      <c r="AU68" s="15" t="s">
        <v>1608</v>
      </c>
      <c r="AV68" s="889">
        <v>1300</v>
      </c>
      <c r="AW68" s="889">
        <v>1</v>
      </c>
      <c r="AX68" s="889">
        <v>1</v>
      </c>
      <c r="AY68" s="14" t="s">
        <v>1609</v>
      </c>
      <c r="AZ68" s="15" t="s">
        <v>65</v>
      </c>
      <c r="BA68" s="14" t="s">
        <v>1610</v>
      </c>
      <c r="BB68" s="15" t="s">
        <v>856</v>
      </c>
      <c r="BC68" s="890" t="s">
        <v>1611</v>
      </c>
      <c r="BD68" s="890" t="s">
        <v>1612</v>
      </c>
    </row>
    <row r="69" s="1" customFormat="1" ht="24" customHeight="1" spans="1:56">
      <c r="A69" s="15" t="str">
        <f>_xlfn.DISPIMG("ID_073D25E4DD884F82A44918BB058A6FA0",1)</f>
        <v>=DISPIMG("ID_073D25E4DD884F82A44918BB058A6FA0",1)</v>
      </c>
      <c r="B69" s="14" t="s">
        <v>761</v>
      </c>
      <c r="C69" s="14" t="s">
        <v>761</v>
      </c>
      <c r="D69" s="14" t="s">
        <v>65</v>
      </c>
      <c r="E69" s="14" t="s">
        <v>1613</v>
      </c>
      <c r="F69" s="14" t="s">
        <v>1614</v>
      </c>
      <c r="G69" s="14" t="s">
        <v>1221</v>
      </c>
      <c r="H69" s="14" t="s">
        <v>1615</v>
      </c>
      <c r="I69" s="14" t="s">
        <v>1616</v>
      </c>
      <c r="J69" s="15" t="s">
        <v>934</v>
      </c>
      <c r="K69" s="14" t="s">
        <v>850</v>
      </c>
      <c r="L69" s="14" t="s">
        <v>851</v>
      </c>
      <c r="M69" s="879">
        <v>13775</v>
      </c>
      <c r="N69" s="880" t="s">
        <v>852</v>
      </c>
      <c r="O69" s="881" t="s">
        <v>1482</v>
      </c>
      <c r="P69" s="13" t="s">
        <v>2986</v>
      </c>
      <c r="Q69" s="882">
        <v>13</v>
      </c>
      <c r="R69" s="882" t="s">
        <v>2987</v>
      </c>
      <c r="S69" s="882">
        <f t="shared" si="2"/>
        <v>12.298</v>
      </c>
      <c r="T69" s="882" t="s">
        <v>2988</v>
      </c>
      <c r="U69" s="13" t="s">
        <v>64</v>
      </c>
      <c r="V69" s="13" t="s">
        <v>2812</v>
      </c>
      <c r="W69" s="13" t="s">
        <v>2861</v>
      </c>
      <c r="X69" s="13" t="s">
        <v>2989</v>
      </c>
      <c r="Y69" s="13" t="s">
        <v>2990</v>
      </c>
      <c r="Z69" s="883" t="s">
        <v>2817</v>
      </c>
      <c r="AA69" s="883" t="s">
        <v>2816</v>
      </c>
      <c r="AB69" s="883" t="s">
        <v>2816</v>
      </c>
      <c r="AC69" s="13" t="s">
        <v>2863</v>
      </c>
      <c r="AD69" s="13" t="s">
        <v>2839</v>
      </c>
      <c r="AE69" s="14" t="s">
        <v>2882</v>
      </c>
      <c r="AF69" s="14" t="s">
        <v>2821</v>
      </c>
      <c r="AG69" s="14" t="s">
        <v>2865</v>
      </c>
      <c r="AH69" s="14" t="s">
        <v>2823</v>
      </c>
      <c r="AI69" s="15">
        <v>1</v>
      </c>
      <c r="AJ69" s="879">
        <v>532</v>
      </c>
      <c r="AK69" s="879">
        <v>34968.363</v>
      </c>
      <c r="AL69" s="884">
        <v>65.73</v>
      </c>
      <c r="AM69" s="885">
        <v>0.6061</v>
      </c>
      <c r="AN69" s="884">
        <v>16.03</v>
      </c>
      <c r="AO69" s="886">
        <v>4.3</v>
      </c>
      <c r="AP69" s="879">
        <v>1245</v>
      </c>
      <c r="AQ69" s="887">
        <v>0.0639</v>
      </c>
      <c r="AR69" s="879">
        <v>34</v>
      </c>
      <c r="AS69" s="888"/>
      <c r="AT69" s="15" t="s">
        <v>876</v>
      </c>
      <c r="AU69" s="15" t="s">
        <v>1617</v>
      </c>
      <c r="AV69" s="889">
        <v>2401</v>
      </c>
      <c r="AW69" s="889">
        <v>1</v>
      </c>
      <c r="AX69" s="889">
        <v>1</v>
      </c>
      <c r="AY69" s="14" t="s">
        <v>867</v>
      </c>
      <c r="AZ69" s="15" t="s">
        <v>65</v>
      </c>
      <c r="BA69" s="14" t="s">
        <v>65</v>
      </c>
      <c r="BB69" s="15" t="s">
        <v>856</v>
      </c>
      <c r="BC69" s="890" t="s">
        <v>1618</v>
      </c>
      <c r="BD69" s="890" t="s">
        <v>1619</v>
      </c>
    </row>
    <row r="70" s="1" customFormat="1" ht="24" customHeight="1" spans="1:56">
      <c r="A70" s="15" t="str">
        <f>_xlfn.DISPIMG("ID_3DBAE646C8CB4B5D9BF1F3F01226FC3F",1)</f>
        <v>=DISPIMG("ID_3DBAE646C8CB4B5D9BF1F3F01226FC3F",1)</v>
      </c>
      <c r="B70" s="14" t="s">
        <v>520</v>
      </c>
      <c r="C70" s="14" t="s">
        <v>520</v>
      </c>
      <c r="D70" s="14" t="s">
        <v>65</v>
      </c>
      <c r="E70" s="14" t="s">
        <v>1620</v>
      </c>
      <c r="F70" s="14" t="s">
        <v>1621</v>
      </c>
      <c r="G70" s="14" t="s">
        <v>1069</v>
      </c>
      <c r="H70" s="14" t="s">
        <v>1622</v>
      </c>
      <c r="I70" s="14" t="s">
        <v>1623</v>
      </c>
      <c r="J70" s="15" t="s">
        <v>974</v>
      </c>
      <c r="K70" s="14" t="s">
        <v>850</v>
      </c>
      <c r="L70" s="14" t="s">
        <v>851</v>
      </c>
      <c r="M70" s="879">
        <v>17711</v>
      </c>
      <c r="N70" s="880" t="s">
        <v>852</v>
      </c>
      <c r="O70" s="881" t="s">
        <v>1624</v>
      </c>
      <c r="P70" s="13" t="s">
        <v>2809</v>
      </c>
      <c r="Q70" s="882">
        <v>1.1</v>
      </c>
      <c r="R70" s="882" t="s">
        <v>2964</v>
      </c>
      <c r="S70" s="882">
        <f t="shared" si="2"/>
        <v>1.0406</v>
      </c>
      <c r="T70" s="882" t="s">
        <v>2965</v>
      </c>
      <c r="U70" s="13" t="s">
        <v>64</v>
      </c>
      <c r="V70" s="13" t="s">
        <v>2812</v>
      </c>
      <c r="W70" s="13" t="s">
        <v>2861</v>
      </c>
      <c r="X70" s="13" t="s">
        <v>2862</v>
      </c>
      <c r="Y70" s="13" t="s">
        <v>2903</v>
      </c>
      <c r="Z70" s="883" t="s">
        <v>2816</v>
      </c>
      <c r="AA70" s="883" t="s">
        <v>2816</v>
      </c>
      <c r="AB70" s="883" t="s">
        <v>2816</v>
      </c>
      <c r="AC70" s="13" t="s">
        <v>2863</v>
      </c>
      <c r="AD70" s="13" t="s">
        <v>2819</v>
      </c>
      <c r="AE70" s="14" t="s">
        <v>2864</v>
      </c>
      <c r="AF70" s="14" t="s">
        <v>2900</v>
      </c>
      <c r="AG70" s="14" t="s">
        <v>2865</v>
      </c>
      <c r="AH70" s="14" t="s">
        <v>2823</v>
      </c>
      <c r="AI70" s="15">
        <v>1</v>
      </c>
      <c r="AJ70" s="879">
        <v>492</v>
      </c>
      <c r="AK70" s="879">
        <v>18691.08</v>
      </c>
      <c r="AL70" s="884">
        <v>37.99</v>
      </c>
      <c r="AM70" s="885">
        <v>0.6444</v>
      </c>
      <c r="AN70" s="884">
        <v>7.81</v>
      </c>
      <c r="AO70" s="886">
        <v>4.3</v>
      </c>
      <c r="AP70" s="879">
        <v>1289</v>
      </c>
      <c r="AQ70" s="887">
        <v>1</v>
      </c>
      <c r="AR70" s="879">
        <v>492</v>
      </c>
      <c r="AS70" s="888"/>
      <c r="AT70" s="15" t="s">
        <v>947</v>
      </c>
      <c r="AU70" s="15" t="s">
        <v>1625</v>
      </c>
      <c r="AV70" s="889">
        <v>865</v>
      </c>
      <c r="AW70" s="889">
        <v>1</v>
      </c>
      <c r="AX70" s="889">
        <v>17</v>
      </c>
      <c r="AY70" s="14" t="s">
        <v>867</v>
      </c>
      <c r="AZ70" s="15" t="s">
        <v>65</v>
      </c>
      <c r="BA70" s="14" t="s">
        <v>65</v>
      </c>
      <c r="BB70" s="15" t="s">
        <v>856</v>
      </c>
      <c r="BC70" s="890" t="s">
        <v>1626</v>
      </c>
      <c r="BD70" s="890" t="s">
        <v>1627</v>
      </c>
    </row>
    <row r="71" s="1" customFormat="1" ht="24" customHeight="1" spans="1:56">
      <c r="A71" s="15" t="str">
        <f>_xlfn.DISPIMG("ID_C6D17E1139C940D4A05554BC8126AF0D",1)</f>
        <v>=DISPIMG("ID_C6D17E1139C940D4A05554BC8126AF0D",1)</v>
      </c>
      <c r="B71" s="14" t="s">
        <v>1628</v>
      </c>
      <c r="C71" s="14" t="s">
        <v>1628</v>
      </c>
      <c r="D71" s="14" t="s">
        <v>65</v>
      </c>
      <c r="E71" s="14" t="s">
        <v>1629</v>
      </c>
      <c r="F71" s="14" t="s">
        <v>1630</v>
      </c>
      <c r="G71" s="14" t="s">
        <v>1631</v>
      </c>
      <c r="H71" s="14" t="s">
        <v>1632</v>
      </c>
      <c r="I71" s="14" t="s">
        <v>1633</v>
      </c>
      <c r="J71" s="15" t="s">
        <v>1634</v>
      </c>
      <c r="K71" s="14" t="s">
        <v>850</v>
      </c>
      <c r="L71" s="14" t="s">
        <v>851</v>
      </c>
      <c r="M71" s="879">
        <v>30684</v>
      </c>
      <c r="N71" s="880" t="s">
        <v>852</v>
      </c>
      <c r="O71" s="881" t="s">
        <v>1635</v>
      </c>
      <c r="P71" s="13" t="s">
        <v>2852</v>
      </c>
      <c r="Q71" s="882">
        <v>12</v>
      </c>
      <c r="R71" s="882" t="s">
        <v>2969</v>
      </c>
      <c r="S71" s="882">
        <f t="shared" si="2"/>
        <v>11.352</v>
      </c>
      <c r="T71" s="882" t="s">
        <v>2970</v>
      </c>
      <c r="U71" s="13" t="s">
        <v>2877</v>
      </c>
      <c r="V71" s="13" t="s">
        <v>2836</v>
      </c>
      <c r="W71" s="13" t="s">
        <v>2849</v>
      </c>
      <c r="X71" s="13" t="s">
        <v>2844</v>
      </c>
      <c r="Y71" s="13" t="s">
        <v>2829</v>
      </c>
      <c r="Z71" s="883" t="s">
        <v>2817</v>
      </c>
      <c r="AA71" s="883" t="s">
        <v>2817</v>
      </c>
      <c r="AB71" s="883" t="s">
        <v>2816</v>
      </c>
      <c r="AC71" s="13" t="s">
        <v>2818</v>
      </c>
      <c r="AD71" s="13" t="s">
        <v>2839</v>
      </c>
      <c r="AE71" s="14" t="s">
        <v>2887</v>
      </c>
      <c r="AF71" s="14" t="s">
        <v>2883</v>
      </c>
      <c r="AG71" s="14" t="s">
        <v>2865</v>
      </c>
      <c r="AH71" s="14" t="s">
        <v>2823</v>
      </c>
      <c r="AI71" s="15">
        <v>1</v>
      </c>
      <c r="AJ71" s="879">
        <v>1235</v>
      </c>
      <c r="AK71" s="879">
        <v>185237.66</v>
      </c>
      <c r="AL71" s="884">
        <v>149.99</v>
      </c>
      <c r="AM71" s="885">
        <v>0.7235</v>
      </c>
      <c r="AN71" s="884">
        <v>18.97</v>
      </c>
      <c r="AO71" s="886">
        <v>4.4</v>
      </c>
      <c r="AP71" s="879">
        <v>2734</v>
      </c>
      <c r="AQ71" s="887">
        <v>0.0672</v>
      </c>
      <c r="AR71" s="879">
        <v>83</v>
      </c>
      <c r="AS71" s="888"/>
      <c r="AT71" s="15" t="s">
        <v>854</v>
      </c>
      <c r="AU71" s="15" t="s">
        <v>1386</v>
      </c>
      <c r="AV71" s="889">
        <v>195</v>
      </c>
      <c r="AW71" s="889">
        <v>1</v>
      </c>
      <c r="AX71" s="889">
        <v>6</v>
      </c>
      <c r="AY71" s="14" t="s">
        <v>65</v>
      </c>
      <c r="AZ71" s="15" t="s">
        <v>65</v>
      </c>
      <c r="BA71" s="14" t="s">
        <v>65</v>
      </c>
      <c r="BB71" s="15" t="s">
        <v>856</v>
      </c>
      <c r="BC71" s="890" t="s">
        <v>1636</v>
      </c>
      <c r="BD71" s="890" t="s">
        <v>1637</v>
      </c>
    </row>
    <row r="72" s="1" customFormat="1" ht="24" customHeight="1" spans="1:56">
      <c r="A72" s="15" t="str">
        <f>_xlfn.DISPIMG("ID_C67D11E027814CBC9628DC0F72391987",1)</f>
        <v>=DISPIMG("ID_C67D11E027814CBC9628DC0F72391987",1)</v>
      </c>
      <c r="B72" s="14" t="s">
        <v>419</v>
      </c>
      <c r="C72" s="14" t="s">
        <v>419</v>
      </c>
      <c r="D72" s="14" t="s">
        <v>65</v>
      </c>
      <c r="E72" s="14" t="s">
        <v>1638</v>
      </c>
      <c r="F72" s="14" t="s">
        <v>1639</v>
      </c>
      <c r="G72" s="14" t="s">
        <v>1640</v>
      </c>
      <c r="H72" s="14" t="s">
        <v>1641</v>
      </c>
      <c r="I72" s="14" t="s">
        <v>1642</v>
      </c>
      <c r="J72" s="15" t="s">
        <v>934</v>
      </c>
      <c r="K72" s="14" t="s">
        <v>850</v>
      </c>
      <c r="L72" s="14" t="s">
        <v>851</v>
      </c>
      <c r="M72" s="879">
        <v>14037</v>
      </c>
      <c r="N72" s="880" t="s">
        <v>852</v>
      </c>
      <c r="O72" s="881" t="s">
        <v>1607</v>
      </c>
      <c r="P72" s="13" t="s">
        <v>2832</v>
      </c>
      <c r="Q72" s="882">
        <v>10</v>
      </c>
      <c r="R72" s="882" t="s">
        <v>2833</v>
      </c>
      <c r="S72" s="882">
        <f t="shared" si="2"/>
        <v>9.46</v>
      </c>
      <c r="T72" s="882" t="s">
        <v>2834</v>
      </c>
      <c r="U72" s="13" t="s">
        <v>64</v>
      </c>
      <c r="V72" s="13" t="s">
        <v>2812</v>
      </c>
      <c r="W72" s="13" t="s">
        <v>2894</v>
      </c>
      <c r="X72" s="13" t="s">
        <v>2844</v>
      </c>
      <c r="Y72" s="13" t="s">
        <v>2815</v>
      </c>
      <c r="Z72" s="883" t="s">
        <v>2816</v>
      </c>
      <c r="AA72" s="883" t="s">
        <v>2817</v>
      </c>
      <c r="AB72" s="883" t="s">
        <v>2816</v>
      </c>
      <c r="AC72" s="13" t="s">
        <v>2818</v>
      </c>
      <c r="AD72" s="13" t="s">
        <v>2850</v>
      </c>
      <c r="AE72" s="14" t="s">
        <v>2880</v>
      </c>
      <c r="AF72" s="14" t="s">
        <v>2900</v>
      </c>
      <c r="AG72" s="14" t="s">
        <v>2865</v>
      </c>
      <c r="AH72" s="14" t="s">
        <v>2823</v>
      </c>
      <c r="AI72" s="15">
        <v>1</v>
      </c>
      <c r="AJ72" s="879">
        <v>666</v>
      </c>
      <c r="AK72" s="879">
        <v>126533.34</v>
      </c>
      <c r="AL72" s="884">
        <v>189.99</v>
      </c>
      <c r="AM72" s="885">
        <v>0.728</v>
      </c>
      <c r="AN72" s="884">
        <v>23.17</v>
      </c>
      <c r="AO72" s="886">
        <v>4.5</v>
      </c>
      <c r="AP72" s="879">
        <v>2334</v>
      </c>
      <c r="AQ72" s="887">
        <v>0</v>
      </c>
      <c r="AR72" s="879">
        <v>997</v>
      </c>
      <c r="AS72" s="888"/>
      <c r="AT72" s="15" t="s">
        <v>876</v>
      </c>
      <c r="AU72" s="15" t="s">
        <v>1643</v>
      </c>
      <c r="AV72" s="889">
        <v>844</v>
      </c>
      <c r="AW72" s="889">
        <v>1</v>
      </c>
      <c r="AX72" s="889">
        <v>3</v>
      </c>
      <c r="AY72" s="14" t="s">
        <v>1330</v>
      </c>
      <c r="AZ72" s="15" t="s">
        <v>65</v>
      </c>
      <c r="BA72" s="14" t="s">
        <v>1331</v>
      </c>
      <c r="BB72" s="15" t="s">
        <v>856</v>
      </c>
      <c r="BC72" s="890" t="s">
        <v>1644</v>
      </c>
      <c r="BD72" s="890" t="s">
        <v>1645</v>
      </c>
    </row>
    <row r="73" s="1" customFormat="1" ht="24" customHeight="1" spans="1:56">
      <c r="A73" s="15" t="str">
        <f>_xlfn.DISPIMG("ID_C649D54E3BEE4596A94D41E76DEB3E83",1)</f>
        <v>=DISPIMG("ID_C649D54E3BEE4596A94D41E76DEB3E83",1)</v>
      </c>
      <c r="B73" s="14" t="s">
        <v>1646</v>
      </c>
      <c r="C73" s="14" t="s">
        <v>1646</v>
      </c>
      <c r="D73" s="14" t="s">
        <v>65</v>
      </c>
      <c r="E73" s="14" t="s">
        <v>1647</v>
      </c>
      <c r="F73" s="14" t="s">
        <v>1648</v>
      </c>
      <c r="G73" s="14" t="s">
        <v>1408</v>
      </c>
      <c r="H73" s="14" t="s">
        <v>1649</v>
      </c>
      <c r="I73" s="14" t="s">
        <v>1650</v>
      </c>
      <c r="J73" s="15" t="s">
        <v>65</v>
      </c>
      <c r="K73" s="14" t="s">
        <v>850</v>
      </c>
      <c r="L73" s="14" t="s">
        <v>851</v>
      </c>
      <c r="M73" s="879">
        <v>16222</v>
      </c>
      <c r="N73" s="880" t="s">
        <v>1029</v>
      </c>
      <c r="O73" s="881" t="s">
        <v>1651</v>
      </c>
      <c r="P73" s="13" t="s">
        <v>2809</v>
      </c>
      <c r="Q73" s="882">
        <v>7</v>
      </c>
      <c r="R73" s="882" t="s">
        <v>2941</v>
      </c>
      <c r="S73" s="882">
        <f t="shared" si="2"/>
        <v>6.622</v>
      </c>
      <c r="T73" s="882" t="s">
        <v>2942</v>
      </c>
      <c r="U73" s="13" t="s">
        <v>64</v>
      </c>
      <c r="V73" s="13" t="s">
        <v>2812</v>
      </c>
      <c r="W73" s="13" t="s">
        <v>2894</v>
      </c>
      <c r="X73" s="13" t="s">
        <v>2989</v>
      </c>
      <c r="Y73" s="13" t="s">
        <v>2815</v>
      </c>
      <c r="Z73" s="883" t="s">
        <v>2816</v>
      </c>
      <c r="AA73" s="883" t="s">
        <v>2817</v>
      </c>
      <c r="AB73" s="883" t="s">
        <v>2816</v>
      </c>
      <c r="AC73" s="13" t="s">
        <v>2818</v>
      </c>
      <c r="AD73" s="13" t="s">
        <v>2819</v>
      </c>
      <c r="AE73" s="14" t="s">
        <v>2840</v>
      </c>
      <c r="AF73" s="14" t="s">
        <v>2821</v>
      </c>
      <c r="AG73" s="14" t="s">
        <v>2822</v>
      </c>
      <c r="AH73" s="14" t="s">
        <v>2823</v>
      </c>
      <c r="AI73" s="15">
        <v>1</v>
      </c>
      <c r="AJ73" s="879">
        <v>418</v>
      </c>
      <c r="AK73" s="879">
        <v>41540.84</v>
      </c>
      <c r="AL73" s="884">
        <v>104</v>
      </c>
      <c r="AM73" s="885">
        <v>0.6591</v>
      </c>
      <c r="AN73" s="884">
        <v>18.97</v>
      </c>
      <c r="AO73" s="886">
        <v>4.6</v>
      </c>
      <c r="AP73" s="879">
        <v>2141</v>
      </c>
      <c r="AQ73" s="887">
        <v>0.0766</v>
      </c>
      <c r="AR73" s="879">
        <v>32</v>
      </c>
      <c r="AS73" s="888"/>
      <c r="AT73" s="15" t="s">
        <v>854</v>
      </c>
      <c r="AU73" s="15" t="s">
        <v>1652</v>
      </c>
      <c r="AV73" s="889">
        <v>1235</v>
      </c>
      <c r="AW73" s="889">
        <v>1</v>
      </c>
      <c r="AX73" s="889">
        <v>31</v>
      </c>
      <c r="AY73" s="14" t="s">
        <v>1653</v>
      </c>
      <c r="AZ73" s="15" t="s">
        <v>1110</v>
      </c>
      <c r="BA73" s="14" t="s">
        <v>1654</v>
      </c>
      <c r="BB73" s="15" t="s">
        <v>856</v>
      </c>
      <c r="BC73" s="890" t="s">
        <v>1655</v>
      </c>
      <c r="BD73" s="890" t="s">
        <v>1656</v>
      </c>
    </row>
    <row r="74" s="1" customFormat="1" ht="24" customHeight="1" spans="1:56">
      <c r="A74" s="15" t="str">
        <f>_xlfn.DISPIMG("ID_483305CF252249D1AC3FAAE06499E4E2",1)</f>
        <v>=DISPIMG("ID_483305CF252249D1AC3FAAE06499E4E2",1)</v>
      </c>
      <c r="B74" s="14" t="s">
        <v>1657</v>
      </c>
      <c r="C74" s="14" t="s">
        <v>1657</v>
      </c>
      <c r="D74" s="14" t="s">
        <v>65</v>
      </c>
      <c r="E74" s="14" t="s">
        <v>1658</v>
      </c>
      <c r="F74" s="14" t="s">
        <v>1659</v>
      </c>
      <c r="G74" s="14" t="s">
        <v>1660</v>
      </c>
      <c r="H74" s="14" t="s">
        <v>1661</v>
      </c>
      <c r="I74" s="14" t="s">
        <v>1662</v>
      </c>
      <c r="J74" s="15" t="s">
        <v>1634</v>
      </c>
      <c r="K74" s="14" t="s">
        <v>850</v>
      </c>
      <c r="L74" s="14" t="s">
        <v>851</v>
      </c>
      <c r="M74" s="879">
        <v>15808</v>
      </c>
      <c r="N74" s="880" t="s">
        <v>852</v>
      </c>
      <c r="O74" s="881" t="s">
        <v>1663</v>
      </c>
      <c r="P74" s="13" t="s">
        <v>2809</v>
      </c>
      <c r="Q74" s="882">
        <v>24</v>
      </c>
      <c r="R74" s="882" t="s">
        <v>2991</v>
      </c>
      <c r="S74" s="882">
        <f t="shared" si="2"/>
        <v>22.704</v>
      </c>
      <c r="T74" s="882" t="s">
        <v>2992</v>
      </c>
      <c r="U74" s="13" t="s">
        <v>2877</v>
      </c>
      <c r="V74" s="895" t="s">
        <v>2836</v>
      </c>
      <c r="W74" s="13" t="s">
        <v>2894</v>
      </c>
      <c r="X74" s="13" t="s">
        <v>2844</v>
      </c>
      <c r="Y74" s="13" t="s">
        <v>2815</v>
      </c>
      <c r="Z74" s="883" t="s">
        <v>2817</v>
      </c>
      <c r="AA74" s="883" t="s">
        <v>2817</v>
      </c>
      <c r="AB74" s="883" t="s">
        <v>2816</v>
      </c>
      <c r="AC74" s="13" t="s">
        <v>2912</v>
      </c>
      <c r="AD74" s="13" t="s">
        <v>2839</v>
      </c>
      <c r="AE74" s="14" t="s">
        <v>2906</v>
      </c>
      <c r="AF74" s="14" t="s">
        <v>2883</v>
      </c>
      <c r="AG74" s="14" t="s">
        <v>2930</v>
      </c>
      <c r="AH74" s="14" t="s">
        <v>2940</v>
      </c>
      <c r="AI74" s="15">
        <v>1</v>
      </c>
      <c r="AJ74" s="879">
        <v>600</v>
      </c>
      <c r="AK74" s="879">
        <v>71994</v>
      </c>
      <c r="AL74" s="884">
        <v>119.99</v>
      </c>
      <c r="AM74" s="885">
        <v>0.6149</v>
      </c>
      <c r="AN74" s="884">
        <v>28.21</v>
      </c>
      <c r="AO74" s="886">
        <v>4.2</v>
      </c>
      <c r="AP74" s="879">
        <v>121</v>
      </c>
      <c r="AQ74" s="887">
        <v>0.0617</v>
      </c>
      <c r="AR74" s="879">
        <v>37</v>
      </c>
      <c r="AS74" s="888"/>
      <c r="AT74" s="15" t="s">
        <v>1267</v>
      </c>
      <c r="AU74" s="15" t="s">
        <v>1664</v>
      </c>
      <c r="AV74" s="889">
        <v>187</v>
      </c>
      <c r="AW74" s="889">
        <v>1</v>
      </c>
      <c r="AX74" s="889">
        <v>1</v>
      </c>
      <c r="AY74" s="14" t="s">
        <v>1665</v>
      </c>
      <c r="AZ74" s="15" t="s">
        <v>65</v>
      </c>
      <c r="BA74" s="14" t="s">
        <v>1666</v>
      </c>
      <c r="BB74" s="15" t="s">
        <v>856</v>
      </c>
      <c r="BC74" s="890" t="s">
        <v>1667</v>
      </c>
      <c r="BD74" s="890" t="s">
        <v>1668</v>
      </c>
    </row>
    <row r="75" s="1" customFormat="1" ht="24" customHeight="1" spans="1:56">
      <c r="A75" s="15" t="str">
        <f>_xlfn.DISPIMG("ID_2795715DC5D74671AD3CB580CAED5E6A",1)</f>
        <v>=DISPIMG("ID_2795715DC5D74671AD3CB580CAED5E6A",1)</v>
      </c>
      <c r="B75" s="14" t="s">
        <v>1669</v>
      </c>
      <c r="C75" s="14" t="s">
        <v>1669</v>
      </c>
      <c r="D75" s="14" t="s">
        <v>65</v>
      </c>
      <c r="E75" s="14" t="s">
        <v>1670</v>
      </c>
      <c r="F75" s="14" t="s">
        <v>1671</v>
      </c>
      <c r="G75" s="14" t="s">
        <v>931</v>
      </c>
      <c r="H75" s="14" t="s">
        <v>1672</v>
      </c>
      <c r="I75" s="14" t="s">
        <v>1673</v>
      </c>
      <c r="J75" s="15" t="s">
        <v>934</v>
      </c>
      <c r="K75" s="14" t="s">
        <v>850</v>
      </c>
      <c r="L75" s="14" t="s">
        <v>851</v>
      </c>
      <c r="M75" s="879">
        <v>11157</v>
      </c>
      <c r="N75" s="880" t="s">
        <v>852</v>
      </c>
      <c r="O75" s="881" t="s">
        <v>1674</v>
      </c>
      <c r="P75" s="13" t="s">
        <v>2881</v>
      </c>
      <c r="Q75" s="882">
        <v>6</v>
      </c>
      <c r="R75" s="882" t="s">
        <v>2841</v>
      </c>
      <c r="S75" s="882">
        <f t="shared" si="2"/>
        <v>5.676</v>
      </c>
      <c r="T75" s="882" t="s">
        <v>2842</v>
      </c>
      <c r="U75" s="13" t="s">
        <v>64</v>
      </c>
      <c r="V75" s="13" t="s">
        <v>2812</v>
      </c>
      <c r="W75" s="13" t="s">
        <v>2861</v>
      </c>
      <c r="X75" s="13" t="s">
        <v>2844</v>
      </c>
      <c r="Y75" s="13" t="s">
        <v>2815</v>
      </c>
      <c r="Z75" s="883" t="s">
        <v>2816</v>
      </c>
      <c r="AA75" s="883" t="s">
        <v>2816</v>
      </c>
      <c r="AB75" s="883" t="s">
        <v>2816</v>
      </c>
      <c r="AC75" s="13" t="s">
        <v>2863</v>
      </c>
      <c r="AD75" s="13" t="s">
        <v>2819</v>
      </c>
      <c r="AE75" s="14" t="s">
        <v>2866</v>
      </c>
      <c r="AF75" s="14" t="s">
        <v>2821</v>
      </c>
      <c r="AG75" s="14" t="s">
        <v>2822</v>
      </c>
      <c r="AH75" s="14" t="s">
        <v>2823</v>
      </c>
      <c r="AI75" s="15">
        <v>1</v>
      </c>
      <c r="AJ75" s="879">
        <v>500</v>
      </c>
      <c r="AK75" s="879">
        <v>28425</v>
      </c>
      <c r="AL75" s="884">
        <v>56.85</v>
      </c>
      <c r="AM75" s="885">
        <v>0.5163</v>
      </c>
      <c r="AN75" s="884">
        <v>18.97</v>
      </c>
      <c r="AO75" s="886">
        <v>4.6</v>
      </c>
      <c r="AP75" s="879">
        <v>11972</v>
      </c>
      <c r="AQ75" s="887">
        <v>0.038</v>
      </c>
      <c r="AR75" s="879">
        <v>19</v>
      </c>
      <c r="AS75" s="888"/>
      <c r="AT75" s="15" t="s">
        <v>854</v>
      </c>
      <c r="AU75" s="15" t="s">
        <v>1675</v>
      </c>
      <c r="AV75" s="889">
        <v>1680</v>
      </c>
      <c r="AW75" s="889">
        <v>1</v>
      </c>
      <c r="AX75" s="889">
        <v>2</v>
      </c>
      <c r="AY75" s="14" t="s">
        <v>867</v>
      </c>
      <c r="AZ75" s="15" t="s">
        <v>65</v>
      </c>
      <c r="BA75" s="14" t="s">
        <v>65</v>
      </c>
      <c r="BB75" s="15" t="s">
        <v>856</v>
      </c>
      <c r="BC75" s="890" t="s">
        <v>1676</v>
      </c>
      <c r="BD75" s="890" t="s">
        <v>1677</v>
      </c>
    </row>
    <row r="76" s="1" customFormat="1" ht="24" customHeight="1" spans="1:56">
      <c r="A76" s="15" t="str">
        <f>_xlfn.DISPIMG("ID_35B0A37ECC2647E99C4330092C5B67A9",1)</f>
        <v>=DISPIMG("ID_35B0A37ECC2647E99C4330092C5B67A9",1)</v>
      </c>
      <c r="B76" s="14" t="s">
        <v>95</v>
      </c>
      <c r="C76" s="14" t="s">
        <v>95</v>
      </c>
      <c r="D76" s="14" t="s">
        <v>65</v>
      </c>
      <c r="E76" s="14" t="s">
        <v>1678</v>
      </c>
      <c r="F76" s="14" t="s">
        <v>1679</v>
      </c>
      <c r="G76" s="14" t="s">
        <v>861</v>
      </c>
      <c r="H76" s="14" t="s">
        <v>1680</v>
      </c>
      <c r="I76" s="14" t="s">
        <v>1681</v>
      </c>
      <c r="J76" s="15" t="s">
        <v>1012</v>
      </c>
      <c r="K76" s="14" t="s">
        <v>850</v>
      </c>
      <c r="L76" s="14" t="s">
        <v>851</v>
      </c>
      <c r="M76" s="879">
        <v>13280</v>
      </c>
      <c r="N76" s="880" t="s">
        <v>852</v>
      </c>
      <c r="O76" s="881" t="s">
        <v>1682</v>
      </c>
      <c r="P76" s="13" t="s">
        <v>2809</v>
      </c>
      <c r="Q76" s="882">
        <v>5.8</v>
      </c>
      <c r="R76" s="882" t="s">
        <v>2847</v>
      </c>
      <c r="S76" s="882">
        <f t="shared" si="2"/>
        <v>5.4868</v>
      </c>
      <c r="T76" s="882" t="s">
        <v>2848</v>
      </c>
      <c r="U76" s="13" t="s">
        <v>64</v>
      </c>
      <c r="V76" s="13" t="s">
        <v>2812</v>
      </c>
      <c r="W76" s="13" t="s">
        <v>2920</v>
      </c>
      <c r="X76" s="13" t="s">
        <v>2844</v>
      </c>
      <c r="Y76" s="13" t="s">
        <v>2815</v>
      </c>
      <c r="Z76" s="883" t="s">
        <v>2816</v>
      </c>
      <c r="AA76" s="883" t="s">
        <v>2817</v>
      </c>
      <c r="AB76" s="883" t="s">
        <v>2817</v>
      </c>
      <c r="AC76" s="13" t="s">
        <v>2922</v>
      </c>
      <c r="AD76" s="13" t="s">
        <v>2850</v>
      </c>
      <c r="AE76" s="14" t="s">
        <v>2906</v>
      </c>
      <c r="AF76" s="14" t="s">
        <v>2883</v>
      </c>
      <c r="AG76" s="14" t="s">
        <v>2993</v>
      </c>
      <c r="AH76" s="14" t="s">
        <v>2979</v>
      </c>
      <c r="AI76" s="15">
        <v>1</v>
      </c>
      <c r="AJ76" s="879">
        <v>981</v>
      </c>
      <c r="AK76" s="879">
        <v>117710.19</v>
      </c>
      <c r="AL76" s="884">
        <v>119.99</v>
      </c>
      <c r="AM76" s="885">
        <v>0.6884</v>
      </c>
      <c r="AN76" s="884">
        <v>19.39</v>
      </c>
      <c r="AO76" s="886">
        <v>4</v>
      </c>
      <c r="AP76" s="879">
        <v>55</v>
      </c>
      <c r="AQ76" s="887">
        <v>0.0306</v>
      </c>
      <c r="AR76" s="879">
        <v>30</v>
      </c>
      <c r="AS76" s="888"/>
      <c r="AT76" s="15" t="s">
        <v>947</v>
      </c>
      <c r="AU76" s="15" t="s">
        <v>1683</v>
      </c>
      <c r="AV76" s="889">
        <v>203</v>
      </c>
      <c r="AW76" s="889">
        <v>1</v>
      </c>
      <c r="AX76" s="889">
        <v>1</v>
      </c>
      <c r="AY76" s="14" t="s">
        <v>867</v>
      </c>
      <c r="AZ76" s="15" t="s">
        <v>65</v>
      </c>
      <c r="BA76" s="14" t="s">
        <v>65</v>
      </c>
      <c r="BB76" s="15" t="s">
        <v>856</v>
      </c>
      <c r="BC76" s="890" t="s">
        <v>1684</v>
      </c>
      <c r="BD76" s="890" t="s">
        <v>1685</v>
      </c>
    </row>
    <row r="77" s="1" customFormat="1" ht="24" customHeight="1" spans="1:56">
      <c r="A77" s="15" t="str">
        <f>_xlfn.DISPIMG("ID_BB253EF55B6C4CAC9D7887F594953095",1)</f>
        <v>=DISPIMG("ID_BB253EF55B6C4CAC9D7887F594953095",1)</v>
      </c>
      <c r="B77" s="14" t="s">
        <v>1703</v>
      </c>
      <c r="C77" s="14" t="s">
        <v>1703</v>
      </c>
      <c r="D77" s="14" t="s">
        <v>65</v>
      </c>
      <c r="E77" s="14" t="s">
        <v>1704</v>
      </c>
      <c r="F77" s="14" t="s">
        <v>1705</v>
      </c>
      <c r="G77" s="14" t="s">
        <v>1152</v>
      </c>
      <c r="H77" s="14" t="s">
        <v>1706</v>
      </c>
      <c r="I77" s="14" t="s">
        <v>1707</v>
      </c>
      <c r="J77" s="15" t="s">
        <v>934</v>
      </c>
      <c r="K77" s="14" t="s">
        <v>850</v>
      </c>
      <c r="L77" s="14" t="s">
        <v>851</v>
      </c>
      <c r="M77" s="879">
        <v>15830</v>
      </c>
      <c r="N77" s="880" t="s">
        <v>852</v>
      </c>
      <c r="O77" s="881" t="s">
        <v>1708</v>
      </c>
      <c r="P77" s="13" t="s">
        <v>2809</v>
      </c>
      <c r="Q77" s="882">
        <v>12.5</v>
      </c>
      <c r="R77" s="882" t="s">
        <v>2994</v>
      </c>
      <c r="S77" s="882">
        <f t="shared" si="2"/>
        <v>11.825</v>
      </c>
      <c r="T77" s="882" t="s">
        <v>2995</v>
      </c>
      <c r="U77" s="13" t="s">
        <v>2877</v>
      </c>
      <c r="V77" s="13" t="s">
        <v>2904</v>
      </c>
      <c r="W77" s="13" t="s">
        <v>2878</v>
      </c>
      <c r="X77" s="13" t="s">
        <v>2844</v>
      </c>
      <c r="Y77" s="13" t="s">
        <v>2815</v>
      </c>
      <c r="Z77" s="883" t="s">
        <v>2817</v>
      </c>
      <c r="AA77" s="883" t="s">
        <v>2817</v>
      </c>
      <c r="AB77" s="883" t="s">
        <v>2816</v>
      </c>
      <c r="AC77" s="13" t="s">
        <v>2818</v>
      </c>
      <c r="AD77" s="13" t="s">
        <v>2850</v>
      </c>
      <c r="AE77" s="14" t="s">
        <v>2906</v>
      </c>
      <c r="AF77" s="14" t="s">
        <v>2821</v>
      </c>
      <c r="AG77" s="14" t="s">
        <v>2865</v>
      </c>
      <c r="AH77" s="14" t="s">
        <v>2823</v>
      </c>
      <c r="AI77" s="15">
        <v>1</v>
      </c>
      <c r="AJ77" s="879">
        <v>1010</v>
      </c>
      <c r="AK77" s="879">
        <v>85829.805</v>
      </c>
      <c r="AL77" s="884">
        <v>119.99</v>
      </c>
      <c r="AM77" s="885">
        <v>0.5922</v>
      </c>
      <c r="AN77" s="884">
        <v>21.91</v>
      </c>
      <c r="AO77" s="886">
        <v>4.5</v>
      </c>
      <c r="AP77" s="879">
        <v>13845</v>
      </c>
      <c r="AQ77" s="887">
        <v>0.095</v>
      </c>
      <c r="AR77" s="879">
        <v>96</v>
      </c>
      <c r="AS77" s="888"/>
      <c r="AT77" s="15" t="s">
        <v>854</v>
      </c>
      <c r="AU77" s="15" t="s">
        <v>1709</v>
      </c>
      <c r="AV77" s="889">
        <v>1225</v>
      </c>
      <c r="AW77" s="889">
        <v>1</v>
      </c>
      <c r="AX77" s="889">
        <v>4</v>
      </c>
      <c r="AY77" s="14" t="s">
        <v>65</v>
      </c>
      <c r="AZ77" s="15" t="s">
        <v>65</v>
      </c>
      <c r="BA77" s="14" t="s">
        <v>65</v>
      </c>
      <c r="BB77" s="15" t="s">
        <v>856</v>
      </c>
      <c r="BC77" s="890" t="s">
        <v>1710</v>
      </c>
      <c r="BD77" s="890" t="s">
        <v>1711</v>
      </c>
    </row>
    <row r="78" s="1" customFormat="1" ht="24" customHeight="1" spans="1:56">
      <c r="A78" s="15" t="str">
        <f>_xlfn.DISPIMG("ID_B039124550CD4981B557EE255393115B",1)</f>
        <v>=DISPIMG("ID_B039124550CD4981B557EE255393115B",1)</v>
      </c>
      <c r="B78" s="14" t="s">
        <v>1712</v>
      </c>
      <c r="C78" s="14" t="s">
        <v>1712</v>
      </c>
      <c r="D78" s="14" t="s">
        <v>65</v>
      </c>
      <c r="E78" s="14" t="s">
        <v>1713</v>
      </c>
      <c r="F78" s="14" t="s">
        <v>1714</v>
      </c>
      <c r="G78" s="14" t="s">
        <v>1715</v>
      </c>
      <c r="H78" s="14" t="s">
        <v>1716</v>
      </c>
      <c r="I78" s="14" t="s">
        <v>1717</v>
      </c>
      <c r="J78" s="15" t="s">
        <v>974</v>
      </c>
      <c r="K78" s="14" t="s">
        <v>850</v>
      </c>
      <c r="L78" s="14" t="s">
        <v>851</v>
      </c>
      <c r="M78" s="879">
        <v>23256</v>
      </c>
      <c r="N78" s="880" t="s">
        <v>852</v>
      </c>
      <c r="O78" s="881" t="s">
        <v>1718</v>
      </c>
      <c r="P78" s="13" t="s">
        <v>2832</v>
      </c>
      <c r="Q78" s="882">
        <v>31.4</v>
      </c>
      <c r="R78" s="882" t="s">
        <v>2996</v>
      </c>
      <c r="S78" s="882">
        <f t="shared" si="2"/>
        <v>29.7044</v>
      </c>
      <c r="T78" s="882" t="s">
        <v>2997</v>
      </c>
      <c r="U78" s="13" t="s">
        <v>2877</v>
      </c>
      <c r="V78" s="13" t="s">
        <v>2836</v>
      </c>
      <c r="W78" s="13" t="s">
        <v>2998</v>
      </c>
      <c r="X78" s="13" t="s">
        <v>2874</v>
      </c>
      <c r="Y78" s="13" t="s">
        <v>2829</v>
      </c>
      <c r="Z78" s="883" t="s">
        <v>2817</v>
      </c>
      <c r="AA78" s="883" t="s">
        <v>2817</v>
      </c>
      <c r="AB78" s="883" t="s">
        <v>2816</v>
      </c>
      <c r="AC78" s="13" t="s">
        <v>2845</v>
      </c>
      <c r="AD78" s="13" t="s">
        <v>2839</v>
      </c>
      <c r="AE78" s="14" t="s">
        <v>2857</v>
      </c>
      <c r="AF78" s="14" t="s">
        <v>2917</v>
      </c>
      <c r="AG78" s="14" t="s">
        <v>2933</v>
      </c>
      <c r="AH78" s="14" t="s">
        <v>2934</v>
      </c>
      <c r="AI78" s="15">
        <v>1</v>
      </c>
      <c r="AJ78" s="879">
        <v>231</v>
      </c>
      <c r="AK78" s="879">
        <v>43887.69</v>
      </c>
      <c r="AL78" s="884">
        <v>239.99</v>
      </c>
      <c r="AM78" s="885">
        <v>0.6949</v>
      </c>
      <c r="AN78" s="884">
        <v>29.47</v>
      </c>
      <c r="AO78" s="886">
        <v>4.9</v>
      </c>
      <c r="AP78" s="879">
        <v>11</v>
      </c>
      <c r="AQ78" s="887">
        <v>0.0433</v>
      </c>
      <c r="AR78" s="879">
        <v>10</v>
      </c>
      <c r="AS78" s="888"/>
      <c r="AT78" s="15" t="s">
        <v>65</v>
      </c>
      <c r="AU78" s="15" t="s">
        <v>1719</v>
      </c>
      <c r="AV78" s="889">
        <v>85</v>
      </c>
      <c r="AW78" s="889">
        <v>1</v>
      </c>
      <c r="AX78" s="889">
        <v>2</v>
      </c>
      <c r="AY78" s="14" t="s">
        <v>1720</v>
      </c>
      <c r="AZ78" s="15" t="s">
        <v>1401</v>
      </c>
      <c r="BA78" s="14" t="s">
        <v>1721</v>
      </c>
      <c r="BB78" s="15" t="s">
        <v>856</v>
      </c>
      <c r="BC78" s="890" t="s">
        <v>1722</v>
      </c>
      <c r="BD78" s="890" t="s">
        <v>1723</v>
      </c>
    </row>
    <row r="79" s="1" customFormat="1" ht="24" customHeight="1" spans="1:56">
      <c r="A79" s="15" t="str">
        <f>_xlfn.DISPIMG("ID_879CF2E30A904DAFA7C2843A597570A3",1)</f>
        <v>=DISPIMG("ID_879CF2E30A904DAFA7C2843A597570A3",1)</v>
      </c>
      <c r="B79" s="14" t="s">
        <v>1736</v>
      </c>
      <c r="C79" s="14" t="s">
        <v>1736</v>
      </c>
      <c r="D79" s="14" t="s">
        <v>65</v>
      </c>
      <c r="E79" s="14" t="s">
        <v>1737</v>
      </c>
      <c r="F79" s="14" t="s">
        <v>1738</v>
      </c>
      <c r="G79" s="14" t="s">
        <v>1408</v>
      </c>
      <c r="H79" s="14" t="s">
        <v>1739</v>
      </c>
      <c r="I79" s="14" t="s">
        <v>1740</v>
      </c>
      <c r="J79" s="15" t="s">
        <v>934</v>
      </c>
      <c r="K79" s="14" t="s">
        <v>850</v>
      </c>
      <c r="L79" s="14" t="s">
        <v>851</v>
      </c>
      <c r="M79" s="879">
        <v>17477</v>
      </c>
      <c r="N79" s="880" t="s">
        <v>1029</v>
      </c>
      <c r="O79" s="881" t="s">
        <v>1741</v>
      </c>
      <c r="P79" s="13" t="s">
        <v>2832</v>
      </c>
      <c r="Q79" s="882">
        <v>6</v>
      </c>
      <c r="R79" s="882" t="s">
        <v>2841</v>
      </c>
      <c r="S79" s="882">
        <f t="shared" si="2"/>
        <v>5.676</v>
      </c>
      <c r="T79" s="882" t="s">
        <v>2842</v>
      </c>
      <c r="U79" s="13" t="s">
        <v>2907</v>
      </c>
      <c r="V79" s="13" t="s">
        <v>2812</v>
      </c>
      <c r="W79" s="13" t="s">
        <v>2849</v>
      </c>
      <c r="X79" s="13" t="s">
        <v>2814</v>
      </c>
      <c r="Y79" s="13" t="s">
        <v>2895</v>
      </c>
      <c r="Z79" s="883" t="s">
        <v>2817</v>
      </c>
      <c r="AA79" s="883" t="s">
        <v>2817</v>
      </c>
      <c r="AB79" s="883" t="s">
        <v>2816</v>
      </c>
      <c r="AC79" s="13" t="s">
        <v>2845</v>
      </c>
      <c r="AD79" s="13" t="s">
        <v>2839</v>
      </c>
      <c r="AE79" s="14" t="s">
        <v>2840</v>
      </c>
      <c r="AF79" s="14" t="s">
        <v>2900</v>
      </c>
      <c r="AG79" s="14" t="s">
        <v>2865</v>
      </c>
      <c r="AH79" s="14" t="s">
        <v>2823</v>
      </c>
      <c r="AI79" s="15">
        <v>1</v>
      </c>
      <c r="AJ79" s="879">
        <v>540</v>
      </c>
      <c r="AK79" s="879">
        <v>55614.598</v>
      </c>
      <c r="AL79" s="884">
        <v>102.99</v>
      </c>
      <c r="AM79" s="885">
        <v>0.6332</v>
      </c>
      <c r="AN79" s="884">
        <v>22.33</v>
      </c>
      <c r="AO79" s="886">
        <v>4.5</v>
      </c>
      <c r="AP79" s="879">
        <v>2593</v>
      </c>
      <c r="AQ79" s="887">
        <v>0.0963</v>
      </c>
      <c r="AR79" s="879">
        <v>52</v>
      </c>
      <c r="AS79" s="888"/>
      <c r="AT79" s="15" t="s">
        <v>876</v>
      </c>
      <c r="AU79" s="15" t="s">
        <v>1268</v>
      </c>
      <c r="AV79" s="889">
        <v>896</v>
      </c>
      <c r="AW79" s="889">
        <v>1</v>
      </c>
      <c r="AX79" s="889">
        <v>1</v>
      </c>
      <c r="AY79" s="14" t="s">
        <v>1032</v>
      </c>
      <c r="AZ79" s="15" t="s">
        <v>65</v>
      </c>
      <c r="BA79" s="14" t="s">
        <v>1033</v>
      </c>
      <c r="BB79" s="15" t="s">
        <v>856</v>
      </c>
      <c r="BC79" s="890" t="s">
        <v>1742</v>
      </c>
      <c r="BD79" s="890" t="s">
        <v>1743</v>
      </c>
    </row>
    <row r="80" s="1" customFormat="1" ht="24" customHeight="1" spans="1:56">
      <c r="A80" s="15" t="str">
        <f>_xlfn.DISPIMG("ID_B36370CE9DE24B8A8FBAB44B1FB4C28F",1)</f>
        <v>=DISPIMG("ID_B36370CE9DE24B8A8FBAB44B1FB4C28F",1)</v>
      </c>
      <c r="B80" s="14" t="s">
        <v>1744</v>
      </c>
      <c r="C80" s="14" t="s">
        <v>1744</v>
      </c>
      <c r="D80" s="14" t="s">
        <v>65</v>
      </c>
      <c r="E80" s="14" t="s">
        <v>1745</v>
      </c>
      <c r="F80" s="14" t="s">
        <v>1746</v>
      </c>
      <c r="G80" s="14" t="s">
        <v>1059</v>
      </c>
      <c r="H80" s="14" t="s">
        <v>1747</v>
      </c>
      <c r="I80" s="14" t="s">
        <v>1748</v>
      </c>
      <c r="J80" s="15" t="s">
        <v>864</v>
      </c>
      <c r="K80" s="14" t="s">
        <v>850</v>
      </c>
      <c r="L80" s="14" t="s">
        <v>851</v>
      </c>
      <c r="M80" s="879">
        <v>13708</v>
      </c>
      <c r="N80" s="880" t="s">
        <v>852</v>
      </c>
      <c r="O80" s="881" t="s">
        <v>1749</v>
      </c>
      <c r="P80" s="13" t="s">
        <v>2852</v>
      </c>
      <c r="Q80" s="882">
        <v>20</v>
      </c>
      <c r="R80" s="882" t="s">
        <v>2961</v>
      </c>
      <c r="S80" s="882">
        <f t="shared" si="2"/>
        <v>18.92</v>
      </c>
      <c r="T80" s="882" t="s">
        <v>2962</v>
      </c>
      <c r="U80" s="13" t="s">
        <v>2877</v>
      </c>
      <c r="V80" s="13" t="s">
        <v>2836</v>
      </c>
      <c r="W80" s="13" t="s">
        <v>2837</v>
      </c>
      <c r="X80" s="13" t="s">
        <v>2874</v>
      </c>
      <c r="Y80" s="13" t="s">
        <v>2829</v>
      </c>
      <c r="Z80" s="883" t="s">
        <v>2817</v>
      </c>
      <c r="AA80" s="883" t="s">
        <v>2816</v>
      </c>
      <c r="AB80" s="883" t="s">
        <v>2816</v>
      </c>
      <c r="AC80" s="13" t="s">
        <v>2863</v>
      </c>
      <c r="AD80" s="13" t="s">
        <v>2839</v>
      </c>
      <c r="AE80" s="14" t="s">
        <v>2937</v>
      </c>
      <c r="AF80" s="14" t="s">
        <v>2851</v>
      </c>
      <c r="AG80" s="14" t="s">
        <v>2865</v>
      </c>
      <c r="AH80" s="14" t="s">
        <v>2823</v>
      </c>
      <c r="AI80" s="15">
        <v>1</v>
      </c>
      <c r="AJ80" s="879">
        <v>585</v>
      </c>
      <c r="AK80" s="879">
        <v>76044.16</v>
      </c>
      <c r="AL80" s="884">
        <v>129.99</v>
      </c>
      <c r="AM80" s="885">
        <v>0.6491</v>
      </c>
      <c r="AN80" s="884">
        <v>26.11</v>
      </c>
      <c r="AO80" s="886">
        <v>4.3</v>
      </c>
      <c r="AP80" s="879">
        <v>1422</v>
      </c>
      <c r="AQ80" s="887">
        <v>0.1111</v>
      </c>
      <c r="AR80" s="879">
        <v>65</v>
      </c>
      <c r="AS80" s="888"/>
      <c r="AT80" s="15" t="s">
        <v>854</v>
      </c>
      <c r="AU80" s="15" t="s">
        <v>1750</v>
      </c>
      <c r="AV80" s="889">
        <v>951</v>
      </c>
      <c r="AW80" s="889">
        <v>1</v>
      </c>
      <c r="AX80" s="889">
        <v>4</v>
      </c>
      <c r="AY80" s="14" t="s">
        <v>867</v>
      </c>
      <c r="AZ80" s="15" t="s">
        <v>65</v>
      </c>
      <c r="BA80" s="14" t="s">
        <v>65</v>
      </c>
      <c r="BB80" s="15" t="s">
        <v>856</v>
      </c>
      <c r="BC80" s="890" t="s">
        <v>1751</v>
      </c>
      <c r="BD80" s="890" t="s">
        <v>1752</v>
      </c>
    </row>
    <row r="81" s="1" customFormat="1" ht="24" customHeight="1" spans="1:56">
      <c r="A81" s="15" t="str">
        <f>_xlfn.DISPIMG("ID_72B4040D07174C6A87D1E8DBFE9FF175",1)</f>
        <v>=DISPIMG("ID_72B4040D07174C6A87D1E8DBFE9FF175",1)</v>
      </c>
      <c r="B81" s="14" t="s">
        <v>716</v>
      </c>
      <c r="C81" s="14" t="s">
        <v>716</v>
      </c>
      <c r="D81" s="14" t="s">
        <v>65</v>
      </c>
      <c r="E81" s="14" t="s">
        <v>1753</v>
      </c>
      <c r="F81" s="14" t="s">
        <v>1754</v>
      </c>
      <c r="G81" s="14" t="s">
        <v>1755</v>
      </c>
      <c r="H81" s="14" t="s">
        <v>1756</v>
      </c>
      <c r="I81" s="14" t="s">
        <v>1757</v>
      </c>
      <c r="J81" s="15" t="s">
        <v>934</v>
      </c>
      <c r="K81" s="14" t="s">
        <v>850</v>
      </c>
      <c r="L81" s="14" t="s">
        <v>851</v>
      </c>
      <c r="M81" s="879">
        <v>17635</v>
      </c>
      <c r="N81" s="880" t="s">
        <v>852</v>
      </c>
      <c r="O81" s="881" t="s">
        <v>1758</v>
      </c>
      <c r="P81" s="13" t="s">
        <v>2809</v>
      </c>
      <c r="Q81" s="882">
        <v>7</v>
      </c>
      <c r="R81" s="882" t="s">
        <v>2941</v>
      </c>
      <c r="S81" s="882">
        <f t="shared" si="2"/>
        <v>6.622</v>
      </c>
      <c r="T81" s="882" t="s">
        <v>2942</v>
      </c>
      <c r="U81" s="13" t="s">
        <v>64</v>
      </c>
      <c r="V81" s="13" t="s">
        <v>2812</v>
      </c>
      <c r="W81" s="13" t="s">
        <v>2843</v>
      </c>
      <c r="X81" s="13" t="s">
        <v>2874</v>
      </c>
      <c r="Y81" s="13" t="s">
        <v>2815</v>
      </c>
      <c r="Z81" s="883" t="s">
        <v>2816</v>
      </c>
      <c r="AA81" s="883" t="s">
        <v>2817</v>
      </c>
      <c r="AB81" s="883" t="s">
        <v>2816</v>
      </c>
      <c r="AC81" s="13" t="s">
        <v>2818</v>
      </c>
      <c r="AD81" s="13" t="s">
        <v>2819</v>
      </c>
      <c r="AE81" s="14" t="s">
        <v>2820</v>
      </c>
      <c r="AF81" s="14" t="s">
        <v>2831</v>
      </c>
      <c r="AG81" s="14" t="s">
        <v>2822</v>
      </c>
      <c r="AH81" s="14" t="s">
        <v>2868</v>
      </c>
      <c r="AI81" s="15">
        <v>1</v>
      </c>
      <c r="AJ81" s="879">
        <v>372</v>
      </c>
      <c r="AK81" s="879">
        <v>27505.682</v>
      </c>
      <c r="AL81" s="884">
        <v>89.99</v>
      </c>
      <c r="AM81" s="885">
        <v>0.5821</v>
      </c>
      <c r="AN81" s="884">
        <v>19.81</v>
      </c>
      <c r="AO81" s="886">
        <v>4.6</v>
      </c>
      <c r="AP81" s="879">
        <v>806</v>
      </c>
      <c r="AQ81" s="887">
        <v>0.1075</v>
      </c>
      <c r="AR81" s="879">
        <v>40</v>
      </c>
      <c r="AS81" s="888"/>
      <c r="AT81" s="15" t="s">
        <v>876</v>
      </c>
      <c r="AU81" s="15" t="s">
        <v>1759</v>
      </c>
      <c r="AV81" s="889">
        <v>574</v>
      </c>
      <c r="AW81" s="889">
        <v>1</v>
      </c>
      <c r="AX81" s="889">
        <v>2</v>
      </c>
      <c r="AY81" s="14" t="s">
        <v>1760</v>
      </c>
      <c r="AZ81" s="15" t="s">
        <v>1288</v>
      </c>
      <c r="BA81" s="14" t="s">
        <v>1761</v>
      </c>
      <c r="BB81" s="15" t="s">
        <v>856</v>
      </c>
      <c r="BC81" s="890" t="s">
        <v>1484</v>
      </c>
      <c r="BD81" s="890" t="s">
        <v>1762</v>
      </c>
    </row>
    <row r="82" s="1" customFormat="1" ht="24" customHeight="1" spans="1:56">
      <c r="A82" s="15" t="str">
        <f>_xlfn.DISPIMG("ID_969655FD644345AB81031DDDED4C2B1D",1)</f>
        <v>=DISPIMG("ID_969655FD644345AB81031DDDED4C2B1D",1)</v>
      </c>
      <c r="B82" s="14" t="s">
        <v>1776</v>
      </c>
      <c r="C82" s="14" t="s">
        <v>1776</v>
      </c>
      <c r="D82" s="14" t="s">
        <v>65</v>
      </c>
      <c r="E82" s="14" t="s">
        <v>1777</v>
      </c>
      <c r="F82" s="14" t="s">
        <v>1778</v>
      </c>
      <c r="G82" s="14" t="s">
        <v>991</v>
      </c>
      <c r="H82" s="14" t="s">
        <v>1779</v>
      </c>
      <c r="I82" s="14" t="s">
        <v>1780</v>
      </c>
      <c r="J82" s="15" t="s">
        <v>974</v>
      </c>
      <c r="K82" s="14" t="s">
        <v>850</v>
      </c>
      <c r="L82" s="14" t="s">
        <v>851</v>
      </c>
      <c r="M82" s="879">
        <v>16129</v>
      </c>
      <c r="N82" s="880" t="s">
        <v>852</v>
      </c>
      <c r="O82" s="881" t="s">
        <v>1781</v>
      </c>
      <c r="P82" s="13" t="s">
        <v>2809</v>
      </c>
      <c r="Q82" s="882">
        <v>26</v>
      </c>
      <c r="R82" s="882" t="s">
        <v>2891</v>
      </c>
      <c r="S82" s="882">
        <f t="shared" si="2"/>
        <v>24.596</v>
      </c>
      <c r="T82" s="882" t="s">
        <v>2892</v>
      </c>
      <c r="U82" s="13" t="s">
        <v>2877</v>
      </c>
      <c r="V82" s="13" t="s">
        <v>2836</v>
      </c>
      <c r="W82" s="13" t="s">
        <v>2894</v>
      </c>
      <c r="X82" s="13" t="s">
        <v>2874</v>
      </c>
      <c r="Y82" s="13" t="s">
        <v>2829</v>
      </c>
      <c r="Z82" s="883" t="s">
        <v>2817</v>
      </c>
      <c r="AA82" s="883" t="s">
        <v>2817</v>
      </c>
      <c r="AB82" s="883" t="s">
        <v>2816</v>
      </c>
      <c r="AC82" s="13" t="s">
        <v>2845</v>
      </c>
      <c r="AD82" s="13" t="s">
        <v>2839</v>
      </c>
      <c r="AE82" s="14" t="s">
        <v>2887</v>
      </c>
      <c r="AF82" s="14" t="s">
        <v>2883</v>
      </c>
      <c r="AG82" s="14" t="s">
        <v>2822</v>
      </c>
      <c r="AH82" s="14" t="s">
        <v>2979</v>
      </c>
      <c r="AI82" s="695">
        <v>1</v>
      </c>
      <c r="AJ82" s="879">
        <v>815</v>
      </c>
      <c r="AK82" s="879">
        <v>122241.85</v>
      </c>
      <c r="AL82" s="884">
        <v>149.99</v>
      </c>
      <c r="AM82" s="885">
        <v>0.7291</v>
      </c>
      <c r="AN82" s="884">
        <v>18.13</v>
      </c>
      <c r="AO82" s="886">
        <v>4.6</v>
      </c>
      <c r="AP82" s="879">
        <v>66</v>
      </c>
      <c r="AQ82" s="887">
        <v>0.0282</v>
      </c>
      <c r="AR82" s="879">
        <v>23</v>
      </c>
      <c r="AS82" s="888"/>
      <c r="AT82" s="15" t="s">
        <v>1267</v>
      </c>
      <c r="AU82" s="15" t="s">
        <v>1782</v>
      </c>
      <c r="AV82" s="889">
        <v>292</v>
      </c>
      <c r="AW82" s="889">
        <v>1</v>
      </c>
      <c r="AX82" s="889">
        <v>1</v>
      </c>
      <c r="AY82" s="14" t="s">
        <v>1783</v>
      </c>
      <c r="AZ82" s="15" t="s">
        <v>1288</v>
      </c>
      <c r="BA82" s="14" t="s">
        <v>1784</v>
      </c>
      <c r="BB82" s="15" t="s">
        <v>856</v>
      </c>
      <c r="BC82" s="890" t="s">
        <v>1785</v>
      </c>
      <c r="BD82" s="890" t="s">
        <v>1786</v>
      </c>
    </row>
    <row r="83" s="1" customFormat="1" ht="24" customHeight="1" spans="1:56">
      <c r="A83" s="15" t="str">
        <f>_xlfn.DISPIMG("ID_F217E099E8CF428AA89D30A138B55E1A",1)</f>
        <v>=DISPIMG("ID_F217E099E8CF428AA89D30A138B55E1A",1)</v>
      </c>
      <c r="B83" s="14" t="s">
        <v>640</v>
      </c>
      <c r="C83" s="14" t="s">
        <v>640</v>
      </c>
      <c r="D83" s="14" t="s">
        <v>65</v>
      </c>
      <c r="E83" s="14" t="s">
        <v>1797</v>
      </c>
      <c r="F83" s="14" t="s">
        <v>1798</v>
      </c>
      <c r="G83" s="14" t="s">
        <v>1799</v>
      </c>
      <c r="H83" s="14" t="s">
        <v>1800</v>
      </c>
      <c r="I83" s="14" t="s">
        <v>1801</v>
      </c>
      <c r="J83" s="15" t="s">
        <v>974</v>
      </c>
      <c r="K83" s="14" t="s">
        <v>850</v>
      </c>
      <c r="L83" s="14" t="s">
        <v>851</v>
      </c>
      <c r="M83" s="879">
        <v>15746</v>
      </c>
      <c r="N83" s="880" t="s">
        <v>852</v>
      </c>
      <c r="O83" s="881" t="s">
        <v>1758</v>
      </c>
      <c r="P83" s="13" t="s">
        <v>2809</v>
      </c>
      <c r="Q83" s="882">
        <v>5.3</v>
      </c>
      <c r="R83" s="882" t="s">
        <v>2999</v>
      </c>
      <c r="S83" s="882">
        <f t="shared" si="2"/>
        <v>5.0138</v>
      </c>
      <c r="T83" s="882" t="s">
        <v>3000</v>
      </c>
      <c r="U83" s="13" t="s">
        <v>64</v>
      </c>
      <c r="V83" s="13" t="s">
        <v>2812</v>
      </c>
      <c r="W83" s="13" t="s">
        <v>2861</v>
      </c>
      <c r="X83" s="13" t="s">
        <v>2844</v>
      </c>
      <c r="Y83" s="13" t="s">
        <v>2815</v>
      </c>
      <c r="Z83" s="883" t="s">
        <v>2816</v>
      </c>
      <c r="AA83" s="883" t="s">
        <v>2816</v>
      </c>
      <c r="AB83" s="883" t="s">
        <v>2816</v>
      </c>
      <c r="AC83" s="13" t="s">
        <v>2863</v>
      </c>
      <c r="AD83" s="13" t="s">
        <v>2819</v>
      </c>
      <c r="AE83" s="14" t="s">
        <v>2882</v>
      </c>
      <c r="AF83" s="14" t="s">
        <v>2821</v>
      </c>
      <c r="AG83" s="14" t="s">
        <v>2822</v>
      </c>
      <c r="AH83" s="14" t="s">
        <v>2823</v>
      </c>
      <c r="AI83" s="696">
        <v>1</v>
      </c>
      <c r="AJ83" s="879">
        <v>3104</v>
      </c>
      <c r="AK83" s="879">
        <v>207129.94</v>
      </c>
      <c r="AL83" s="884">
        <v>66.73</v>
      </c>
      <c r="AM83" s="885">
        <v>0.5405</v>
      </c>
      <c r="AN83" s="884">
        <v>20.65</v>
      </c>
      <c r="AO83" s="886">
        <v>4.7</v>
      </c>
      <c r="AP83" s="879">
        <v>6211</v>
      </c>
      <c r="AQ83" s="887">
        <v>0.0409</v>
      </c>
      <c r="AR83" s="879">
        <v>127</v>
      </c>
      <c r="AS83" s="888"/>
      <c r="AT83" s="15" t="s">
        <v>854</v>
      </c>
      <c r="AU83" s="15" t="s">
        <v>1802</v>
      </c>
      <c r="AV83" s="889">
        <v>2187</v>
      </c>
      <c r="AW83" s="889">
        <v>1</v>
      </c>
      <c r="AX83" s="889">
        <v>2</v>
      </c>
      <c r="AY83" s="14" t="s">
        <v>867</v>
      </c>
      <c r="AZ83" s="15" t="s">
        <v>65</v>
      </c>
      <c r="BA83" s="14" t="s">
        <v>65</v>
      </c>
      <c r="BB83" s="15" t="s">
        <v>856</v>
      </c>
      <c r="BC83" s="890" t="s">
        <v>1803</v>
      </c>
      <c r="BD83" s="890" t="s">
        <v>1804</v>
      </c>
    </row>
    <row r="84" s="1" customFormat="1" ht="24" customHeight="1" spans="1:56">
      <c r="A84" s="15" t="str">
        <f>_xlfn.DISPIMG("ID_464ED34DBB5B474FAA9ABB287749C488",1)</f>
        <v>=DISPIMG("ID_464ED34DBB5B474FAA9ABB287749C488",1)</v>
      </c>
      <c r="B84" s="14" t="s">
        <v>1805</v>
      </c>
      <c r="C84" s="14" t="s">
        <v>1805</v>
      </c>
      <c r="D84" s="14" t="s">
        <v>65</v>
      </c>
      <c r="E84" s="14" t="s">
        <v>1806</v>
      </c>
      <c r="F84" s="14" t="s">
        <v>1807</v>
      </c>
      <c r="G84" s="14" t="s">
        <v>1408</v>
      </c>
      <c r="H84" s="14" t="s">
        <v>1808</v>
      </c>
      <c r="I84" s="14" t="s">
        <v>1809</v>
      </c>
      <c r="J84" s="15" t="s">
        <v>974</v>
      </c>
      <c r="K84" s="14" t="s">
        <v>850</v>
      </c>
      <c r="L84" s="14" t="s">
        <v>851</v>
      </c>
      <c r="M84" s="879">
        <v>14217</v>
      </c>
      <c r="N84" s="880" t="s">
        <v>1029</v>
      </c>
      <c r="O84" s="881" t="s">
        <v>1810</v>
      </c>
      <c r="P84" s="13" t="s">
        <v>2824</v>
      </c>
      <c r="Q84" s="882">
        <v>10</v>
      </c>
      <c r="R84" s="882" t="s">
        <v>2833</v>
      </c>
      <c r="S84" s="882">
        <f t="shared" si="2"/>
        <v>9.46</v>
      </c>
      <c r="T84" s="882" t="s">
        <v>2834</v>
      </c>
      <c r="U84" s="13" t="s">
        <v>64</v>
      </c>
      <c r="V84" s="13" t="s">
        <v>2812</v>
      </c>
      <c r="W84" s="13" t="s">
        <v>2894</v>
      </c>
      <c r="X84" s="13" t="s">
        <v>2844</v>
      </c>
      <c r="Y84" s="13" t="s">
        <v>2815</v>
      </c>
      <c r="Z84" s="883" t="s">
        <v>2817</v>
      </c>
      <c r="AA84" s="883" t="s">
        <v>2817</v>
      </c>
      <c r="AB84" s="883" t="s">
        <v>2816</v>
      </c>
      <c r="AC84" s="13" t="s">
        <v>2818</v>
      </c>
      <c r="AD84" s="13" t="s">
        <v>2819</v>
      </c>
      <c r="AE84" s="14" t="s">
        <v>2830</v>
      </c>
      <c r="AF84" s="14" t="s">
        <v>2900</v>
      </c>
      <c r="AG84" s="14" t="s">
        <v>2865</v>
      </c>
      <c r="AH84" s="14" t="s">
        <v>2823</v>
      </c>
      <c r="AI84" s="696">
        <v>1</v>
      </c>
      <c r="AJ84" s="879">
        <v>234</v>
      </c>
      <c r="AK84" s="879">
        <v>21993.66</v>
      </c>
      <c r="AL84" s="884">
        <v>93.99</v>
      </c>
      <c r="AM84" s="885">
        <v>0.599</v>
      </c>
      <c r="AN84" s="884">
        <v>23.59</v>
      </c>
      <c r="AO84" s="886">
        <v>4.5</v>
      </c>
      <c r="AP84" s="879">
        <v>1506</v>
      </c>
      <c r="AQ84" s="887">
        <v>0</v>
      </c>
      <c r="AR84" s="879">
        <v>358</v>
      </c>
      <c r="AS84" s="879">
        <v>130</v>
      </c>
      <c r="AT84" s="15" t="s">
        <v>854</v>
      </c>
      <c r="AU84" s="15" t="s">
        <v>1811</v>
      </c>
      <c r="AV84" s="889">
        <v>900</v>
      </c>
      <c r="AW84" s="889">
        <v>1</v>
      </c>
      <c r="AX84" s="889">
        <v>1</v>
      </c>
      <c r="AY84" s="14" t="s">
        <v>1032</v>
      </c>
      <c r="AZ84" s="15" t="s">
        <v>65</v>
      </c>
      <c r="BA84" s="14" t="s">
        <v>1033</v>
      </c>
      <c r="BB84" s="15" t="s">
        <v>856</v>
      </c>
      <c r="BC84" s="890" t="s">
        <v>1812</v>
      </c>
      <c r="BD84" s="890" t="s">
        <v>1813</v>
      </c>
    </row>
    <row r="85" s="1" customFormat="1" ht="24" customHeight="1" spans="1:56">
      <c r="A85" s="15" t="str">
        <f>_xlfn.DISPIMG("ID_5C0C6AB0FB064505A0A3A4249472B177",1)</f>
        <v>=DISPIMG("ID_5C0C6AB0FB064505A0A3A4249472B177",1)</v>
      </c>
      <c r="B85" s="14" t="s">
        <v>1814</v>
      </c>
      <c r="C85" s="14" t="s">
        <v>1814</v>
      </c>
      <c r="D85" s="14" t="s">
        <v>65</v>
      </c>
      <c r="E85" s="14" t="s">
        <v>1815</v>
      </c>
      <c r="F85" s="14" t="s">
        <v>1816</v>
      </c>
      <c r="G85" s="14" t="s">
        <v>1173</v>
      </c>
      <c r="H85" s="14" t="s">
        <v>1817</v>
      </c>
      <c r="I85" s="14" t="s">
        <v>1818</v>
      </c>
      <c r="J85" s="15" t="s">
        <v>974</v>
      </c>
      <c r="K85" s="14" t="s">
        <v>850</v>
      </c>
      <c r="L85" s="14" t="s">
        <v>851</v>
      </c>
      <c r="M85" s="879">
        <v>21578</v>
      </c>
      <c r="N85" s="880" t="s">
        <v>852</v>
      </c>
      <c r="O85" s="881" t="s">
        <v>1624</v>
      </c>
      <c r="P85" s="13" t="s">
        <v>2809</v>
      </c>
      <c r="Q85" s="882">
        <v>3.7</v>
      </c>
      <c r="R85" s="882" t="s">
        <v>2931</v>
      </c>
      <c r="S85" s="882">
        <f t="shared" si="2"/>
        <v>3.5002</v>
      </c>
      <c r="T85" s="882" t="s">
        <v>2932</v>
      </c>
      <c r="U85" s="13" t="s">
        <v>64</v>
      </c>
      <c r="V85" s="13" t="s">
        <v>2812</v>
      </c>
      <c r="W85" s="13" t="s">
        <v>2878</v>
      </c>
      <c r="X85" s="13" t="s">
        <v>2921</v>
      </c>
      <c r="Y85" s="13" t="s">
        <v>2815</v>
      </c>
      <c r="Z85" s="883" t="s">
        <v>2816</v>
      </c>
      <c r="AA85" s="883" t="s">
        <v>2816</v>
      </c>
      <c r="AB85" s="883" t="s">
        <v>2816</v>
      </c>
      <c r="AC85" s="13" t="s">
        <v>2818</v>
      </c>
      <c r="AD85" s="13" t="s">
        <v>2819</v>
      </c>
      <c r="AE85" s="14" t="s">
        <v>2882</v>
      </c>
      <c r="AF85" s="14" t="s">
        <v>2821</v>
      </c>
      <c r="AG85" s="14" t="s">
        <v>2822</v>
      </c>
      <c r="AH85" s="14" t="s">
        <v>2823</v>
      </c>
      <c r="AI85" s="696">
        <v>1</v>
      </c>
      <c r="AJ85" s="879">
        <v>577</v>
      </c>
      <c r="AK85" s="879">
        <v>35623.98</v>
      </c>
      <c r="AL85" s="884">
        <v>61.74</v>
      </c>
      <c r="AM85" s="885">
        <v>0.5496</v>
      </c>
      <c r="AN85" s="884">
        <v>18.55</v>
      </c>
      <c r="AO85" s="886">
        <v>4.6</v>
      </c>
      <c r="AP85" s="879">
        <v>15252</v>
      </c>
      <c r="AQ85" s="887">
        <v>0.1265</v>
      </c>
      <c r="AR85" s="879">
        <v>73</v>
      </c>
      <c r="AS85" s="888"/>
      <c r="AT85" s="15" t="s">
        <v>876</v>
      </c>
      <c r="AU85" s="15" t="s">
        <v>1819</v>
      </c>
      <c r="AV85" s="889">
        <v>2419</v>
      </c>
      <c r="AW85" s="889">
        <v>1</v>
      </c>
      <c r="AX85" s="889">
        <v>1</v>
      </c>
      <c r="AY85" s="14" t="s">
        <v>867</v>
      </c>
      <c r="AZ85" s="15" t="s">
        <v>65</v>
      </c>
      <c r="BA85" s="14" t="s">
        <v>65</v>
      </c>
      <c r="BB85" s="15" t="s">
        <v>856</v>
      </c>
      <c r="BC85" s="890" t="s">
        <v>1820</v>
      </c>
      <c r="BD85" s="890" t="s">
        <v>1821</v>
      </c>
    </row>
    <row r="86" s="1" customFormat="1" ht="24" customHeight="1" spans="1:56">
      <c r="A86" s="15" t="str">
        <f>_xlfn.DISPIMG("ID_CB0487FB602744618A7F91CD508B1A11",1)</f>
        <v>=DISPIMG("ID_CB0487FB602744618A7F91CD508B1A11",1)</v>
      </c>
      <c r="B86" s="14" t="s">
        <v>148</v>
      </c>
      <c r="C86" s="14" t="s">
        <v>148</v>
      </c>
      <c r="D86" s="14" t="s">
        <v>65</v>
      </c>
      <c r="E86" s="14" t="s">
        <v>1822</v>
      </c>
      <c r="F86" s="14" t="s">
        <v>1823</v>
      </c>
      <c r="G86" s="14" t="s">
        <v>1408</v>
      </c>
      <c r="H86" s="14" t="s">
        <v>1824</v>
      </c>
      <c r="I86" s="14" t="s">
        <v>1825</v>
      </c>
      <c r="J86" s="15" t="s">
        <v>974</v>
      </c>
      <c r="K86" s="14" t="s">
        <v>850</v>
      </c>
      <c r="L86" s="14" t="s">
        <v>851</v>
      </c>
      <c r="M86" s="879">
        <v>17956</v>
      </c>
      <c r="N86" s="880" t="s">
        <v>1029</v>
      </c>
      <c r="O86" s="881" t="s">
        <v>1826</v>
      </c>
      <c r="P86" s="13" t="s">
        <v>2809</v>
      </c>
      <c r="Q86" s="882">
        <v>4.7</v>
      </c>
      <c r="R86" s="882" t="s">
        <v>3001</v>
      </c>
      <c r="S86" s="882">
        <f t="shared" si="2"/>
        <v>4.4462</v>
      </c>
      <c r="T86" s="882" t="s">
        <v>3002</v>
      </c>
      <c r="U86" s="13" t="s">
        <v>2877</v>
      </c>
      <c r="V86" s="13" t="s">
        <v>2836</v>
      </c>
      <c r="W86" s="13" t="s">
        <v>2878</v>
      </c>
      <c r="X86" s="13" t="s">
        <v>2828</v>
      </c>
      <c r="Y86" s="13" t="s">
        <v>2829</v>
      </c>
      <c r="Z86" s="883" t="s">
        <v>2817</v>
      </c>
      <c r="AA86" s="883" t="s">
        <v>2816</v>
      </c>
      <c r="AB86" s="883" t="s">
        <v>2816</v>
      </c>
      <c r="AC86" s="13" t="s">
        <v>2863</v>
      </c>
      <c r="AD86" s="13" t="s">
        <v>2839</v>
      </c>
      <c r="AE86" s="14" t="s">
        <v>2937</v>
      </c>
      <c r="AF86" s="14" t="s">
        <v>2851</v>
      </c>
      <c r="AG86" s="14" t="s">
        <v>2930</v>
      </c>
      <c r="AH86" s="14" t="s">
        <v>2823</v>
      </c>
      <c r="AI86" s="696">
        <v>1</v>
      </c>
      <c r="AJ86" s="879">
        <v>561</v>
      </c>
      <c r="AK86" s="879">
        <v>72369</v>
      </c>
      <c r="AL86" s="884">
        <v>129</v>
      </c>
      <c r="AM86" s="885">
        <v>0.6509</v>
      </c>
      <c r="AN86" s="884">
        <v>25.69</v>
      </c>
      <c r="AO86" s="886">
        <v>4.2</v>
      </c>
      <c r="AP86" s="879">
        <v>7603</v>
      </c>
      <c r="AQ86" s="887">
        <v>0.1123</v>
      </c>
      <c r="AR86" s="879">
        <v>63</v>
      </c>
      <c r="AS86" s="888"/>
      <c r="AT86" s="15" t="s">
        <v>947</v>
      </c>
      <c r="AU86" s="15" t="s">
        <v>1827</v>
      </c>
      <c r="AV86" s="889">
        <v>1092</v>
      </c>
      <c r="AW86" s="889">
        <v>1</v>
      </c>
      <c r="AX86" s="889">
        <v>1</v>
      </c>
      <c r="AY86" s="14" t="s">
        <v>65</v>
      </c>
      <c r="AZ86" s="15" t="s">
        <v>65</v>
      </c>
      <c r="BA86" s="14" t="s">
        <v>65</v>
      </c>
      <c r="BB86" s="15" t="s">
        <v>856</v>
      </c>
      <c r="BC86" s="890" t="s">
        <v>1828</v>
      </c>
      <c r="BD86" s="890" t="s">
        <v>1829</v>
      </c>
    </row>
    <row r="87" s="1" customFormat="1" ht="24" customHeight="1" spans="1:56">
      <c r="A87" s="15" t="str">
        <f>_xlfn.DISPIMG("ID_CC1202716ADD48108E8CA742BBC48881",1)</f>
        <v>=DISPIMG("ID_CC1202716ADD48108E8CA742BBC48881",1)</v>
      </c>
      <c r="B87" s="14" t="s">
        <v>1830</v>
      </c>
      <c r="C87" s="14" t="s">
        <v>1830</v>
      </c>
      <c r="D87" s="14" t="s">
        <v>65</v>
      </c>
      <c r="E87" s="14" t="s">
        <v>1831</v>
      </c>
      <c r="F87" s="14" t="s">
        <v>1832</v>
      </c>
      <c r="G87" s="14" t="s">
        <v>1833</v>
      </c>
      <c r="H87" s="14" t="s">
        <v>1834</v>
      </c>
      <c r="I87" s="14" t="s">
        <v>1835</v>
      </c>
      <c r="J87" s="15" t="s">
        <v>974</v>
      </c>
      <c r="K87" s="14" t="s">
        <v>850</v>
      </c>
      <c r="L87" s="14" t="s">
        <v>851</v>
      </c>
      <c r="M87" s="879">
        <v>20148</v>
      </c>
      <c r="N87" s="880" t="s">
        <v>852</v>
      </c>
      <c r="O87" s="881" t="s">
        <v>1836</v>
      </c>
      <c r="P87" s="13" t="s">
        <v>2832</v>
      </c>
      <c r="Q87" s="882">
        <v>6</v>
      </c>
      <c r="R87" s="882" t="s">
        <v>2841</v>
      </c>
      <c r="S87" s="882">
        <f t="shared" si="2"/>
        <v>5.676</v>
      </c>
      <c r="T87" s="882" t="s">
        <v>2842</v>
      </c>
      <c r="U87" s="13" t="s">
        <v>2877</v>
      </c>
      <c r="V87" s="13" t="s">
        <v>2812</v>
      </c>
      <c r="W87" s="13" t="s">
        <v>2813</v>
      </c>
      <c r="X87" s="13" t="s">
        <v>2908</v>
      </c>
      <c r="Y87" s="13" t="s">
        <v>2895</v>
      </c>
      <c r="Z87" s="883" t="s">
        <v>2816</v>
      </c>
      <c r="AA87" s="883" t="s">
        <v>2817</v>
      </c>
      <c r="AB87" s="883" t="s">
        <v>2816</v>
      </c>
      <c r="AC87" s="13" t="s">
        <v>2818</v>
      </c>
      <c r="AD87" s="13" t="s">
        <v>2850</v>
      </c>
      <c r="AE87" s="14" t="s">
        <v>2882</v>
      </c>
      <c r="AF87" s="14" t="s">
        <v>2821</v>
      </c>
      <c r="AG87" s="14" t="s">
        <v>2822</v>
      </c>
      <c r="AH87" s="14" t="s">
        <v>2911</v>
      </c>
      <c r="AI87" s="696">
        <v>1</v>
      </c>
      <c r="AJ87" s="879">
        <v>241</v>
      </c>
      <c r="AK87" s="879">
        <v>16867.59</v>
      </c>
      <c r="AL87" s="884">
        <v>69.99</v>
      </c>
      <c r="AM87" s="885">
        <v>0.537</v>
      </c>
      <c r="AN87" s="884">
        <v>21.91</v>
      </c>
      <c r="AO87" s="886">
        <v>4.7</v>
      </c>
      <c r="AP87" s="879">
        <v>547</v>
      </c>
      <c r="AQ87" s="887">
        <v>0.0664</v>
      </c>
      <c r="AR87" s="879">
        <v>16</v>
      </c>
      <c r="AS87" s="888"/>
      <c r="AT87" s="15" t="s">
        <v>854</v>
      </c>
      <c r="AU87" s="15" t="s">
        <v>1837</v>
      </c>
      <c r="AV87" s="889">
        <v>1153</v>
      </c>
      <c r="AW87" s="889">
        <v>1</v>
      </c>
      <c r="AX87" s="889">
        <v>1</v>
      </c>
      <c r="AY87" s="14" t="s">
        <v>1330</v>
      </c>
      <c r="AZ87" s="15" t="s">
        <v>65</v>
      </c>
      <c r="BA87" s="14" t="s">
        <v>1331</v>
      </c>
      <c r="BB87" s="15" t="s">
        <v>856</v>
      </c>
      <c r="BC87" s="890" t="s">
        <v>1838</v>
      </c>
      <c r="BD87" s="890" t="s">
        <v>1839</v>
      </c>
    </row>
    <row r="88" s="1" customFormat="1" ht="24" customHeight="1" spans="1:56">
      <c r="A88" s="15" t="str">
        <f>_xlfn.DISPIMG("ID_9572C02FFE664DA5B1B4E2E84F048994",1)</f>
        <v>=DISPIMG("ID_9572C02FFE664DA5B1B4E2E84F048994",1)</v>
      </c>
      <c r="B88" s="14" t="s">
        <v>1840</v>
      </c>
      <c r="C88" s="14" t="s">
        <v>1840</v>
      </c>
      <c r="D88" s="14" t="s">
        <v>65</v>
      </c>
      <c r="E88" s="14" t="s">
        <v>1841</v>
      </c>
      <c r="F88" s="14" t="s">
        <v>1842</v>
      </c>
      <c r="G88" s="14" t="s">
        <v>1843</v>
      </c>
      <c r="H88" s="14" t="s">
        <v>1844</v>
      </c>
      <c r="I88" s="14" t="s">
        <v>1845</v>
      </c>
      <c r="J88" s="15" t="s">
        <v>934</v>
      </c>
      <c r="K88" s="14" t="s">
        <v>1846</v>
      </c>
      <c r="L88" s="14" t="s">
        <v>851</v>
      </c>
      <c r="M88" s="879">
        <v>8604</v>
      </c>
      <c r="N88" s="880" t="s">
        <v>1847</v>
      </c>
      <c r="O88" s="881" t="s">
        <v>965</v>
      </c>
      <c r="P88" s="13" t="s">
        <v>2809</v>
      </c>
      <c r="Q88" s="882">
        <v>4.4</v>
      </c>
      <c r="R88" s="882" t="s">
        <v>3003</v>
      </c>
      <c r="S88" s="882">
        <f t="shared" si="2"/>
        <v>4.1624</v>
      </c>
      <c r="T88" s="882" t="s">
        <v>3004</v>
      </c>
      <c r="U88" s="13" t="s">
        <v>2877</v>
      </c>
      <c r="V88" s="13" t="s">
        <v>2836</v>
      </c>
      <c r="W88" s="13" t="s">
        <v>2947</v>
      </c>
      <c r="X88" s="13" t="s">
        <v>2874</v>
      </c>
      <c r="Y88" s="13" t="s">
        <v>2895</v>
      </c>
      <c r="Z88" s="883" t="s">
        <v>2817</v>
      </c>
      <c r="AA88" s="883" t="s">
        <v>2817</v>
      </c>
      <c r="AB88" s="883" t="s">
        <v>2816</v>
      </c>
      <c r="AC88" s="13" t="s">
        <v>2818</v>
      </c>
      <c r="AD88" s="13" t="s">
        <v>2889</v>
      </c>
      <c r="AE88" s="14" t="s">
        <v>2857</v>
      </c>
      <c r="AF88" s="14" t="s">
        <v>2883</v>
      </c>
      <c r="AG88" s="14" t="s">
        <v>2865</v>
      </c>
      <c r="AH88" s="14" t="s">
        <v>2823</v>
      </c>
      <c r="AI88" s="696">
        <v>1</v>
      </c>
      <c r="AJ88" s="879">
        <v>956</v>
      </c>
      <c r="AK88" s="879">
        <v>334552.22</v>
      </c>
      <c r="AL88" s="884">
        <v>279.95</v>
      </c>
      <c r="AM88" s="885">
        <v>0.7634</v>
      </c>
      <c r="AN88" s="884">
        <v>30.31</v>
      </c>
      <c r="AO88" s="886">
        <v>4.5</v>
      </c>
      <c r="AP88" s="879">
        <v>1271</v>
      </c>
      <c r="AQ88" s="887">
        <v>0.0617</v>
      </c>
      <c r="AR88" s="879">
        <v>59</v>
      </c>
      <c r="AS88" s="888"/>
      <c r="AT88" s="15" t="s">
        <v>1098</v>
      </c>
      <c r="AU88" s="15" t="s">
        <v>1848</v>
      </c>
      <c r="AV88" s="889">
        <v>290</v>
      </c>
      <c r="AW88" s="889">
        <v>1</v>
      </c>
      <c r="AX88" s="889">
        <v>7</v>
      </c>
      <c r="AY88" s="14" t="s">
        <v>1849</v>
      </c>
      <c r="AZ88" s="15" t="s">
        <v>65</v>
      </c>
      <c r="BA88" s="14" t="s">
        <v>1850</v>
      </c>
      <c r="BB88" s="15" t="s">
        <v>856</v>
      </c>
      <c r="BC88" s="890" t="s">
        <v>1851</v>
      </c>
      <c r="BD88" s="890" t="s">
        <v>1852</v>
      </c>
    </row>
    <row r="89" s="1" customFormat="1" ht="24" customHeight="1" spans="1:56">
      <c r="A89" s="15" t="str">
        <f>_xlfn.DISPIMG("ID_73E1886387174503B4B3E5EFA3C065D9",1)</f>
        <v>=DISPIMG("ID_73E1886387174503B4B3E5EFA3C065D9",1)</v>
      </c>
      <c r="B89" s="14" t="s">
        <v>1853</v>
      </c>
      <c r="C89" s="14" t="s">
        <v>1853</v>
      </c>
      <c r="D89" s="14" t="s">
        <v>65</v>
      </c>
      <c r="E89" s="14" t="s">
        <v>1854</v>
      </c>
      <c r="F89" s="14" t="s">
        <v>1855</v>
      </c>
      <c r="G89" s="14" t="s">
        <v>1856</v>
      </c>
      <c r="H89" s="14" t="s">
        <v>1857</v>
      </c>
      <c r="I89" s="14" t="s">
        <v>1858</v>
      </c>
      <c r="J89" s="15" t="s">
        <v>864</v>
      </c>
      <c r="K89" s="14" t="s">
        <v>850</v>
      </c>
      <c r="L89" s="14" t="s">
        <v>851</v>
      </c>
      <c r="M89" s="879">
        <v>28125</v>
      </c>
      <c r="N89" s="880" t="s">
        <v>1859</v>
      </c>
      <c r="O89" s="881" t="s">
        <v>1860</v>
      </c>
      <c r="P89" s="13" t="s">
        <v>2809</v>
      </c>
      <c r="Q89" s="882">
        <v>19</v>
      </c>
      <c r="R89" s="882" t="s">
        <v>2973</v>
      </c>
      <c r="S89" s="882">
        <f t="shared" si="2"/>
        <v>17.974</v>
      </c>
      <c r="T89" s="882" t="s">
        <v>2974</v>
      </c>
      <c r="U89" s="13" t="s">
        <v>2877</v>
      </c>
      <c r="V89" s="13" t="s">
        <v>2904</v>
      </c>
      <c r="W89" s="13" t="s">
        <v>2920</v>
      </c>
      <c r="X89" s="13" t="s">
        <v>2844</v>
      </c>
      <c r="Y89" s="13" t="s">
        <v>2829</v>
      </c>
      <c r="Z89" s="883" t="s">
        <v>2817</v>
      </c>
      <c r="AA89" s="883" t="s">
        <v>2817</v>
      </c>
      <c r="AB89" s="883" t="s">
        <v>2817</v>
      </c>
      <c r="AC89" s="13" t="s">
        <v>2922</v>
      </c>
      <c r="AD89" s="13" t="s">
        <v>2839</v>
      </c>
      <c r="AE89" s="14" t="s">
        <v>2984</v>
      </c>
      <c r="AF89" s="14" t="s">
        <v>2821</v>
      </c>
      <c r="AG89" s="14" t="s">
        <v>2865</v>
      </c>
      <c r="AH89" s="14" t="s">
        <v>2823</v>
      </c>
      <c r="AI89" s="696">
        <v>1</v>
      </c>
      <c r="AJ89" s="879">
        <v>406</v>
      </c>
      <c r="AK89" s="879">
        <v>54805.94</v>
      </c>
      <c r="AL89" s="884">
        <v>134.99</v>
      </c>
      <c r="AM89" s="885">
        <v>0.6752</v>
      </c>
      <c r="AN89" s="884">
        <v>23.59</v>
      </c>
      <c r="AO89" s="886">
        <v>4.4</v>
      </c>
      <c r="AP89" s="879">
        <v>1772</v>
      </c>
      <c r="AQ89" s="887">
        <v>0</v>
      </c>
      <c r="AR89" s="879">
        <v>0</v>
      </c>
      <c r="AS89" s="888"/>
      <c r="AT89" s="15" t="s">
        <v>947</v>
      </c>
      <c r="AU89" s="15" t="s">
        <v>1861</v>
      </c>
      <c r="AV89" s="889">
        <v>2557</v>
      </c>
      <c r="AW89" s="889">
        <v>1</v>
      </c>
      <c r="AX89" s="889">
        <v>22</v>
      </c>
      <c r="AY89" s="14" t="s">
        <v>1862</v>
      </c>
      <c r="AZ89" s="15" t="s">
        <v>1401</v>
      </c>
      <c r="BA89" s="14" t="s">
        <v>1863</v>
      </c>
      <c r="BB89" s="15" t="s">
        <v>856</v>
      </c>
      <c r="BC89" s="890" t="s">
        <v>1864</v>
      </c>
      <c r="BD89" s="890" t="s">
        <v>1865</v>
      </c>
    </row>
    <row r="90" s="1" customFormat="1" ht="24" customHeight="1" spans="1:56">
      <c r="A90" s="15" t="str">
        <f>_xlfn.DISPIMG("ID_8DB36B4766DF4617B57CCA29E23B4451",1)</f>
        <v>=DISPIMG("ID_8DB36B4766DF4617B57CCA29E23B4451",1)</v>
      </c>
      <c r="B90" s="14" t="s">
        <v>164</v>
      </c>
      <c r="C90" s="14" t="s">
        <v>164</v>
      </c>
      <c r="D90" s="14" t="s">
        <v>65</v>
      </c>
      <c r="E90" s="14" t="s">
        <v>1866</v>
      </c>
      <c r="F90" s="14" t="s">
        <v>1867</v>
      </c>
      <c r="G90" s="14" t="s">
        <v>1868</v>
      </c>
      <c r="H90" s="14" t="s">
        <v>1869</v>
      </c>
      <c r="I90" s="14" t="s">
        <v>1870</v>
      </c>
      <c r="J90" s="15" t="s">
        <v>65</v>
      </c>
      <c r="K90" s="14" t="s">
        <v>850</v>
      </c>
      <c r="L90" s="14" t="s">
        <v>851</v>
      </c>
      <c r="M90" s="879">
        <v>10397</v>
      </c>
      <c r="N90" s="880" t="s">
        <v>852</v>
      </c>
      <c r="O90" s="881" t="s">
        <v>1871</v>
      </c>
      <c r="P90" s="13" t="s">
        <v>3005</v>
      </c>
      <c r="Q90" s="882">
        <v>2.6</v>
      </c>
      <c r="R90" s="882" t="s">
        <v>2859</v>
      </c>
      <c r="S90" s="882">
        <f t="shared" si="2"/>
        <v>2.4596</v>
      </c>
      <c r="T90" s="882" t="s">
        <v>2860</v>
      </c>
      <c r="U90" s="13" t="s">
        <v>64</v>
      </c>
      <c r="V90" s="13" t="s">
        <v>2812</v>
      </c>
      <c r="W90" s="13" t="s">
        <v>2861</v>
      </c>
      <c r="X90" s="13" t="s">
        <v>2989</v>
      </c>
      <c r="Y90" s="13" t="s">
        <v>2903</v>
      </c>
      <c r="Z90" s="883" t="s">
        <v>2816</v>
      </c>
      <c r="AA90" s="883" t="s">
        <v>2816</v>
      </c>
      <c r="AB90" s="883" t="s">
        <v>2816</v>
      </c>
      <c r="AC90" s="13" t="s">
        <v>2863</v>
      </c>
      <c r="AD90" s="13" t="s">
        <v>2819</v>
      </c>
      <c r="AE90" s="14" t="s">
        <v>3006</v>
      </c>
      <c r="AF90" s="14" t="s">
        <v>2851</v>
      </c>
      <c r="AG90" s="14" t="s">
        <v>3007</v>
      </c>
      <c r="AH90" s="14" t="s">
        <v>2979</v>
      </c>
      <c r="AI90" s="696">
        <v>1</v>
      </c>
      <c r="AJ90" s="879">
        <v>3836</v>
      </c>
      <c r="AK90" s="879">
        <v>22478.96</v>
      </c>
      <c r="AL90" s="884">
        <v>5.86</v>
      </c>
      <c r="AM90" s="885">
        <v>0.85</v>
      </c>
      <c r="AN90" s="896"/>
      <c r="AO90" s="886">
        <v>2</v>
      </c>
      <c r="AP90" s="879">
        <v>64</v>
      </c>
      <c r="AQ90" s="887">
        <v>0.0102</v>
      </c>
      <c r="AR90" s="879">
        <v>39</v>
      </c>
      <c r="AS90" s="879">
        <v>3</v>
      </c>
      <c r="AT90" s="15" t="s">
        <v>1098</v>
      </c>
      <c r="AU90" s="15" t="s">
        <v>1145</v>
      </c>
      <c r="AV90" s="889">
        <v>1084</v>
      </c>
      <c r="AW90" s="889">
        <v>1</v>
      </c>
      <c r="AX90" s="889">
        <v>1</v>
      </c>
      <c r="AY90" s="14" t="s">
        <v>1872</v>
      </c>
      <c r="AZ90" s="15" t="s">
        <v>65</v>
      </c>
      <c r="BA90" s="14" t="s">
        <v>65</v>
      </c>
      <c r="BB90" s="15" t="s">
        <v>856</v>
      </c>
      <c r="BC90" s="890" t="s">
        <v>1403</v>
      </c>
      <c r="BD90" s="890" t="s">
        <v>1873</v>
      </c>
    </row>
    <row r="91" s="1" customFormat="1" ht="24" customHeight="1" spans="1:56">
      <c r="A91" s="15" t="str">
        <f>_xlfn.DISPIMG("ID_F98384A16BC64D7BA97CBA86855B88C3",1)</f>
        <v>=DISPIMG("ID_F98384A16BC64D7BA97CBA86855B88C3",1)</v>
      </c>
      <c r="B91" s="14" t="s">
        <v>1883</v>
      </c>
      <c r="C91" s="14" t="s">
        <v>1883</v>
      </c>
      <c r="D91" s="14" t="s">
        <v>65</v>
      </c>
      <c r="E91" s="14" t="s">
        <v>1884</v>
      </c>
      <c r="F91" s="14" t="s">
        <v>1885</v>
      </c>
      <c r="G91" s="14" t="s">
        <v>1886</v>
      </c>
      <c r="H91" s="14" t="s">
        <v>1887</v>
      </c>
      <c r="I91" s="14" t="s">
        <v>1888</v>
      </c>
      <c r="J91" s="15" t="s">
        <v>974</v>
      </c>
      <c r="K91" s="14" t="s">
        <v>850</v>
      </c>
      <c r="L91" s="14" t="s">
        <v>851</v>
      </c>
      <c r="M91" s="879">
        <v>17516</v>
      </c>
      <c r="N91" s="880" t="s">
        <v>1889</v>
      </c>
      <c r="O91" s="881" t="s">
        <v>1890</v>
      </c>
      <c r="P91" s="13" t="s">
        <v>2809</v>
      </c>
      <c r="Q91" s="882">
        <v>26</v>
      </c>
      <c r="R91" s="882" t="s">
        <v>2891</v>
      </c>
      <c r="S91" s="882">
        <f t="shared" si="2"/>
        <v>24.596</v>
      </c>
      <c r="T91" s="882" t="s">
        <v>2892</v>
      </c>
      <c r="U91" s="13" t="s">
        <v>2877</v>
      </c>
      <c r="V91" s="13" t="s">
        <v>2904</v>
      </c>
      <c r="W91" s="13" t="s">
        <v>2837</v>
      </c>
      <c r="X91" s="13" t="s">
        <v>2828</v>
      </c>
      <c r="Y91" s="13" t="s">
        <v>2815</v>
      </c>
      <c r="Z91" s="883" t="s">
        <v>2817</v>
      </c>
      <c r="AA91" s="883" t="s">
        <v>2816</v>
      </c>
      <c r="AB91" s="883" t="s">
        <v>2816</v>
      </c>
      <c r="AC91" s="13" t="s">
        <v>2863</v>
      </c>
      <c r="AD91" s="13" t="s">
        <v>2839</v>
      </c>
      <c r="AE91" s="14" t="s">
        <v>2906</v>
      </c>
      <c r="AF91" s="14" t="s">
        <v>2883</v>
      </c>
      <c r="AG91" s="14" t="s">
        <v>2993</v>
      </c>
      <c r="AH91" s="14" t="s">
        <v>2940</v>
      </c>
      <c r="AI91" s="696">
        <v>1</v>
      </c>
      <c r="AJ91" s="879">
        <v>510</v>
      </c>
      <c r="AK91" s="879">
        <v>60894</v>
      </c>
      <c r="AL91" s="884">
        <v>119.4</v>
      </c>
      <c r="AM91" s="885">
        <v>0.6288</v>
      </c>
      <c r="AN91" s="884">
        <v>25.69</v>
      </c>
      <c r="AO91" s="886">
        <v>3.9</v>
      </c>
      <c r="AP91" s="879">
        <v>199</v>
      </c>
      <c r="AQ91" s="887">
        <v>0.0471</v>
      </c>
      <c r="AR91" s="879">
        <v>24</v>
      </c>
      <c r="AS91" s="888"/>
      <c r="AT91" s="15" t="s">
        <v>65</v>
      </c>
      <c r="AU91" s="15" t="s">
        <v>1891</v>
      </c>
      <c r="AV91" s="889">
        <v>346</v>
      </c>
      <c r="AW91" s="889">
        <v>1</v>
      </c>
      <c r="AX91" s="889">
        <v>1</v>
      </c>
      <c r="AY91" s="14" t="s">
        <v>867</v>
      </c>
      <c r="AZ91" s="15" t="s">
        <v>65</v>
      </c>
      <c r="BA91" s="14" t="s">
        <v>65</v>
      </c>
      <c r="BB91" s="15" t="s">
        <v>856</v>
      </c>
      <c r="BC91" s="890" t="s">
        <v>1435</v>
      </c>
      <c r="BD91" s="890" t="s">
        <v>1892</v>
      </c>
    </row>
    <row r="92" s="1" customFormat="1" ht="24" customHeight="1" spans="1:56">
      <c r="A92" s="15" t="str">
        <f>_xlfn.DISPIMG("ID_2352E1B134914D12BF01409D0D810953",1)</f>
        <v>=DISPIMG("ID_2352E1B134914D12BF01409D0D810953",1)</v>
      </c>
      <c r="B92" s="14" t="s">
        <v>1900</v>
      </c>
      <c r="C92" s="14" t="s">
        <v>1900</v>
      </c>
      <c r="D92" s="14" t="s">
        <v>65</v>
      </c>
      <c r="E92" s="14" t="s">
        <v>1901</v>
      </c>
      <c r="F92" s="14" t="s">
        <v>1902</v>
      </c>
      <c r="G92" s="14" t="s">
        <v>1302</v>
      </c>
      <c r="H92" s="14" t="s">
        <v>1903</v>
      </c>
      <c r="I92" s="14" t="s">
        <v>1904</v>
      </c>
      <c r="J92" s="15" t="s">
        <v>934</v>
      </c>
      <c r="K92" s="14" t="s">
        <v>850</v>
      </c>
      <c r="L92" s="14" t="s">
        <v>851</v>
      </c>
      <c r="M92" s="879">
        <v>18419</v>
      </c>
      <c r="N92" s="880" t="s">
        <v>852</v>
      </c>
      <c r="O92" s="881" t="s">
        <v>1905</v>
      </c>
      <c r="P92" s="13" t="s">
        <v>2852</v>
      </c>
      <c r="Q92" s="882">
        <v>10.6</v>
      </c>
      <c r="R92" s="882" t="s">
        <v>3008</v>
      </c>
      <c r="S92" s="882">
        <f t="shared" si="2"/>
        <v>10.0276</v>
      </c>
      <c r="T92" s="882" t="s">
        <v>3009</v>
      </c>
      <c r="U92" s="13" t="s">
        <v>2877</v>
      </c>
      <c r="V92" s="13" t="s">
        <v>2904</v>
      </c>
      <c r="W92" s="13" t="s">
        <v>2894</v>
      </c>
      <c r="X92" s="13" t="s">
        <v>2828</v>
      </c>
      <c r="Y92" s="13" t="s">
        <v>2815</v>
      </c>
      <c r="Z92" s="883" t="s">
        <v>2817</v>
      </c>
      <c r="AA92" s="883" t="s">
        <v>2817</v>
      </c>
      <c r="AB92" s="883" t="s">
        <v>2816</v>
      </c>
      <c r="AC92" s="13" t="s">
        <v>2818</v>
      </c>
      <c r="AD92" s="13" t="s">
        <v>2839</v>
      </c>
      <c r="AE92" s="14" t="s">
        <v>2939</v>
      </c>
      <c r="AF92" s="14" t="s">
        <v>2851</v>
      </c>
      <c r="AG92" s="14" t="s">
        <v>2865</v>
      </c>
      <c r="AH92" s="14" t="s">
        <v>2823</v>
      </c>
      <c r="AI92" s="696">
        <v>1</v>
      </c>
      <c r="AJ92" s="879">
        <v>589</v>
      </c>
      <c r="AK92" s="879">
        <v>53004.11</v>
      </c>
      <c r="AL92" s="884">
        <v>79.99</v>
      </c>
      <c r="AM92" s="885">
        <v>0.5972</v>
      </c>
      <c r="AN92" s="884">
        <v>22.75</v>
      </c>
      <c r="AO92" s="886">
        <v>4.5</v>
      </c>
      <c r="AP92" s="879">
        <v>7326</v>
      </c>
      <c r="AQ92" s="887">
        <v>0.1511</v>
      </c>
      <c r="AR92" s="879">
        <v>89</v>
      </c>
      <c r="AS92" s="888"/>
      <c r="AT92" s="15" t="s">
        <v>947</v>
      </c>
      <c r="AU92" s="15" t="s">
        <v>1906</v>
      </c>
      <c r="AV92" s="889">
        <v>1077</v>
      </c>
      <c r="AW92" s="889">
        <v>1</v>
      </c>
      <c r="AX92" s="889">
        <v>1</v>
      </c>
      <c r="AY92" s="14" t="s">
        <v>1307</v>
      </c>
      <c r="AZ92" s="15" t="s">
        <v>65</v>
      </c>
      <c r="BA92" s="14" t="s">
        <v>1308</v>
      </c>
      <c r="BB92" s="15" t="s">
        <v>856</v>
      </c>
      <c r="BC92" s="890" t="s">
        <v>1907</v>
      </c>
      <c r="BD92" s="890" t="s">
        <v>1908</v>
      </c>
    </row>
    <row r="93" s="1" customFormat="1" ht="24" customHeight="1" spans="1:56">
      <c r="A93" s="15" t="str">
        <f>_xlfn.DISPIMG("ID_3868C3AA8AB74668B4C622B8CE1F41E2",1)</f>
        <v>=DISPIMG("ID_3868C3AA8AB74668B4C622B8CE1F41E2",1)</v>
      </c>
      <c r="B93" s="14" t="s">
        <v>1909</v>
      </c>
      <c r="C93" s="14" t="s">
        <v>1909</v>
      </c>
      <c r="D93" s="14" t="s">
        <v>65</v>
      </c>
      <c r="E93" s="14" t="s">
        <v>1910</v>
      </c>
      <c r="F93" s="14" t="s">
        <v>1911</v>
      </c>
      <c r="G93" s="14" t="s">
        <v>1302</v>
      </c>
      <c r="H93" s="14" t="s">
        <v>1912</v>
      </c>
      <c r="I93" s="14" t="s">
        <v>1913</v>
      </c>
      <c r="J93" s="15" t="s">
        <v>934</v>
      </c>
      <c r="K93" s="14" t="s">
        <v>850</v>
      </c>
      <c r="L93" s="14" t="s">
        <v>851</v>
      </c>
      <c r="M93" s="879">
        <v>14404</v>
      </c>
      <c r="N93" s="880" t="s">
        <v>852</v>
      </c>
      <c r="O93" s="881" t="s">
        <v>1708</v>
      </c>
      <c r="P93" s="13" t="s">
        <v>2809</v>
      </c>
      <c r="Q93" s="882">
        <v>19</v>
      </c>
      <c r="R93" s="882" t="s">
        <v>2973</v>
      </c>
      <c r="S93" s="882">
        <f t="shared" si="2"/>
        <v>17.974</v>
      </c>
      <c r="T93" s="882" t="s">
        <v>2974</v>
      </c>
      <c r="U93" s="13" t="s">
        <v>2877</v>
      </c>
      <c r="V93" s="13" t="s">
        <v>2836</v>
      </c>
      <c r="W93" s="13" t="s">
        <v>2894</v>
      </c>
      <c r="X93" s="13" t="s">
        <v>2814</v>
      </c>
      <c r="Y93" s="13" t="s">
        <v>2829</v>
      </c>
      <c r="Z93" s="883" t="s">
        <v>2817</v>
      </c>
      <c r="AA93" s="883" t="s">
        <v>2817</v>
      </c>
      <c r="AB93" s="883" t="s">
        <v>2816</v>
      </c>
      <c r="AC93" s="13" t="s">
        <v>2912</v>
      </c>
      <c r="AD93" s="13" t="s">
        <v>2839</v>
      </c>
      <c r="AE93" s="14" t="s">
        <v>2820</v>
      </c>
      <c r="AF93" s="14" t="s">
        <v>2851</v>
      </c>
      <c r="AG93" s="14" t="s">
        <v>2865</v>
      </c>
      <c r="AH93" s="14" t="s">
        <v>2823</v>
      </c>
      <c r="AI93" s="696">
        <v>1</v>
      </c>
      <c r="AJ93" s="879">
        <v>555</v>
      </c>
      <c r="AK93" s="879">
        <v>49944.45</v>
      </c>
      <c r="AL93" s="884">
        <v>89.99</v>
      </c>
      <c r="AM93" s="885">
        <v>0.5599</v>
      </c>
      <c r="AN93" s="884">
        <v>26.11</v>
      </c>
      <c r="AO93" s="886">
        <v>4.4</v>
      </c>
      <c r="AP93" s="879">
        <v>5402</v>
      </c>
      <c r="AQ93" s="887">
        <v>0.1207</v>
      </c>
      <c r="AR93" s="879">
        <v>67</v>
      </c>
      <c r="AS93" s="888"/>
      <c r="AT93" s="15" t="s">
        <v>947</v>
      </c>
      <c r="AU93" s="15" t="s">
        <v>1914</v>
      </c>
      <c r="AV93" s="889">
        <v>1061</v>
      </c>
      <c r="AW93" s="889">
        <v>1</v>
      </c>
      <c r="AX93" s="889">
        <v>1</v>
      </c>
      <c r="AY93" s="14" t="s">
        <v>1307</v>
      </c>
      <c r="AZ93" s="15" t="s">
        <v>65</v>
      </c>
      <c r="BA93" s="14" t="s">
        <v>1308</v>
      </c>
      <c r="BB93" s="15" t="s">
        <v>856</v>
      </c>
      <c r="BC93" s="890" t="s">
        <v>1915</v>
      </c>
      <c r="BD93" s="890" t="s">
        <v>1916</v>
      </c>
    </row>
    <row r="94" s="1" customFormat="1" ht="24" customHeight="1" spans="1:56">
      <c r="A94" s="15" t="str">
        <f>_xlfn.DISPIMG("ID_A032B38D857046A3BD39D6C51FA809AC",1)</f>
        <v>=DISPIMG("ID_A032B38D857046A3BD39D6C51FA809AC",1)</v>
      </c>
      <c r="B94" s="14" t="s">
        <v>1917</v>
      </c>
      <c r="C94" s="14" t="s">
        <v>1917</v>
      </c>
      <c r="D94" s="14" t="s">
        <v>65</v>
      </c>
      <c r="E94" s="14" t="s">
        <v>1918</v>
      </c>
      <c r="F94" s="14" t="s">
        <v>1919</v>
      </c>
      <c r="G94" s="14" t="s">
        <v>1920</v>
      </c>
      <c r="H94" s="14" t="s">
        <v>1921</v>
      </c>
      <c r="I94" s="14" t="s">
        <v>1922</v>
      </c>
      <c r="J94" s="15" t="s">
        <v>934</v>
      </c>
      <c r="K94" s="14" t="s">
        <v>850</v>
      </c>
      <c r="L94" s="14" t="s">
        <v>851</v>
      </c>
      <c r="M94" s="879">
        <v>16717</v>
      </c>
      <c r="N94" s="880" t="s">
        <v>852</v>
      </c>
      <c r="O94" s="881" t="s">
        <v>1923</v>
      </c>
      <c r="P94" s="13" t="s">
        <v>3005</v>
      </c>
      <c r="Q94" s="882">
        <v>4.5</v>
      </c>
      <c r="R94" s="882" t="s">
        <v>2959</v>
      </c>
      <c r="S94" s="882">
        <f t="shared" si="2"/>
        <v>4.257</v>
      </c>
      <c r="T94" s="882" t="s">
        <v>2960</v>
      </c>
      <c r="U94" s="13" t="s">
        <v>64</v>
      </c>
      <c r="V94" s="13" t="s">
        <v>2812</v>
      </c>
      <c r="W94" s="13" t="s">
        <v>2878</v>
      </c>
      <c r="X94" s="13" t="s">
        <v>2828</v>
      </c>
      <c r="Y94" s="13" t="s">
        <v>2815</v>
      </c>
      <c r="Z94" s="883" t="s">
        <v>2816</v>
      </c>
      <c r="AA94" s="883" t="s">
        <v>2817</v>
      </c>
      <c r="AB94" s="883" t="s">
        <v>2816</v>
      </c>
      <c r="AC94" s="13" t="s">
        <v>2818</v>
      </c>
      <c r="AD94" s="13" t="s">
        <v>2819</v>
      </c>
      <c r="AE94" s="14" t="s">
        <v>2840</v>
      </c>
      <c r="AF94" s="14" t="s">
        <v>2831</v>
      </c>
      <c r="AG94" s="14" t="s">
        <v>2865</v>
      </c>
      <c r="AH94" s="14" t="s">
        <v>2868</v>
      </c>
      <c r="AI94" s="696">
        <v>1</v>
      </c>
      <c r="AJ94" s="879">
        <v>851</v>
      </c>
      <c r="AK94" s="879">
        <v>93601.484</v>
      </c>
      <c r="AL94" s="884">
        <v>109.99</v>
      </c>
      <c r="AM94" s="885">
        <v>0.689</v>
      </c>
      <c r="AN94" s="884">
        <v>17.71</v>
      </c>
      <c r="AO94" s="886">
        <v>4.5</v>
      </c>
      <c r="AP94" s="879">
        <v>848</v>
      </c>
      <c r="AQ94" s="887">
        <v>0.027</v>
      </c>
      <c r="AR94" s="879">
        <v>23</v>
      </c>
      <c r="AS94" s="888"/>
      <c r="AT94" s="15" t="s">
        <v>854</v>
      </c>
      <c r="AU94" s="15" t="s">
        <v>1924</v>
      </c>
      <c r="AV94" s="889">
        <v>638</v>
      </c>
      <c r="AW94" s="889">
        <v>1</v>
      </c>
      <c r="AX94" s="889">
        <v>1</v>
      </c>
      <c r="AY94" s="14" t="s">
        <v>1925</v>
      </c>
      <c r="AZ94" s="15" t="s">
        <v>65</v>
      </c>
      <c r="BA94" s="14" t="s">
        <v>1926</v>
      </c>
      <c r="BB94" s="15" t="s">
        <v>856</v>
      </c>
      <c r="BC94" s="890" t="s">
        <v>1927</v>
      </c>
      <c r="BD94" s="890" t="s">
        <v>1928</v>
      </c>
    </row>
    <row r="95" s="1" customFormat="1" ht="24" customHeight="1" spans="1:56">
      <c r="A95" s="15" t="str">
        <f>_xlfn.DISPIMG("ID_14325EF052B64C239526A059D2F20F7F",1)</f>
        <v>=DISPIMG("ID_14325EF052B64C239526A059D2F20F7F",1)</v>
      </c>
      <c r="B95" s="14" t="s">
        <v>1929</v>
      </c>
      <c r="C95" s="14" t="s">
        <v>1929</v>
      </c>
      <c r="D95" s="14" t="s">
        <v>65</v>
      </c>
      <c r="E95" s="14" t="s">
        <v>1930</v>
      </c>
      <c r="F95" s="14" t="s">
        <v>1931</v>
      </c>
      <c r="G95" s="14" t="s">
        <v>1932</v>
      </c>
      <c r="H95" s="14" t="s">
        <v>1933</v>
      </c>
      <c r="I95" s="14" t="s">
        <v>1934</v>
      </c>
      <c r="J95" s="15" t="s">
        <v>934</v>
      </c>
      <c r="K95" s="14" t="s">
        <v>850</v>
      </c>
      <c r="L95" s="14" t="s">
        <v>851</v>
      </c>
      <c r="M95" s="879">
        <v>19139</v>
      </c>
      <c r="N95" s="880" t="s">
        <v>852</v>
      </c>
      <c r="O95" s="881" t="s">
        <v>1935</v>
      </c>
      <c r="P95" s="13" t="s">
        <v>2809</v>
      </c>
      <c r="Q95" s="882">
        <v>2.9</v>
      </c>
      <c r="R95" s="882" t="s">
        <v>3010</v>
      </c>
      <c r="S95" s="882">
        <f t="shared" si="2"/>
        <v>2.7434</v>
      </c>
      <c r="T95" s="882" t="s">
        <v>3011</v>
      </c>
      <c r="U95" s="13" t="s">
        <v>64</v>
      </c>
      <c r="V95" s="13" t="s">
        <v>2812</v>
      </c>
      <c r="W95" s="13" t="s">
        <v>2938</v>
      </c>
      <c r="X95" s="13" t="s">
        <v>2921</v>
      </c>
      <c r="Y95" s="13" t="s">
        <v>2815</v>
      </c>
      <c r="Z95" s="883" t="s">
        <v>2816</v>
      </c>
      <c r="AA95" s="883" t="s">
        <v>2817</v>
      </c>
      <c r="AB95" s="883" t="s">
        <v>2816</v>
      </c>
      <c r="AC95" s="13" t="s">
        <v>2818</v>
      </c>
      <c r="AD95" s="13" t="s">
        <v>2819</v>
      </c>
      <c r="AE95" s="14" t="s">
        <v>2916</v>
      </c>
      <c r="AF95" s="14" t="s">
        <v>2831</v>
      </c>
      <c r="AG95" s="14" t="s">
        <v>2822</v>
      </c>
      <c r="AH95" s="14" t="s">
        <v>2823</v>
      </c>
      <c r="AI95" s="696">
        <v>1</v>
      </c>
      <c r="AJ95" s="879">
        <v>309</v>
      </c>
      <c r="AK95" s="879">
        <v>15357.3</v>
      </c>
      <c r="AL95" s="884">
        <v>49.7</v>
      </c>
      <c r="AM95" s="885">
        <v>0.5444</v>
      </c>
      <c r="AN95" s="884">
        <v>15.19</v>
      </c>
      <c r="AO95" s="886">
        <v>4.6</v>
      </c>
      <c r="AP95" s="879">
        <v>1625</v>
      </c>
      <c r="AQ95" s="887">
        <v>0.1553</v>
      </c>
      <c r="AR95" s="879">
        <v>48</v>
      </c>
      <c r="AS95" s="888"/>
      <c r="AT95" s="15" t="s">
        <v>854</v>
      </c>
      <c r="AU95" s="15" t="s">
        <v>1936</v>
      </c>
      <c r="AV95" s="889">
        <v>666</v>
      </c>
      <c r="AW95" s="889">
        <v>1</v>
      </c>
      <c r="AX95" s="889">
        <v>1</v>
      </c>
      <c r="AY95" s="14" t="s">
        <v>867</v>
      </c>
      <c r="AZ95" s="15" t="s">
        <v>65</v>
      </c>
      <c r="BA95" s="14" t="s">
        <v>65</v>
      </c>
      <c r="BB95" s="15" t="s">
        <v>856</v>
      </c>
      <c r="BC95" s="890" t="s">
        <v>1937</v>
      </c>
      <c r="BD95" s="890" t="s">
        <v>1938</v>
      </c>
    </row>
    <row r="96" s="1" customFormat="1" ht="24" customHeight="1" spans="1:56">
      <c r="A96" s="15" t="str">
        <f>_xlfn.DISPIMG("ID_CAFA875542924B7C8C1FF07E87DC82F6",1)</f>
        <v>=DISPIMG("ID_CAFA875542924B7C8C1FF07E87DC82F6",1)</v>
      </c>
      <c r="B96" s="14" t="s">
        <v>1939</v>
      </c>
      <c r="C96" s="14" t="s">
        <v>1939</v>
      </c>
      <c r="D96" s="14" t="s">
        <v>65</v>
      </c>
      <c r="E96" s="14" t="s">
        <v>1940</v>
      </c>
      <c r="F96" s="14" t="s">
        <v>1941</v>
      </c>
      <c r="G96" s="14" t="s">
        <v>1942</v>
      </c>
      <c r="H96" s="14" t="s">
        <v>1943</v>
      </c>
      <c r="I96" s="14" t="s">
        <v>1944</v>
      </c>
      <c r="J96" s="15" t="s">
        <v>1634</v>
      </c>
      <c r="K96" s="14" t="s">
        <v>850</v>
      </c>
      <c r="L96" s="14" t="s">
        <v>851</v>
      </c>
      <c r="M96" s="879">
        <v>24418</v>
      </c>
      <c r="N96" s="880" t="s">
        <v>852</v>
      </c>
      <c r="O96" s="881" t="s">
        <v>1945</v>
      </c>
      <c r="P96" s="13" t="s">
        <v>2809</v>
      </c>
      <c r="Q96" s="882">
        <v>7</v>
      </c>
      <c r="R96" s="882" t="s">
        <v>2941</v>
      </c>
      <c r="S96" s="882">
        <f t="shared" si="2"/>
        <v>6.622</v>
      </c>
      <c r="T96" s="882" t="s">
        <v>2942</v>
      </c>
      <c r="U96" s="13" t="s">
        <v>64</v>
      </c>
      <c r="V96" s="13" t="s">
        <v>2812</v>
      </c>
      <c r="W96" s="13" t="s">
        <v>2888</v>
      </c>
      <c r="X96" s="13" t="s">
        <v>2844</v>
      </c>
      <c r="Y96" s="13" t="s">
        <v>2815</v>
      </c>
      <c r="Z96" s="883" t="s">
        <v>2816</v>
      </c>
      <c r="AA96" s="883" t="s">
        <v>2817</v>
      </c>
      <c r="AB96" s="883" t="s">
        <v>2816</v>
      </c>
      <c r="AC96" s="13" t="s">
        <v>2818</v>
      </c>
      <c r="AD96" s="13" t="s">
        <v>2819</v>
      </c>
      <c r="AE96" s="14" t="s">
        <v>2882</v>
      </c>
      <c r="AF96" s="14" t="s">
        <v>2883</v>
      </c>
      <c r="AG96" s="14" t="s">
        <v>2930</v>
      </c>
      <c r="AH96" s="14" t="s">
        <v>2940</v>
      </c>
      <c r="AI96" s="696">
        <v>1</v>
      </c>
      <c r="AJ96" s="879">
        <v>578</v>
      </c>
      <c r="AK96" s="879">
        <v>35830.223</v>
      </c>
      <c r="AL96" s="884">
        <v>61.99</v>
      </c>
      <c r="AM96" s="885">
        <v>0.4898</v>
      </c>
      <c r="AN96" s="884">
        <v>22.33</v>
      </c>
      <c r="AO96" s="886">
        <v>4.2</v>
      </c>
      <c r="AP96" s="879">
        <v>239</v>
      </c>
      <c r="AQ96" s="887">
        <v>0.0848</v>
      </c>
      <c r="AR96" s="879">
        <v>49</v>
      </c>
      <c r="AS96" s="888"/>
      <c r="AT96" s="15" t="s">
        <v>876</v>
      </c>
      <c r="AU96" s="15" t="s">
        <v>1946</v>
      </c>
      <c r="AV96" s="889">
        <v>230</v>
      </c>
      <c r="AW96" s="889">
        <v>1</v>
      </c>
      <c r="AX96" s="889">
        <v>1</v>
      </c>
      <c r="AY96" s="14" t="s">
        <v>1947</v>
      </c>
      <c r="AZ96" s="15" t="s">
        <v>1288</v>
      </c>
      <c r="BA96" s="14" t="s">
        <v>1948</v>
      </c>
      <c r="BB96" s="15" t="s">
        <v>856</v>
      </c>
      <c r="BC96" s="890" t="s">
        <v>1949</v>
      </c>
      <c r="BD96" s="890" t="s">
        <v>1950</v>
      </c>
    </row>
    <row r="97" s="1" customFormat="1" ht="24" customHeight="1" spans="1:56">
      <c r="A97" s="15" t="str">
        <f>_xlfn.DISPIMG("ID_F9B083DFE5154E15A17EC7936B463F2F",1)</f>
        <v>=DISPIMG("ID_F9B083DFE5154E15A17EC7936B463F2F",1)</v>
      </c>
      <c r="B97" s="14" t="s">
        <v>1951</v>
      </c>
      <c r="C97" s="14" t="s">
        <v>1951</v>
      </c>
      <c r="D97" s="14" t="s">
        <v>65</v>
      </c>
      <c r="E97" s="14" t="s">
        <v>1952</v>
      </c>
      <c r="F97" s="14" t="s">
        <v>1953</v>
      </c>
      <c r="G97" s="14" t="s">
        <v>1059</v>
      </c>
      <c r="H97" s="14" t="s">
        <v>1954</v>
      </c>
      <c r="I97" s="14" t="s">
        <v>1955</v>
      </c>
      <c r="J97" s="15" t="s">
        <v>864</v>
      </c>
      <c r="K97" s="14" t="s">
        <v>850</v>
      </c>
      <c r="L97" s="14" t="s">
        <v>851</v>
      </c>
      <c r="M97" s="879">
        <v>22603</v>
      </c>
      <c r="N97" s="880" t="s">
        <v>852</v>
      </c>
      <c r="O97" s="881" t="s">
        <v>1956</v>
      </c>
      <c r="P97" s="13" t="s">
        <v>2852</v>
      </c>
      <c r="Q97" s="882">
        <v>21</v>
      </c>
      <c r="R97" s="882" t="s">
        <v>3012</v>
      </c>
      <c r="S97" s="882">
        <f t="shared" si="2"/>
        <v>19.866</v>
      </c>
      <c r="T97" s="882" t="s">
        <v>3013</v>
      </c>
      <c r="U97" s="13" t="s">
        <v>2877</v>
      </c>
      <c r="V97" s="13" t="s">
        <v>2836</v>
      </c>
      <c r="W97" s="13" t="s">
        <v>2827</v>
      </c>
      <c r="X97" s="13" t="s">
        <v>2874</v>
      </c>
      <c r="Y97" s="13" t="s">
        <v>2829</v>
      </c>
      <c r="Z97" s="883" t="s">
        <v>2817</v>
      </c>
      <c r="AA97" s="883" t="s">
        <v>2817</v>
      </c>
      <c r="AB97" s="883" t="s">
        <v>2816</v>
      </c>
      <c r="AC97" s="13" t="s">
        <v>2818</v>
      </c>
      <c r="AD97" s="13" t="s">
        <v>2839</v>
      </c>
      <c r="AE97" s="14" t="s">
        <v>2887</v>
      </c>
      <c r="AF97" s="14" t="s">
        <v>2851</v>
      </c>
      <c r="AG97" s="14" t="s">
        <v>2865</v>
      </c>
      <c r="AH97" s="14" t="s">
        <v>2823</v>
      </c>
      <c r="AI97" s="696">
        <v>1</v>
      </c>
      <c r="AJ97" s="879">
        <v>365</v>
      </c>
      <c r="AK97" s="879">
        <v>54746.35</v>
      </c>
      <c r="AL97" s="884">
        <v>149.99</v>
      </c>
      <c r="AM97" s="885">
        <v>0.6479</v>
      </c>
      <c r="AN97" s="884">
        <v>30.31</v>
      </c>
      <c r="AO97" s="886">
        <v>4.5</v>
      </c>
      <c r="AP97" s="879">
        <v>2652</v>
      </c>
      <c r="AQ97" s="887">
        <v>0.1288</v>
      </c>
      <c r="AR97" s="879">
        <v>47</v>
      </c>
      <c r="AS97" s="888"/>
      <c r="AT97" s="15" t="s">
        <v>947</v>
      </c>
      <c r="AU97" s="15" t="s">
        <v>1957</v>
      </c>
      <c r="AV97" s="889">
        <v>930</v>
      </c>
      <c r="AW97" s="889">
        <v>1</v>
      </c>
      <c r="AX97" s="889">
        <v>9</v>
      </c>
      <c r="AY97" s="14" t="s">
        <v>867</v>
      </c>
      <c r="AZ97" s="15" t="s">
        <v>65</v>
      </c>
      <c r="BA97" s="14" t="s">
        <v>65</v>
      </c>
      <c r="BB97" s="15" t="s">
        <v>856</v>
      </c>
      <c r="BC97" s="890" t="s">
        <v>1751</v>
      </c>
      <c r="BD97" s="890" t="s">
        <v>1958</v>
      </c>
    </row>
    <row r="98" s="1" customFormat="1" ht="24" customHeight="1" spans="1:56">
      <c r="A98" s="15" t="str">
        <f>_xlfn.DISPIMG("ID_C84511F9722846388FB698BCF9E760FB",1)</f>
        <v>=DISPIMG("ID_C84511F9722846388FB698BCF9E760FB",1)</v>
      </c>
      <c r="B98" s="14" t="s">
        <v>1959</v>
      </c>
      <c r="C98" s="14" t="s">
        <v>1959</v>
      </c>
      <c r="D98" s="14" t="s">
        <v>65</v>
      </c>
      <c r="E98" s="14" t="s">
        <v>1960</v>
      </c>
      <c r="F98" s="14" t="s">
        <v>1961</v>
      </c>
      <c r="G98" s="14" t="s">
        <v>1059</v>
      </c>
      <c r="H98" s="14" t="s">
        <v>1962</v>
      </c>
      <c r="I98" s="14" t="s">
        <v>1963</v>
      </c>
      <c r="J98" s="15" t="s">
        <v>934</v>
      </c>
      <c r="K98" s="14" t="s">
        <v>850</v>
      </c>
      <c r="L98" s="14" t="s">
        <v>851</v>
      </c>
      <c r="M98" s="879">
        <v>12961</v>
      </c>
      <c r="N98" s="880" t="s">
        <v>852</v>
      </c>
      <c r="O98" s="881" t="s">
        <v>1964</v>
      </c>
      <c r="P98" s="13" t="s">
        <v>2986</v>
      </c>
      <c r="Q98" s="882">
        <v>2</v>
      </c>
      <c r="R98" s="882" t="s">
        <v>2914</v>
      </c>
      <c r="S98" s="882">
        <f t="shared" si="2"/>
        <v>1.892</v>
      </c>
      <c r="T98" s="882" t="s">
        <v>2915</v>
      </c>
      <c r="U98" s="13" t="s">
        <v>64</v>
      </c>
      <c r="V98" s="13" t="s">
        <v>2812</v>
      </c>
      <c r="W98" s="13" t="s">
        <v>2861</v>
      </c>
      <c r="X98" s="13" t="s">
        <v>2862</v>
      </c>
      <c r="Y98" s="13" t="s">
        <v>2815</v>
      </c>
      <c r="Z98" s="883" t="s">
        <v>2816</v>
      </c>
      <c r="AA98" s="883" t="s">
        <v>2816</v>
      </c>
      <c r="AB98" s="883" t="s">
        <v>2816</v>
      </c>
      <c r="AC98" s="13" t="s">
        <v>2863</v>
      </c>
      <c r="AD98" s="13" t="s">
        <v>2819</v>
      </c>
      <c r="AE98" s="14" t="s">
        <v>2916</v>
      </c>
      <c r="AF98" s="14" t="s">
        <v>2883</v>
      </c>
      <c r="AG98" s="14" t="s">
        <v>2865</v>
      </c>
      <c r="AH98" s="14" t="s">
        <v>2884</v>
      </c>
      <c r="AI98" s="696">
        <v>1</v>
      </c>
      <c r="AJ98" s="879">
        <v>610</v>
      </c>
      <c r="AK98" s="879">
        <v>30493.9</v>
      </c>
      <c r="AL98" s="884">
        <v>49.99</v>
      </c>
      <c r="AM98" s="885">
        <v>0.5629</v>
      </c>
      <c r="AN98" s="884">
        <v>14.35</v>
      </c>
      <c r="AO98" s="886">
        <v>4.3</v>
      </c>
      <c r="AP98" s="879">
        <v>357</v>
      </c>
      <c r="AQ98" s="887">
        <v>0</v>
      </c>
      <c r="AR98" s="879">
        <v>0</v>
      </c>
      <c r="AS98" s="888"/>
      <c r="AT98" s="15" t="s">
        <v>876</v>
      </c>
      <c r="AU98" s="15" t="s">
        <v>1965</v>
      </c>
      <c r="AV98" s="889">
        <v>276</v>
      </c>
      <c r="AW98" s="889">
        <v>1</v>
      </c>
      <c r="AX98" s="889">
        <v>12</v>
      </c>
      <c r="AY98" s="14" t="s">
        <v>867</v>
      </c>
      <c r="AZ98" s="15" t="s">
        <v>65</v>
      </c>
      <c r="BA98" s="14" t="s">
        <v>65</v>
      </c>
      <c r="BB98" s="15" t="s">
        <v>856</v>
      </c>
      <c r="BC98" s="890" t="s">
        <v>1966</v>
      </c>
      <c r="BD98" s="890" t="s">
        <v>1967</v>
      </c>
    </row>
    <row r="99" s="1" customFormat="1" ht="24" customHeight="1" spans="1:56">
      <c r="A99" s="15" t="str">
        <f>_xlfn.DISPIMG("ID_41B0691D1D0044738862DF6167707F7F",1)</f>
        <v>=DISPIMG("ID_41B0691D1D0044738862DF6167707F7F",1)</v>
      </c>
      <c r="B99" s="14" t="s">
        <v>1968</v>
      </c>
      <c r="C99" s="14" t="s">
        <v>1968</v>
      </c>
      <c r="D99" s="14" t="s">
        <v>65</v>
      </c>
      <c r="E99" s="14" t="s">
        <v>1969</v>
      </c>
      <c r="F99" s="14" t="s">
        <v>1970</v>
      </c>
      <c r="G99" s="14" t="s">
        <v>1799</v>
      </c>
      <c r="H99" s="14" t="s">
        <v>1971</v>
      </c>
      <c r="I99" s="14" t="s">
        <v>1972</v>
      </c>
      <c r="J99" s="15" t="s">
        <v>974</v>
      </c>
      <c r="K99" s="14" t="s">
        <v>850</v>
      </c>
      <c r="L99" s="14" t="s">
        <v>851</v>
      </c>
      <c r="M99" s="879">
        <v>32907</v>
      </c>
      <c r="N99" s="880" t="s">
        <v>852</v>
      </c>
      <c r="O99" s="881" t="s">
        <v>1973</v>
      </c>
      <c r="P99" s="13" t="s">
        <v>2809</v>
      </c>
      <c r="Q99" s="882">
        <v>3.4</v>
      </c>
      <c r="R99" s="882" t="s">
        <v>3014</v>
      </c>
      <c r="S99" s="882">
        <f t="shared" si="2"/>
        <v>3.2164</v>
      </c>
      <c r="T99" s="882" t="s">
        <v>3015</v>
      </c>
      <c r="U99" s="13" t="s">
        <v>64</v>
      </c>
      <c r="V99" s="13" t="s">
        <v>2812</v>
      </c>
      <c r="W99" s="13" t="s">
        <v>2861</v>
      </c>
      <c r="X99" s="13" t="s">
        <v>2828</v>
      </c>
      <c r="Y99" s="13" t="s">
        <v>2815</v>
      </c>
      <c r="Z99" s="883" t="s">
        <v>2816</v>
      </c>
      <c r="AA99" s="883" t="s">
        <v>2816</v>
      </c>
      <c r="AB99" s="883" t="s">
        <v>2816</v>
      </c>
      <c r="AC99" s="13" t="s">
        <v>2863</v>
      </c>
      <c r="AD99" s="13" t="s">
        <v>2819</v>
      </c>
      <c r="AE99" s="14" t="s">
        <v>2866</v>
      </c>
      <c r="AF99" s="14" t="s">
        <v>2821</v>
      </c>
      <c r="AG99" s="14" t="s">
        <v>2822</v>
      </c>
      <c r="AH99" s="14" t="s">
        <v>2823</v>
      </c>
      <c r="AI99" s="696">
        <v>1</v>
      </c>
      <c r="AJ99" s="879">
        <v>216</v>
      </c>
      <c r="AK99" s="879">
        <v>12627.359</v>
      </c>
      <c r="AL99" s="884">
        <v>58.46</v>
      </c>
      <c r="AM99" s="885">
        <v>0.5542</v>
      </c>
      <c r="AN99" s="884">
        <v>17.29</v>
      </c>
      <c r="AO99" s="886">
        <v>4.6</v>
      </c>
      <c r="AP99" s="879">
        <v>4355</v>
      </c>
      <c r="AQ99" s="887">
        <v>0.0741</v>
      </c>
      <c r="AR99" s="879">
        <v>16</v>
      </c>
      <c r="AS99" s="888"/>
      <c r="AT99" s="15" t="s">
        <v>876</v>
      </c>
      <c r="AU99" s="15" t="s">
        <v>1802</v>
      </c>
      <c r="AV99" s="889">
        <v>2187</v>
      </c>
      <c r="AW99" s="889">
        <v>1</v>
      </c>
      <c r="AX99" s="889">
        <v>2</v>
      </c>
      <c r="AY99" s="14" t="s">
        <v>867</v>
      </c>
      <c r="AZ99" s="15" t="s">
        <v>65</v>
      </c>
      <c r="BA99" s="14" t="s">
        <v>65</v>
      </c>
      <c r="BB99" s="15" t="s">
        <v>856</v>
      </c>
      <c r="BC99" s="890" t="s">
        <v>1974</v>
      </c>
      <c r="BD99" s="890" t="s">
        <v>1975</v>
      </c>
    </row>
    <row r="100" s="1" customFormat="1" ht="24" customHeight="1" spans="1:56">
      <c r="A100" s="15" t="str">
        <f>_xlfn.DISPIMG("ID_3211C43D397B4A3EAF999BDB4C1D6252",1)</f>
        <v>=DISPIMG("ID_3211C43D397B4A3EAF999BDB4C1D6252",1)</v>
      </c>
      <c r="B100" s="14" t="s">
        <v>401</v>
      </c>
      <c r="C100" s="14" t="s">
        <v>401</v>
      </c>
      <c r="D100" s="14" t="s">
        <v>65</v>
      </c>
      <c r="E100" s="14" t="s">
        <v>1987</v>
      </c>
      <c r="F100" s="14" t="s">
        <v>1988</v>
      </c>
      <c r="G100" s="14" t="s">
        <v>1989</v>
      </c>
      <c r="H100" s="14" t="s">
        <v>1990</v>
      </c>
      <c r="I100" s="14" t="s">
        <v>1991</v>
      </c>
      <c r="J100" s="15" t="s">
        <v>934</v>
      </c>
      <c r="K100" s="14" t="s">
        <v>850</v>
      </c>
      <c r="L100" s="14" t="s">
        <v>851</v>
      </c>
      <c r="M100" s="879">
        <v>24313</v>
      </c>
      <c r="N100" s="880" t="s">
        <v>852</v>
      </c>
      <c r="O100" s="881" t="s">
        <v>1992</v>
      </c>
      <c r="P100" s="13" t="s">
        <v>2809</v>
      </c>
      <c r="Q100" s="882">
        <v>32</v>
      </c>
      <c r="R100" s="882" t="s">
        <v>3016</v>
      </c>
      <c r="S100" s="882">
        <f t="shared" si="2"/>
        <v>30.272</v>
      </c>
      <c r="T100" s="882" t="s">
        <v>3017</v>
      </c>
      <c r="U100" s="13" t="s">
        <v>2877</v>
      </c>
      <c r="V100" s="13" t="s">
        <v>2836</v>
      </c>
      <c r="W100" s="13" t="s">
        <v>2998</v>
      </c>
      <c r="X100" s="13" t="s">
        <v>2874</v>
      </c>
      <c r="Y100" s="13" t="s">
        <v>2829</v>
      </c>
      <c r="Z100" s="883" t="s">
        <v>2817</v>
      </c>
      <c r="AA100" s="883" t="s">
        <v>2817</v>
      </c>
      <c r="AB100" s="883" t="s">
        <v>2816</v>
      </c>
      <c r="AC100" s="13" t="s">
        <v>2818</v>
      </c>
      <c r="AD100" s="13" t="s">
        <v>2839</v>
      </c>
      <c r="AE100" s="14" t="s">
        <v>2880</v>
      </c>
      <c r="AF100" s="14" t="s">
        <v>2831</v>
      </c>
      <c r="AG100" s="14" t="s">
        <v>2865</v>
      </c>
      <c r="AH100" s="14" t="s">
        <v>2911</v>
      </c>
      <c r="AI100" s="696">
        <v>1</v>
      </c>
      <c r="AJ100" s="879">
        <v>490</v>
      </c>
      <c r="AK100" s="879">
        <v>112695.1</v>
      </c>
      <c r="AL100" s="884">
        <v>189.99</v>
      </c>
      <c r="AM100" s="885">
        <v>0.7219</v>
      </c>
      <c r="AN100" s="884">
        <v>29.47</v>
      </c>
      <c r="AO100" s="886">
        <v>4.3</v>
      </c>
      <c r="AP100" s="879">
        <v>731</v>
      </c>
      <c r="AQ100" s="887">
        <v>0.1061</v>
      </c>
      <c r="AR100" s="879">
        <v>52</v>
      </c>
      <c r="AS100" s="888"/>
      <c r="AT100" s="15" t="s">
        <v>947</v>
      </c>
      <c r="AU100" s="15" t="s">
        <v>914</v>
      </c>
      <c r="AV100" s="889">
        <v>605</v>
      </c>
      <c r="AW100" s="889">
        <v>1</v>
      </c>
      <c r="AX100" s="889">
        <v>2</v>
      </c>
      <c r="AY100" s="14" t="s">
        <v>1993</v>
      </c>
      <c r="AZ100" s="15" t="s">
        <v>1401</v>
      </c>
      <c r="BA100" s="14" t="s">
        <v>1994</v>
      </c>
      <c r="BB100" s="15" t="s">
        <v>856</v>
      </c>
      <c r="BC100" s="890" t="s">
        <v>1644</v>
      </c>
      <c r="BD100" s="890" t="s">
        <v>1995</v>
      </c>
    </row>
    <row r="101" s="1" customFormat="1" ht="24" customHeight="1" spans="1:56">
      <c r="A101" s="15" t="str">
        <f>_xlfn.DISPIMG("ID_A7D8F3B098D14F84B7383CC735E1FCBE",1)</f>
        <v>=DISPIMG("ID_A7D8F3B098D14F84B7383CC735E1FCBE",1)</v>
      </c>
      <c r="B101" s="14" t="s">
        <v>1996</v>
      </c>
      <c r="C101" s="14" t="s">
        <v>1996</v>
      </c>
      <c r="D101" s="14" t="s">
        <v>65</v>
      </c>
      <c r="E101" s="14" t="s">
        <v>1997</v>
      </c>
      <c r="F101" s="14" t="s">
        <v>1998</v>
      </c>
      <c r="G101" s="14" t="s">
        <v>1999</v>
      </c>
      <c r="H101" s="14" t="s">
        <v>2000</v>
      </c>
      <c r="I101" s="14" t="s">
        <v>2001</v>
      </c>
      <c r="J101" s="15" t="s">
        <v>974</v>
      </c>
      <c r="K101" s="14" t="s">
        <v>850</v>
      </c>
      <c r="L101" s="14" t="s">
        <v>851</v>
      </c>
      <c r="M101" s="879">
        <v>24510</v>
      </c>
      <c r="N101" s="880" t="s">
        <v>852</v>
      </c>
      <c r="O101" s="881" t="s">
        <v>2002</v>
      </c>
      <c r="P101" s="13" t="s">
        <v>2986</v>
      </c>
      <c r="Q101" s="882">
        <v>4.5</v>
      </c>
      <c r="R101" s="882" t="s">
        <v>2959</v>
      </c>
      <c r="S101" s="882">
        <f t="shared" si="2"/>
        <v>4.257</v>
      </c>
      <c r="T101" s="882" t="s">
        <v>2960</v>
      </c>
      <c r="U101" s="13" t="s">
        <v>64</v>
      </c>
      <c r="V101" s="13" t="s">
        <v>2812</v>
      </c>
      <c r="W101" s="13" t="s">
        <v>2878</v>
      </c>
      <c r="X101" s="13" t="s">
        <v>2844</v>
      </c>
      <c r="Y101" s="13" t="s">
        <v>2815</v>
      </c>
      <c r="Z101" s="883" t="s">
        <v>2816</v>
      </c>
      <c r="AA101" s="883" t="s">
        <v>2816</v>
      </c>
      <c r="AB101" s="883" t="s">
        <v>2816</v>
      </c>
      <c r="AC101" s="13" t="s">
        <v>2863</v>
      </c>
      <c r="AD101" s="13" t="s">
        <v>2819</v>
      </c>
      <c r="AE101" s="14" t="s">
        <v>2924</v>
      </c>
      <c r="AF101" s="14" t="s">
        <v>2831</v>
      </c>
      <c r="AG101" s="14" t="s">
        <v>2865</v>
      </c>
      <c r="AH101" s="14" t="s">
        <v>2823</v>
      </c>
      <c r="AI101" s="696">
        <v>1</v>
      </c>
      <c r="AJ101" s="879">
        <v>363</v>
      </c>
      <c r="AK101" s="879">
        <v>65321.848</v>
      </c>
      <c r="AL101" s="884">
        <v>179.95</v>
      </c>
      <c r="AM101" s="885">
        <v>0.7212</v>
      </c>
      <c r="AN101" s="884">
        <v>23.17</v>
      </c>
      <c r="AO101" s="886">
        <v>4.5</v>
      </c>
      <c r="AP101" s="879">
        <v>1122</v>
      </c>
      <c r="AQ101" s="887">
        <v>0.0771</v>
      </c>
      <c r="AR101" s="879">
        <v>28</v>
      </c>
      <c r="AS101" s="888"/>
      <c r="AT101" s="15" t="s">
        <v>876</v>
      </c>
      <c r="AU101" s="15" t="s">
        <v>2003</v>
      </c>
      <c r="AV101" s="889">
        <v>664</v>
      </c>
      <c r="AW101" s="889">
        <v>1</v>
      </c>
      <c r="AX101" s="889">
        <v>4</v>
      </c>
      <c r="AY101" s="14" t="s">
        <v>65</v>
      </c>
      <c r="AZ101" s="15" t="s">
        <v>65</v>
      </c>
      <c r="BA101" s="14" t="s">
        <v>65</v>
      </c>
      <c r="BB101" s="15" t="s">
        <v>856</v>
      </c>
      <c r="BC101" s="890" t="s">
        <v>2004</v>
      </c>
      <c r="BD101" s="890" t="s">
        <v>2005</v>
      </c>
    </row>
  </sheetData>
  <autoFilter xmlns:etc="http://www.wps.cn/officeDocument/2017/etCustomData" ref="A1:BD101" etc:filterBottomFollowUsedRange="0">
    <extLst/>
  </autoFilter>
  <conditionalFormatting sqref="AB85">
    <cfRule type="containsText" dxfId="218" priority="17" operator="between" text="是">
      <formula>NOT(ISERROR(SEARCH("是",AB85)))</formula>
    </cfRule>
  </conditionalFormatting>
  <conditionalFormatting sqref="AB86">
    <cfRule type="containsText" dxfId="218" priority="16" operator="between" text="是">
      <formula>NOT(ISERROR(SEARCH("是",AB86)))</formula>
    </cfRule>
  </conditionalFormatting>
  <conditionalFormatting sqref="AB87">
    <cfRule type="containsText" dxfId="218" priority="15" operator="between" text="是">
      <formula>NOT(ISERROR(SEARCH("是",AB87)))</formula>
    </cfRule>
  </conditionalFormatting>
  <conditionalFormatting sqref="AB88">
    <cfRule type="containsText" dxfId="218" priority="14" operator="between" text="是">
      <formula>NOT(ISERROR(SEARCH("是",AB88)))</formula>
    </cfRule>
  </conditionalFormatting>
  <conditionalFormatting sqref="AB89">
    <cfRule type="containsText" dxfId="218" priority="13" operator="between" text="是">
      <formula>NOT(ISERROR(SEARCH("是",AB89)))</formula>
    </cfRule>
  </conditionalFormatting>
  <conditionalFormatting sqref="AB90">
    <cfRule type="containsText" dxfId="218" priority="12" operator="between" text="是">
      <formula>NOT(ISERROR(SEARCH("是",AB90)))</formula>
    </cfRule>
  </conditionalFormatting>
  <conditionalFormatting sqref="AB91">
    <cfRule type="containsText" dxfId="218" priority="11" operator="between" text="是">
      <formula>NOT(ISERROR(SEARCH("是",AB91)))</formula>
    </cfRule>
  </conditionalFormatting>
  <conditionalFormatting sqref="AB92">
    <cfRule type="containsText" dxfId="218" priority="10" operator="between" text="是">
      <formula>NOT(ISERROR(SEARCH("是",AB92)))</formula>
    </cfRule>
  </conditionalFormatting>
  <conditionalFormatting sqref="AB93">
    <cfRule type="containsText" dxfId="218" priority="9" operator="between" text="是">
      <formula>NOT(ISERROR(SEARCH("是",AB93)))</formula>
    </cfRule>
  </conditionalFormatting>
  <conditionalFormatting sqref="AB94">
    <cfRule type="containsText" dxfId="218" priority="8" operator="between" text="是">
      <formula>NOT(ISERROR(SEARCH("是",AB94)))</formula>
    </cfRule>
  </conditionalFormatting>
  <conditionalFormatting sqref="AB95">
    <cfRule type="containsText" dxfId="218" priority="7" operator="between" text="是">
      <formula>NOT(ISERROR(SEARCH("是",AB95)))</formula>
    </cfRule>
  </conditionalFormatting>
  <conditionalFormatting sqref="AB96">
    <cfRule type="containsText" dxfId="218" priority="6" operator="between" text="是">
      <formula>NOT(ISERROR(SEARCH("是",AB96)))</formula>
    </cfRule>
  </conditionalFormatting>
  <conditionalFormatting sqref="AB97">
    <cfRule type="containsText" dxfId="218" priority="5" operator="between" text="是">
      <formula>NOT(ISERROR(SEARCH("是",AB97)))</formula>
    </cfRule>
  </conditionalFormatting>
  <conditionalFormatting sqref="AB98">
    <cfRule type="containsText" dxfId="218" priority="4" operator="between" text="是">
      <formula>NOT(ISERROR(SEARCH("是",AB98)))</formula>
    </cfRule>
  </conditionalFormatting>
  <conditionalFormatting sqref="AB99">
    <cfRule type="containsText" dxfId="218" priority="3" operator="between" text="是">
      <formula>NOT(ISERROR(SEARCH("是",AB99)))</formula>
    </cfRule>
  </conditionalFormatting>
  <conditionalFormatting sqref="AB100">
    <cfRule type="containsText" dxfId="218" priority="2" operator="between" text="是">
      <formula>NOT(ISERROR(SEARCH("是",AB100)))</formula>
    </cfRule>
  </conditionalFormatting>
  <conditionalFormatting sqref="AB101">
    <cfRule type="containsText" dxfId="218" priority="1" operator="between" text="是">
      <formula>NOT(ISERROR(SEARCH("是",AB101)))</formula>
    </cfRule>
  </conditionalFormatting>
  <conditionalFormatting sqref="AB2:AB84 AB102:AB1048576">
    <cfRule type="containsText" dxfId="218" priority="18" operator="between" text="是">
      <formula>NOT(ISERROR(SEARCH("是",AB2)))</formula>
    </cfRule>
  </conditionalFormatting>
  <dataValidations count="4">
    <dataValidation type="list" allowBlank="1" showInputMessage="1" showErrorMessage="1" sqref="AE2:AE101">
      <formula1>"0~10usd,10~20sd,20~30usd,30~40usd,40~50usd,50~60usd,60~70usd,70~80usd,80~90usd,90~100usd,100~110usd,110~120usd,120~130usd,130~140usd,140~150usd,150~160usd,160~170usd,170~180usd,180~190usd,190~200usd,≥200usd以上"</formula1>
    </dataValidation>
    <dataValidation type="list" allowBlank="1" showInputMessage="1" showErrorMessage="1" sqref="AF2:AF101">
      <formula1>"半年,半年-1年,1年~1年半,1年半~2年,2年~2年半,2年半~3年,≥3年以上"</formula1>
    </dataValidation>
    <dataValidation type="list" allowBlank="1" showInputMessage="1" showErrorMessage="1" sqref="AG2:AG101">
      <formula1>"0~1,1~2,2~3,3~4,4~4.2,4.2~4.5,4.5~4.8,4.8~5"</formula1>
    </dataValidation>
    <dataValidation type="list" allowBlank="1" showInputMessage="1" showErrorMessage="1" sqref="AH2:AH101">
      <formula1>"0-50,50-100,100-300,300-500,500-800,800-1000,≥1000"</formula1>
    </dataValidation>
  </dataValidations>
  <hyperlinks>
    <hyperlink ref="E2" r:id="rId1" display="https://www.amazon.com/dp/B07FDJMC9Q?psc=1" tooltip="https://www.amazon.com/dp/B07FDJMC9Q?psc=1"/>
    <hyperlink ref="F2" r:id="rId2" display="https://images-na.ssl-images-amazon.com/images/I/31MBSKiZOPL._AC_US600_.jpg" tooltip="https://images-na.ssl-images-amazon.com/images/I/31MBSKiZOPL._AC_US600_.jpg"/>
    <hyperlink ref="E3" r:id="rId3" display="https://www.amazon.com/dp/B0936FGLQS?psc=1" tooltip="https://www.amazon.com/dp/B0936FGLQS?psc=1"/>
    <hyperlink ref="F3" r:id="rId4" display="https://images-na.ssl-images-amazon.com/images/I/4148pXjT5JL._AC_US600_.jpg" tooltip="https://images-na.ssl-images-amazon.com/images/I/4148pXjT5JL._AC_US600_.jpg"/>
    <hyperlink ref="E4" r:id="rId5" display="https://www.amazon.com/dp/B07VM28XTR?psc=1" tooltip="https://www.amazon.com/dp/B07VM28XTR?psc=1"/>
    <hyperlink ref="F4" r:id="rId6" display="https://images-na.ssl-images-amazon.com/images/I/517ZDIeX2AL._AC_US600_.jpg" tooltip="https://images-na.ssl-images-amazon.com/images/I/517ZDIeX2AL._AC_US600_.jpg"/>
    <hyperlink ref="E5" r:id="rId7" display="https://www.amazon.com/dp/B096N3FTZP?psc=1" tooltip="https://www.amazon.com/dp/B096N3FTZP?psc=1"/>
    <hyperlink ref="F5" r:id="rId8" display="https://images-na.ssl-images-amazon.com/images/I/411xmojvHOL._AC_US600_.jpg" tooltip="https://images-na.ssl-images-amazon.com/images/I/411xmojvHOL._AC_US600_.jpg"/>
    <hyperlink ref="E6" r:id="rId9" display="https://www.amazon.com/dp/B085W3GN5J?psc=1" tooltip="https://www.amazon.com/dp/B085W3GN5J?psc=1"/>
    <hyperlink ref="F6" r:id="rId10" display="https://images-na.ssl-images-amazon.com/images/I/41sxpx4irVL._AC_US600_.jpg" tooltip="https://images-na.ssl-images-amazon.com/images/I/41sxpx4irVL._AC_US600_.jpg"/>
    <hyperlink ref="E7" r:id="rId11" display="https://www.amazon.com/dp/B08R6KMBQT?psc=1" tooltip="https://www.amazon.com/dp/B08R6KMBQT?psc=1"/>
    <hyperlink ref="F7" r:id="rId12" display="https://images-na.ssl-images-amazon.com/images/I/41WAoH5H6NL._AC_US600_.jpg" tooltip="https://images-na.ssl-images-amazon.com/images/I/41WAoH5H6NL._AC_US600_.jpg"/>
    <hyperlink ref="E8" r:id="rId13" display="https://www.amazon.com/dp/B096X9LGJ1?psc=1" tooltip="https://www.amazon.com/dp/B096X9LGJ1?psc=1"/>
    <hyperlink ref="F8" r:id="rId14" display="https://images-na.ssl-images-amazon.com/images/I/31VZzB+Y2+L._AC_US600_.jpg" tooltip="https://images-na.ssl-images-amazon.com/images/I/31VZzB+Y2+L._AC_US600_.jpg"/>
    <hyperlink ref="E9" r:id="rId15" display="https://www.amazon.com/dp/B0815KJCM1?psc=1" tooltip="https://www.amazon.com/dp/B0815KJCM1?psc=1"/>
    <hyperlink ref="F9" r:id="rId16" display="https://images-na.ssl-images-amazon.com/images/I/41ZQmtXww2L._AC_US600_.jpg" tooltip="https://images-na.ssl-images-amazon.com/images/I/41ZQmtXww2L._AC_US600_.jpg"/>
    <hyperlink ref="E10" r:id="rId17" display="https://www.amazon.com/dp/B09MR49K1D?psc=1" tooltip="https://www.amazon.com/dp/B09MR49K1D?psc=1"/>
    <hyperlink ref="F10" r:id="rId18" display="https://images-na.ssl-images-amazon.com/images/I/4176C1ZTLJL._AC_US600_.jpg" tooltip="https://images-na.ssl-images-amazon.com/images/I/4176C1ZTLJL._AC_US600_.jpg"/>
    <hyperlink ref="E11" r:id="rId19" display="https://www.amazon.com/dp/B089TQWJKK?psc=1" tooltip="https://www.amazon.com/dp/B089TQWJKK?psc=1"/>
    <hyperlink ref="F11" r:id="rId20" display="https://images-na.ssl-images-amazon.com/images/I/31rlJFuHaWL._AC_US600_.jpg" tooltip="https://images-na.ssl-images-amazon.com/images/I/31rlJFuHaWL._AC_US600_.jpg"/>
    <hyperlink ref="E12" r:id="rId21" display="https://www.amazon.com/dp/B075X3287P?psc=1" tooltip="https://www.amazon.com/dp/B075X3287P?psc=1"/>
    <hyperlink ref="F12" r:id="rId22" display="https://images-na.ssl-images-amazon.com/images/I/41kv0O2RO5L._AC_US600_.jpg" tooltip="https://images-na.ssl-images-amazon.com/images/I/41kv0O2RO5L._AC_US600_.jpg"/>
    <hyperlink ref="E13" r:id="rId23" display="https://www.amazon.com/dp/B07SCGY2H6?psc=1" tooltip="https://www.amazon.com/dp/B07SCGY2H6?psc=1"/>
    <hyperlink ref="F13" r:id="rId24" display="https://images-na.ssl-images-amazon.com/images/I/51lqoRxpKAL._AC_US600_.jpg" tooltip="https://images-na.ssl-images-amazon.com/images/I/51lqoRxpKAL._AC_US600_.jpg"/>
    <hyperlink ref="E14" r:id="rId25" display="https://www.amazon.com/dp/B0B6ZXKNJN?psc=1" tooltip="https://www.amazon.com/dp/B0B6ZXKNJN?psc=1"/>
    <hyperlink ref="F14" r:id="rId26" display="https://images-na.ssl-images-amazon.com/images/I/41FSF9nXbwL._AC_US600_.jpg" tooltip="https://images-na.ssl-images-amazon.com/images/I/41FSF9nXbwL._AC_US600_.jpg"/>
    <hyperlink ref="E15" r:id="rId27" display="https://www.amazon.com/dp/B07S6529ZZ?psc=1" tooltip="https://www.amazon.com/dp/B07S6529ZZ?psc=1"/>
    <hyperlink ref="F15" r:id="rId28" display="https://images-na.ssl-images-amazon.com/images/I/31LS4+++HlL._AC_US600_.jpg" tooltip="https://images-na.ssl-images-amazon.com/images/I/31LS4+++HlL._AC_US600_.jpg"/>
    <hyperlink ref="E16" r:id="rId29" display="https://www.amazon.com/dp/B0B59D1J98?psc=1" tooltip="https://www.amazon.com/dp/B0B59D1J98?psc=1"/>
    <hyperlink ref="F16" r:id="rId30" display="https://images-na.ssl-images-amazon.com/images/I/41R9UEekBML._AC_US600_.jpg" tooltip="https://images-na.ssl-images-amazon.com/images/I/41R9UEekBML._AC_US600_.jpg"/>
    <hyperlink ref="E17" r:id="rId31" display="https://www.amazon.com/dp/B096N28SZP?psc=1" tooltip="https://www.amazon.com/dp/B096N28SZP?psc=1"/>
    <hyperlink ref="F17" r:id="rId32" display="https://images-na.ssl-images-amazon.com/images/I/41Tiw9rl9aL._AC_US600_.jpg" tooltip="https://images-na.ssl-images-amazon.com/images/I/41Tiw9rl9aL._AC_US600_.jpg"/>
    <hyperlink ref="E18" r:id="rId33" display="https://www.amazon.com/dp/B09B7SB46R?psc=1" tooltip="https://www.amazon.com/dp/B09B7SB46R?psc=1"/>
    <hyperlink ref="F18" r:id="rId34" display="https://images-na.ssl-images-amazon.com/images/I/511xSzv8yRL._AC_US600_.jpg" tooltip="https://images-na.ssl-images-amazon.com/images/I/511xSzv8yRL._AC_US600_.jpg"/>
    <hyperlink ref="E19" r:id="rId35" display="https://www.amazon.com/dp/B0BGM4JY9G?psc=1" tooltip="https://www.amazon.com/dp/B0BGM4JY9G?psc=1"/>
    <hyperlink ref="F19" r:id="rId36" display="https://images-na.ssl-images-amazon.com/images/I/51m3RCjOtoL._AC_US600_.jpg" tooltip="https://images-na.ssl-images-amazon.com/images/I/51m3RCjOtoL._AC_US600_.jpg"/>
    <hyperlink ref="E20" r:id="rId37" display="https://www.amazon.com/dp/B08DKYBTPH?psc=1" tooltip="https://www.amazon.com/dp/B08DKYBTPH?psc=1"/>
    <hyperlink ref="F20" r:id="rId38" display="https://images-na.ssl-images-amazon.com/images/I/41qabW46GoL._AC_US600_.jpg" tooltip="https://images-na.ssl-images-amazon.com/images/I/41qabW46GoL._AC_US600_.jpg"/>
    <hyperlink ref="E21" r:id="rId39" display="https://www.amazon.com/dp/B082JWBBXB?psc=1" tooltip="https://www.amazon.com/dp/B082JWBBXB?psc=1"/>
    <hyperlink ref="F21" r:id="rId40" display="https://images-na.ssl-images-amazon.com/images/I/415CVTfKbfL._AC_US600_.jpg" tooltip="https://images-na.ssl-images-amazon.com/images/I/415CVTfKbfL._AC_US600_.jpg"/>
    <hyperlink ref="E22" r:id="rId41" display="https://www.amazon.com/dp/B08DL8WH9V?psc=1" tooltip="https://www.amazon.com/dp/B08DL8WH9V?psc=1"/>
    <hyperlink ref="F22" r:id="rId42" display="https://images-na.ssl-images-amazon.com/images/I/51LYB9lQdLL._AC_US600_.jpg" tooltip="https://images-na.ssl-images-amazon.com/images/I/51LYB9lQdLL._AC_US600_.jpg"/>
    <hyperlink ref="E23" r:id="rId43" display="https://www.amazon.com/dp/B07S85TPLG?psc=1" tooltip="https://www.amazon.com/dp/B07S85TPLG?psc=1"/>
    <hyperlink ref="F23" r:id="rId44" display="https://images-na.ssl-images-amazon.com/images/I/41hLUQwvoaL._AC_US600_.jpg" tooltip="https://images-na.ssl-images-amazon.com/images/I/41hLUQwvoaL._AC_US600_.jpg"/>
    <hyperlink ref="E24" r:id="rId45" display="https://www.amazon.com/dp/B09HKM5SVD?psc=1" tooltip="https://www.amazon.com/dp/B09HKM5SVD?psc=1"/>
    <hyperlink ref="F24" r:id="rId46" display="https://images-na.ssl-images-amazon.com/images/I/41nAgEWFdGL._AC_US600_.jpg" tooltip="https://images-na.ssl-images-amazon.com/images/I/41nAgEWFdGL._AC_US600_.jpg"/>
    <hyperlink ref="E25" r:id="rId47" display="https://www.amazon.com/dp/B07NLHMYH4?psc=1" tooltip="https://www.amazon.com/dp/B07NLHMYH4?psc=1"/>
    <hyperlink ref="F25" r:id="rId48" display="https://images-na.ssl-images-amazon.com/images/I/51DUgyoMOhL._AC_US600_.jpg" tooltip="https://images-na.ssl-images-amazon.com/images/I/51DUgyoMOhL._AC_US600_.jpg"/>
    <hyperlink ref="E26" r:id="rId49" display="https://www.amazon.com/dp/B07NBQX8HS?psc=1" tooltip="https://www.amazon.com/dp/B07NBQX8HS?psc=1"/>
    <hyperlink ref="F26" r:id="rId50" display="https://images-na.ssl-images-amazon.com/images/I/415DRxbG3pL._AC_US600_.jpg" tooltip="https://images-na.ssl-images-amazon.com/images/I/415DRxbG3pL._AC_US600_.jpg"/>
    <hyperlink ref="E27" r:id="rId51" display="https://www.amazon.com/dp/B0BDFRZX3F?psc=1" tooltip="https://www.amazon.com/dp/B0BDFRZX3F?psc=1"/>
    <hyperlink ref="F27" r:id="rId52" display="https://m.media-amazon.com/images/W/IMAGERENDERING_521856-T1/images/I/3196QeAvkXL._AC_US600_.jpg" tooltip="https://m.media-amazon.com/images/W/IMAGERENDERING_521856-T1/images/I/3196QeAvkXL._AC_US600_.jpg"/>
    <hyperlink ref="E28" r:id="rId53" display="https://www.amazon.com/dp/B08SJ6L9MT?psc=1" tooltip="https://www.amazon.com/dp/B08SJ6L9MT?psc=1"/>
    <hyperlink ref="F28" r:id="rId54" display="https://images-na.ssl-images-amazon.com/images/I/31HerJYQxzL._AC_US600_.jpg" tooltip="https://images-na.ssl-images-amazon.com/images/I/31HerJYQxzL._AC_US600_.jpg"/>
    <hyperlink ref="E29" r:id="rId55" display="https://www.amazon.com/dp/B0872DQV7Z?psc=1" tooltip="https://www.amazon.com/dp/B0872DQV7Z?psc=1"/>
    <hyperlink ref="F29" r:id="rId56" display="https://images-na.ssl-images-amazon.com/images/I/51RjObEKN4L._AC_US600_.jpg" tooltip="https://images-na.ssl-images-amazon.com/images/I/51RjObEKN4L._AC_US600_.jpg"/>
    <hyperlink ref="E30" r:id="rId57" display="https://www.amazon.com/dp/B07FF117K7?psc=1" tooltip="https://www.amazon.com/dp/B07FF117K7?psc=1"/>
    <hyperlink ref="F30" r:id="rId58" display="https://images-na.ssl-images-amazon.com/images/I/41OVlRD-CtL._AC_US600_.jpg" tooltip="https://images-na.ssl-images-amazon.com/images/I/41OVlRD-CtL._AC_US600_.jpg"/>
    <hyperlink ref="E31" r:id="rId59" display="https://www.amazon.com/dp/B0777RJG6D?psc=1" tooltip="https://www.amazon.com/dp/B0777RJG6D?psc=1"/>
    <hyperlink ref="F31" r:id="rId60" display="https://images-na.ssl-images-amazon.com/images/I/413QzyJkOQL._AC_US600_.jpg" tooltip="https://images-na.ssl-images-amazon.com/images/I/413QzyJkOQL._AC_US600_.jpg"/>
    <hyperlink ref="E32" r:id="rId61" display="https://www.amazon.com/dp/B08QQRH2Z9?psc=1" tooltip="https://www.amazon.com/dp/B08QQRH2Z9?psc=1"/>
    <hyperlink ref="F32" r:id="rId62" display="https://images-na.ssl-images-amazon.com/images/I/31EAxEEMbVL._AC_US600_.jpg" tooltip="https://images-na.ssl-images-amazon.com/images/I/31EAxEEMbVL._AC_US600_.jpg"/>
    <hyperlink ref="E33" r:id="rId63" display="https://www.amazon.com/dp/B08CW95ZFR?psc=1" tooltip="https://www.amazon.com/dp/B08CW95ZFR?psc=1"/>
    <hyperlink ref="F33" r:id="rId64" display="https://images-na.ssl-images-amazon.com/images/I/41xKS3OoclL._AC_US600_.jpg" tooltip="https://images-na.ssl-images-amazon.com/images/I/41xKS3OoclL._AC_US600_.jpg"/>
    <hyperlink ref="E34" r:id="rId65" display="https://www.amazon.com/dp/B0BX71WBK5?psc=1" tooltip="https://www.amazon.com/dp/B0BX71WBK5?psc=1"/>
    <hyperlink ref="F34" r:id="rId66" display="https://images-na.ssl-images-amazon.com/images/I/41ELapobmZL._AC_US600_.jpg" tooltip="https://images-na.ssl-images-amazon.com/images/I/41ELapobmZL._AC_US600_.jpg"/>
    <hyperlink ref="E35" r:id="rId67" display="https://www.amazon.com/dp/B09GL56L4T?psc=1" tooltip="https://www.amazon.com/dp/B09GL56L4T?psc=1"/>
    <hyperlink ref="F35" r:id="rId68" display="https://images-na.ssl-images-amazon.com/images/I/41fJQ2R4N-L._AC_US600_.jpg" tooltip="https://images-na.ssl-images-amazon.com/images/I/41fJQ2R4N-L._AC_US600_.jpg"/>
    <hyperlink ref="E36" r:id="rId69" display="https://www.amazon.com/dp/B08KFNK3QH?psc=1" tooltip="https://www.amazon.com/dp/B08KFNK3QH?psc=1"/>
    <hyperlink ref="F36" r:id="rId70" display="https://images-na.ssl-images-amazon.com/images/I/41NWjD1CuNL._AC_US600_.jpg" tooltip="https://images-na.ssl-images-amazon.com/images/I/41NWjD1CuNL._AC_US600_.jpg"/>
    <hyperlink ref="E37" r:id="rId71" display="https://www.amazon.com/dp/B0BG5635Z7?psc=1" tooltip="https://www.amazon.com/dp/B0BG5635Z7?psc=1"/>
    <hyperlink ref="F37" r:id="rId72" display="https://m.media-amazon.com/images/I/51yODvXRBGL._AC_US600_.jpg" tooltip="https://m.media-amazon.com/images/I/51yODvXRBGL._AC_US600_.jpg"/>
    <hyperlink ref="E38" r:id="rId73" display="https://www.amazon.com/dp/B07G3V9K17?psc=1" tooltip="https://www.amazon.com/dp/B07G3V9K17?psc=1"/>
    <hyperlink ref="F38" r:id="rId74" display="https://images-na.ssl-images-amazon.com/images/I/31VXHjBfcfL._AC_US600_.jpg" tooltip="https://images-na.ssl-images-amazon.com/images/I/31VXHjBfcfL._AC_US600_.jpg"/>
    <hyperlink ref="E39" r:id="rId75" display="https://www.amazon.com/dp/B08YP4NHQM?psc=1" tooltip="https://www.amazon.com/dp/B08YP4NHQM?psc=1"/>
    <hyperlink ref="F39" r:id="rId76" display="https://images-na.ssl-images-amazon.com/images/I/41RnifaGGML._AC_US600_.jpg" tooltip="https://images-na.ssl-images-amazon.com/images/I/41RnifaGGML._AC_US600_.jpg"/>
    <hyperlink ref="E40" r:id="rId77" display="https://www.amazon.com/dp/B085GN68LC?psc=1" tooltip="https://www.amazon.com/dp/B085GN68LC?psc=1"/>
    <hyperlink ref="F40" r:id="rId78" display="https://images-na.ssl-images-amazon.com/images/I/41EfD0xmTgL._AC_US600_.jpg" tooltip="https://images-na.ssl-images-amazon.com/images/I/41EfD0xmTgL._AC_US600_.jpg"/>
    <hyperlink ref="E41" r:id="rId79" display="https://www.amazon.com/dp/B09TZZS2GJ?psc=1" tooltip="https://www.amazon.com/dp/B09TZZS2GJ?psc=1"/>
    <hyperlink ref="F41" r:id="rId80" display="https://images-na.ssl-images-amazon.com/images/I/41YlA3PVYBL._AC_US600_.jpg" tooltip="https://images-na.ssl-images-amazon.com/images/I/41YlA3PVYBL._AC_US600_.jpg"/>
    <hyperlink ref="E42" r:id="rId81" display="https://www.amazon.com/dp/B08K8T3W2V?psc=1" tooltip="https://www.amazon.com/dp/B08K8T3W2V?psc=1"/>
    <hyperlink ref="F42" r:id="rId82" display="https://images-na.ssl-images-amazon.com/images/I/5135MRrXWrL._AC_US600_.jpg" tooltip="https://images-na.ssl-images-amazon.com/images/I/5135MRrXWrL._AC_US600_.jpg"/>
    <hyperlink ref="E43" r:id="rId83" display="https://www.amazon.com/dp/B092PY8F5J?psc=1" tooltip="https://www.amazon.com/dp/B092PY8F5J?psc=1"/>
    <hyperlink ref="F43" r:id="rId84" display="https://m.media-amazon.com/images/W/IMAGERENDERING_521856-T2/images/I/41RjVllXMiL._AC_US600_.jpg" tooltip="https://m.media-amazon.com/images/W/IMAGERENDERING_521856-T2/images/I/41RjVllXMiL._AC_US600_.jpg"/>
    <hyperlink ref="E44" r:id="rId85" display="https://www.amazon.com/dp/B09XWJ19YS?psc=1" tooltip="https://www.amazon.com/dp/B09XWJ19YS?psc=1"/>
    <hyperlink ref="F44" r:id="rId86" display="https://m.media-amazon.com/images/I/51hOezlAX+L._AC_US600_.jpg" tooltip="https://m.media-amazon.com/images/I/51hOezlAX+L._AC_US600_.jpg"/>
    <hyperlink ref="E45" r:id="rId87" display="https://www.amazon.com/dp/B07W67NQMN?psc=1" tooltip="https://www.amazon.com/dp/B07W67NQMN?psc=1"/>
    <hyperlink ref="F45" r:id="rId88" display="https://images-na.ssl-images-amazon.com/images/I/51wK1gMNZLL._AC_US600_.jpg" tooltip="https://images-na.ssl-images-amazon.com/images/I/51wK1gMNZLL._AC_US600_.jpg"/>
    <hyperlink ref="E46" r:id="rId89" display="https://www.amazon.com/dp/B07ZWG619F?psc=1" tooltip="https://www.amazon.com/dp/B07ZWG619F?psc=1"/>
    <hyperlink ref="F46" r:id="rId90" display="https://images-na.ssl-images-amazon.com/images/I/41M1ysVClKL._AC_US600_.jpg" tooltip="https://images-na.ssl-images-amazon.com/images/I/41M1ysVClKL._AC_US600_.jpg"/>
    <hyperlink ref="E47" r:id="rId91" display="https://www.amazon.com/dp/B089NKT312?psc=1" tooltip="https://www.amazon.com/dp/B089NKT312?psc=1"/>
    <hyperlink ref="F47" r:id="rId92" display="https://images-na.ssl-images-amazon.com/images/I/41xJrOGz4aL._AC_US600_.jpg" tooltip="https://images-na.ssl-images-amazon.com/images/I/41xJrOGz4aL._AC_US600_.jpg"/>
    <hyperlink ref="E48" r:id="rId93" display="https://www.amazon.com/dp/B0978M8136?psc=1" tooltip="https://www.amazon.com/dp/B0978M8136?psc=1"/>
    <hyperlink ref="F48" r:id="rId94" display="https://images-na.ssl-images-amazon.com/images/I/41xI07RSgBL._AC_US600_.jpg" tooltip="https://images-na.ssl-images-amazon.com/images/I/41xI07RSgBL._AC_US600_.jpg"/>
    <hyperlink ref="E49" r:id="rId95" display="https://www.amazon.com/dp/B08R12QZS1?psc=1" tooltip="https://www.amazon.com/dp/B08R12QZS1?psc=1"/>
    <hyperlink ref="F49" r:id="rId96" display="https://images-na.ssl-images-amazon.com/images/I/41019YXde4L._AC_US600_.jpg" tooltip="https://images-na.ssl-images-amazon.com/images/I/41019YXde4L._AC_US600_.jpg"/>
    <hyperlink ref="E50" r:id="rId97" display="https://www.amazon.com/dp/B095Y6ZF5Q?psc=1" tooltip="https://www.amazon.com/dp/B095Y6ZF5Q?psc=1"/>
    <hyperlink ref="F50" r:id="rId98" display="https://images-na.ssl-images-amazon.com/images/I/31mEyFByQOL._AC_US600_.jpg" tooltip="https://images-na.ssl-images-amazon.com/images/I/31mEyFByQOL._AC_US600_.jpg"/>
    <hyperlink ref="E51" r:id="rId99" display="https://www.amazon.com/dp/B08FMT6N24?psc=1" tooltip="https://www.amazon.com/dp/B08FMT6N24?psc=1"/>
    <hyperlink ref="F51" r:id="rId100" display="https://images-na.ssl-images-amazon.com/images/I/319fwckxydL._AC_US600_.jpg" tooltip="https://images-na.ssl-images-amazon.com/images/I/319fwckxydL._AC_US600_.jpg"/>
    <hyperlink ref="E52" r:id="rId101" display="https://www.amazon.com/dp/B07VM9SDMH?psc=1" tooltip="https://www.amazon.com/dp/B07VM9SDMH?psc=1"/>
    <hyperlink ref="F52" r:id="rId102" display="https://images-na.ssl-images-amazon.com/images/I/51chJ-m0ftL._AC_US600_.jpg" tooltip="https://images-na.ssl-images-amazon.com/images/I/51chJ-m0ftL._AC_US600_.jpg"/>
    <hyperlink ref="E53" r:id="rId103" display="https://www.amazon.com/dp/B0BGBMW9G5?psc=1" tooltip="https://www.amazon.com/dp/B0BGBMW9G5?psc=1"/>
    <hyperlink ref="F53" r:id="rId104" display="https://images-na.ssl-images-amazon.com/images/I/51qTgjsG+jL._AC_US600_.jpg" tooltip="https://images-na.ssl-images-amazon.com/images/I/51qTgjsG+jL._AC_US600_.jpg"/>
    <hyperlink ref="E54" r:id="rId105" display="https://www.amazon.com/dp/B075BDY5WR?psc=1" tooltip="https://www.amazon.com/dp/B075BDY5WR?psc=1"/>
    <hyperlink ref="F54" r:id="rId106" display="https://m.media-amazon.com/images/I/31FWlEg5fqL._AC_US600_.jpg" tooltip="https://m.media-amazon.com/images/I/31FWlEg5fqL._AC_US600_.jpg"/>
    <hyperlink ref="E55" r:id="rId107" display="https://www.amazon.com/dp/B07X1VXQMS?psc=1" tooltip="https://www.amazon.com/dp/B07X1VXQMS?psc=1"/>
    <hyperlink ref="F55" r:id="rId108" display="https://images-na.ssl-images-amazon.com/images/I/41+QhGCYlnL._AC_US600_.jpg" tooltip="https://images-na.ssl-images-amazon.com/images/I/41+QhGCYlnL._AC_US600_.jpg"/>
    <hyperlink ref="E56" r:id="rId109" display="https://www.amazon.com/dp/B087T8LKNC?psc=1" tooltip="https://www.amazon.com/dp/B087T8LKNC?psc=1"/>
    <hyperlink ref="F56" r:id="rId110" display="https://images-na.ssl-images-amazon.com/images/I/41i41ZJLGcL._AC_US600_.jpg" tooltip="https://images-na.ssl-images-amazon.com/images/I/41i41ZJLGcL._AC_US600_.jpg"/>
    <hyperlink ref="E57" r:id="rId111" display="https://www.amazon.com/dp/B0BBFTPTKH?psc=1" tooltip="https://www.amazon.com/dp/B0BBFTPTKH?psc=1"/>
    <hyperlink ref="F57" r:id="rId112" display="https://images-na.ssl-images-amazon.com/images/I/41x1QmekmBL._AC_US600_.jpg" tooltip="https://images-na.ssl-images-amazon.com/images/I/41x1QmekmBL._AC_US600_.jpg"/>
    <hyperlink ref="E58" r:id="rId113" display="https://www.amazon.com/dp/B09YS1RQ8J?psc=1" tooltip="https://www.amazon.com/dp/B09YS1RQ8J?psc=1"/>
    <hyperlink ref="F58" r:id="rId114" display="https://images-na.ssl-images-amazon.com/images/I/5135qxoHciL._AC_US600_.jpg" tooltip="https://images-na.ssl-images-amazon.com/images/I/5135qxoHciL._AC_US600_.jpg"/>
    <hyperlink ref="E59" r:id="rId115" display="https://www.amazon.com/dp/B08X24LS5V?psc=1" tooltip="https://www.amazon.com/dp/B08X24LS5V?psc=1"/>
    <hyperlink ref="F59" r:id="rId116" display="https://images-na.ssl-images-amazon.com/images/I/41jZv9IQKtL._AC_US600_.jpg" tooltip="https://images-na.ssl-images-amazon.com/images/I/41jZv9IQKtL._AC_US600_.jpg"/>
    <hyperlink ref="E60" r:id="rId117" display="https://www.amazon.com/dp/B08T9FBB68?psc=1" tooltip="https://www.amazon.com/dp/B08T9FBB68?psc=1"/>
    <hyperlink ref="F60" r:id="rId118" display="https://m.media-amazon.com/images/W/IMAGERENDERING_521856-T2/images/I/414P2GL4cAL._AC_US600_.jpg" tooltip="https://m.media-amazon.com/images/W/IMAGERENDERING_521856-T2/images/I/414P2GL4cAL._AC_US600_.jpg"/>
    <hyperlink ref="E61" r:id="rId119" display="https://www.amazon.com/dp/B07Z6RHKFV?psc=1" tooltip="https://www.amazon.com/dp/B07Z6RHKFV?psc=1"/>
    <hyperlink ref="F61" r:id="rId120" display="https://m.media-amazon.com/images/W/IMAGERENDERING_521856-T1/images/I/41Jkp816TuL._AC_US600_.jpg" tooltip="https://m.media-amazon.com/images/W/IMAGERENDERING_521856-T1/images/I/41Jkp816TuL._AC_US600_.jpg"/>
    <hyperlink ref="E62" r:id="rId121" display="https://www.amazon.com/dp/B07LBZGD97?psc=1" tooltip="https://www.amazon.com/dp/B07LBZGD97?psc=1"/>
    <hyperlink ref="F62" r:id="rId122" display="https://images-na.ssl-images-amazon.com/images/I/51sGLLlmj8L._AC_US600_.jpg" tooltip="https://images-na.ssl-images-amazon.com/images/I/51sGLLlmj8L._AC_US600_.jpg"/>
    <hyperlink ref="E63" r:id="rId123" display="https://www.amazon.com/dp/B08R6GZ2KP?psc=1" tooltip="https://www.amazon.com/dp/B08R6GZ2KP?psc=1"/>
    <hyperlink ref="F63" r:id="rId124" display="https://images-na.ssl-images-amazon.com/images/I/41ctRPisslL._AC_US600_.jpg" tooltip="https://images-na.ssl-images-amazon.com/images/I/41ctRPisslL._AC_US600_.jpg"/>
    <hyperlink ref="E64" r:id="rId125" display="https://www.amazon.com/dp/B08N3F9PRJ?psc=1" tooltip="https://www.amazon.com/dp/B08N3F9PRJ?psc=1"/>
    <hyperlink ref="F64" r:id="rId126" display="https://images-na.ssl-images-amazon.com/images/I/41CU7z7y-ML._AC_US600_.jpg" tooltip="https://images-na.ssl-images-amazon.com/images/I/41CU7z7y-ML._AC_US600_.jpg"/>
    <hyperlink ref="E65" r:id="rId127" display="https://www.amazon.com/dp/B0853CR7LG?psc=1" tooltip="https://www.amazon.com/dp/B0853CR7LG?psc=1"/>
    <hyperlink ref="F65" r:id="rId128" display="https://images-na.ssl-images-amazon.com/images/I/41-nj5fRENL._AC_US600_.jpg" tooltip="https://images-na.ssl-images-amazon.com/images/I/41-nj5fRENL._AC_US600_.jpg"/>
    <hyperlink ref="E66" r:id="rId129" display="https://www.amazon.com/dp/B09BZVQNTC?psc=1" tooltip="https://www.amazon.com/dp/B09BZVQNTC?psc=1"/>
    <hyperlink ref="F66" r:id="rId130" display="https://images-na.ssl-images-amazon.com/images/I/416HZaiHMcL._AC_US600_.jpg" tooltip="https://images-na.ssl-images-amazon.com/images/I/416HZaiHMcL._AC_US600_.jpg"/>
    <hyperlink ref="E67" r:id="rId131" display="https://www.amazon.com/dp/B0B7C28KPT?psc=1" tooltip="https://www.amazon.com/dp/B0B7C28KPT?psc=1"/>
    <hyperlink ref="F67" r:id="rId132" display="https://images-na.ssl-images-amazon.com/images/I/41xpc1obGyL._AC_US600_.jpg" tooltip="https://images-na.ssl-images-amazon.com/images/I/41xpc1obGyL._AC_US600_.jpg"/>
    <hyperlink ref="E68" r:id="rId133" display="https://www.amazon.com/dp/B07XF4HW8G?psc=1" tooltip="https://www.amazon.com/dp/B07XF4HW8G?psc=1"/>
    <hyperlink ref="F68" r:id="rId134" display="https://images-na.ssl-images-amazon.com/images/I/51e2Fp15xnL._AC_US600_.jpg" tooltip="https://images-na.ssl-images-amazon.com/images/I/51e2Fp15xnL._AC_US600_.jpg"/>
    <hyperlink ref="E69" r:id="rId135" display="https://www.amazon.com/dp/B01L7TOZJO?psc=1" tooltip="https://www.amazon.com/dp/B01L7TOZJO?psc=1"/>
    <hyperlink ref="F69" r:id="rId136" display="https://images-na.ssl-images-amazon.com/images/I/51B7UIiB95L._AC_US600_.jpg" tooltip="https://images-na.ssl-images-amazon.com/images/I/51B7UIiB95L._AC_US600_.jpg"/>
    <hyperlink ref="E70" r:id="rId137" display="https://www.amazon.com/dp/B08NCHMH1L?psc=1" tooltip="https://www.amazon.com/dp/B08NCHMH1L?psc=1"/>
    <hyperlink ref="F70" r:id="rId138" display="https://m.media-amazon.com/images/I/31nldc5I5qL._AC_US600_.jpg" tooltip="https://m.media-amazon.com/images/I/31nldc5I5qL._AC_US600_.jpg"/>
    <hyperlink ref="E71" r:id="rId139" display="https://www.amazon.com/dp/B0BF4TCX6J?psc=1" tooltip="https://www.amazon.com/dp/B0BF4TCX6J?psc=1"/>
    <hyperlink ref="F71" r:id="rId140" display="https://images-na.ssl-images-amazon.com/images/I/41nnl0IYwmL._AC_US600_.jpg" tooltip="https://images-na.ssl-images-amazon.com/images/I/41nnl0IYwmL._AC_US600_.jpg"/>
    <hyperlink ref="E72" r:id="rId141" display="https://www.amazon.com/dp/B08PNHBCTL?psc=1" tooltip="https://www.amazon.com/dp/B08PNHBCTL?psc=1"/>
    <hyperlink ref="F72" r:id="rId142" display="https://images-na.ssl-images-amazon.com/images/I/41EXcFBZ2uL._AC_US600_.jpg" tooltip="https://images-na.ssl-images-amazon.com/images/I/41EXcFBZ2uL._AC_US600_.jpg"/>
    <hyperlink ref="E73" r:id="rId143" display="https://www.amazon.com/dp/B083TGW7DN?psc=1" tooltip="https://www.amazon.com/dp/B083TGW7DN?psc=1"/>
    <hyperlink ref="F73" r:id="rId144" display="https://images-na.ssl-images-amazon.com/images/I/41gnPXQ60DL._AC_US600_.jpg" tooltip="https://images-na.ssl-images-amazon.com/images/I/41gnPXQ60DL._AC_US600_.jpg"/>
    <hyperlink ref="E74" r:id="rId145" display="https://www.amazon.com/dp/B0BG2MGDXN?psc=1" tooltip="https://www.amazon.com/dp/B0BG2MGDXN?psc=1"/>
    <hyperlink ref="F74" r:id="rId146" display="https://images-na.ssl-images-amazon.com/images/I/51DFrKWE3+L._AC_US600_.jpg" tooltip="https://images-na.ssl-images-amazon.com/images/I/51DFrKWE3+L._AC_US600_.jpg"/>
    <hyperlink ref="E75" r:id="rId147" display="https://www.amazon.com/dp/B07GNSHPBQ?psc=1" tooltip="https://www.amazon.com/dp/B07GNSHPBQ?psc=1"/>
    <hyperlink ref="F75" r:id="rId148" display="https://images-na.ssl-images-amazon.com/images/I/41Ie-5jgNBL._AC_US600_.jpg" tooltip="https://images-na.ssl-images-amazon.com/images/I/41Ie-5jgNBL._AC_US600_.jpg"/>
    <hyperlink ref="E76" r:id="rId149" display="https://www.amazon.com/dp/B0BD4BYR11?psc=1" tooltip="https://www.amazon.com/dp/B0BD4BYR11?psc=1"/>
    <hyperlink ref="F76" r:id="rId150" display="https://images-na.ssl-images-amazon.com/images/I/41WjXoD4znL._AC_US600_.jpg" tooltip="https://images-na.ssl-images-amazon.com/images/I/41WjXoD4znL._AC_US600_.jpg"/>
    <hyperlink ref="E77" r:id="rId151" display="https://www.amazon.com/dp/B081PGHZGR?psc=1" tooltip="https://www.amazon.com/dp/B081PGHZGR?psc=1"/>
    <hyperlink ref="F77" r:id="rId152" display="https://m.media-amazon.com/images/W/IMAGERENDERING_521856-T1/images/I/41VVyif1syL._AC_US600_.jpg" tooltip="https://m.media-amazon.com/images/W/IMAGERENDERING_521856-T1/images/I/41VVyif1syL._AC_US600_.jpg"/>
    <hyperlink ref="E78" r:id="rId153" display="https://www.amazon.com/dp/B0BR4ZYSRF?psc=1" tooltip="https://www.amazon.com/dp/B0BR4ZYSRF?psc=1"/>
    <hyperlink ref="F78" r:id="rId154" display="https://images-na.ssl-images-amazon.com/images/I/51DaREWGV9L._AC_US600_.jpg" tooltip="https://images-na.ssl-images-amazon.com/images/I/51DaREWGV9L._AC_US600_.jpg"/>
    <hyperlink ref="E79" r:id="rId155" display="https://www.amazon.com/dp/B08L3SW8DZ?psc=1" tooltip="https://www.amazon.com/dp/B08L3SW8DZ?psc=1"/>
    <hyperlink ref="F79" r:id="rId156" display="https://images-na.ssl-images-amazon.com/images/I/419w5-1jmOL._AC_US600_.jpg" tooltip="https://images-na.ssl-images-amazon.com/images/I/419w5-1jmOL._AC_US600_.jpg"/>
    <hyperlink ref="E80" r:id="rId157" display="https://www.amazon.com/dp/B08G5CH2HR?psc=1" tooltip="https://www.amazon.com/dp/B08G5CH2HR?psc=1"/>
    <hyperlink ref="F80" r:id="rId158" display="https://images-na.ssl-images-amazon.com/images/I/516+29sy+uL._AC_US600_.jpg" tooltip="https://images-na.ssl-images-amazon.com/images/I/516+29sy+uL._AC_US600_.jpg"/>
    <hyperlink ref="E81" r:id="rId159" display="https://www.amazon.com/dp/B09DYPNPV4?psc=1" tooltip="https://www.amazon.com/dp/B09DYPNPV4?psc=1"/>
    <hyperlink ref="F81" r:id="rId160" display="https://images-na.ssl-images-amazon.com/images/I/41RUxUeb1SL._AC_US600_.jpg" tooltip="https://images-na.ssl-images-amazon.com/images/I/41RUxUeb1SL._AC_US600_.jpg"/>
    <hyperlink ref="E82" r:id="rId161" display="https://www.amazon.com/dp/B0B3G8V6MV?psc=1" tooltip="https://www.amazon.com/dp/B0B3G8V6MV?psc=1"/>
    <hyperlink ref="F82" r:id="rId162" display="https://images-na.ssl-images-amazon.com/images/I/41kb9+9AjPL._AC_US600_.jpg" tooltip="https://images-na.ssl-images-amazon.com/images/I/41kb9+9AjPL._AC_US600_.jpg"/>
    <hyperlink ref="E83" r:id="rId163" display="https://www.amazon.com/dp/B076FPT78K?psc=1" tooltip="https://www.amazon.com/dp/B076FPT78K?psc=1"/>
    <hyperlink ref="F83" r:id="rId164" display="https://images-na.ssl-images-amazon.com/images/I/41Q4s94S0uL._AC_US600_.jpg" tooltip="https://images-na.ssl-images-amazon.com/images/I/41Q4s94S0uL._AC_US600_.jpg"/>
    <hyperlink ref="E84" r:id="rId165" display="https://www.amazon.com/dp/B08KXTDBQC?psc=1" tooltip="https://www.amazon.com/dp/B08KXTDBQC?psc=1"/>
    <hyperlink ref="F84" r:id="rId166" display="https://images-na.ssl-images-amazon.com/images/I/41UTCIgF3RL._AC_US600_.jpg" tooltip="https://images-na.ssl-images-amazon.com/images/I/41UTCIgF3RL._AC_US600_.jpg"/>
    <hyperlink ref="E85" r:id="rId167" display="https://www.amazon.com/dp/B01LX9T6HF?psc=1" tooltip="https://www.amazon.com/dp/B01LX9T6HF?psc=1"/>
    <hyperlink ref="F85" r:id="rId168" display="https://images-na.ssl-images-amazon.com/images/I/418+jnE43GL._AC_US600_.jpg" tooltip="https://images-na.ssl-images-amazon.com/images/I/418+jnE43GL._AC_US600_.jpg"/>
    <hyperlink ref="E86" r:id="rId169" display="https://www.amazon.com/dp/B086K1T4JJ?psc=1" tooltip="https://www.amazon.com/dp/B086K1T4JJ?psc=1"/>
    <hyperlink ref="F86" r:id="rId170" display="https://images-na.ssl-images-amazon.com/images/I/41Kx73WvRML._AC_US600_.jpg" tooltip="https://images-na.ssl-images-amazon.com/images/I/41Kx73WvRML._AC_US600_.jpg"/>
    <hyperlink ref="E87" r:id="rId171" display="https://www.amazon.com/dp/B084B7PF4K?psc=1" tooltip="https://www.amazon.com/dp/B084B7PF4K?psc=1"/>
    <hyperlink ref="F87" r:id="rId172" display="https://images-na.ssl-images-amazon.com/images/I/31hes0z4e1L._AC_US600_.jpg" tooltip="https://images-na.ssl-images-amazon.com/images/I/31hes0z4e1L._AC_US600_.jpg"/>
    <hyperlink ref="E88" r:id="rId173" display="https://www.amazon.com/dp/B0B3SHYNBG?psc=1" tooltip="https://www.amazon.com/dp/B0B3SHYNBG?psc=1"/>
    <hyperlink ref="F88" r:id="rId174" display="https://m.media-amazon.com/images/I/61PY7xJYKRL._AC_US600_.jpg" tooltip="https://m.media-amazon.com/images/I/61PY7xJYKRL._AC_US600_.jpg"/>
    <hyperlink ref="E89" r:id="rId175" display="https://www.amazon.com/dp/B08TWB9L5P?psc=1" tooltip="https://www.amazon.com/dp/B08TWB9L5P?psc=1"/>
    <hyperlink ref="F89" r:id="rId176" display="https://images-na.ssl-images-amazon.com/images/I/51BtVuritGL._AC_US600_.jpg" tooltip="https://images-na.ssl-images-amazon.com/images/I/51BtVuritGL._AC_US600_.jpg"/>
    <hyperlink ref="E90" r:id="rId177" display="https://www.amazon.com/dp/B086GWG6BG?psc=1" tooltip="https://www.amazon.com/dp/B086GWG6BG?psc=1"/>
    <hyperlink ref="F90" r:id="rId178" display="https://images-na.ssl-images-amazon.com/images/I/41Bh+8iMurL._AC_US600_.jpg" tooltip="https://images-na.ssl-images-amazon.com/images/I/41Bh+8iMurL._AC_US600_.jpg"/>
    <hyperlink ref="E91" r:id="rId179" display="https://www.amazon.com/dp/B09Y12NVC2?psc=1" tooltip="https://www.amazon.com/dp/B09Y12NVC2?psc=1"/>
    <hyperlink ref="F91" r:id="rId180" display="https://m.media-amazon.com/images/I/41MMVnAeq+L._AC_US600_.jpg" tooltip="https://m.media-amazon.com/images/I/41MMVnAeq+L._AC_US600_.jpg"/>
    <hyperlink ref="E92" r:id="rId181" display="https://www.amazon.com/dp/B08739L374?psc=1" tooltip="https://www.amazon.com/dp/B08739L374?psc=1"/>
    <hyperlink ref="F92" r:id="rId182" display="https://images-na.ssl-images-amazon.com/images/I/51cjHLNNdfL._AC_US600_.jpg" tooltip="https://images-na.ssl-images-amazon.com/images/I/51cjHLNNdfL._AC_US600_.jpg"/>
    <hyperlink ref="E93" r:id="rId183" display="https://www.amazon.com/dp/B087WW1W78?psc=1" tooltip="https://www.amazon.com/dp/B087WW1W78?psc=1"/>
    <hyperlink ref="F93" r:id="rId184" display="https://images-na.ssl-images-amazon.com/images/I/41XooFogX3S._AC_US600_.jpg" tooltip="https://images-na.ssl-images-amazon.com/images/I/41XooFogX3S._AC_US600_.jpg"/>
    <hyperlink ref="E94" r:id="rId185" display="https://www.amazon.com/dp/B09B9K9552?psc=1" tooltip="https://www.amazon.com/dp/B09B9K9552?psc=1"/>
    <hyperlink ref="F94" r:id="rId186" display="https://images-na.ssl-images-amazon.com/images/I/41itlVcI-8L._AC_US600_.jpg" tooltip="https://images-na.ssl-images-amazon.com/images/I/41itlVcI-8L._AC_US600_.jpg"/>
    <hyperlink ref="E95" r:id="rId187" display="https://www.amazon.com/dp/B08P27RFLB?psc=1" tooltip="https://www.amazon.com/dp/B08P27RFLB?psc=1"/>
    <hyperlink ref="F95" r:id="rId188" display="https://images-na.ssl-images-amazon.com/images/I/31oBMRVPbJS._AC_US600_.jpg" tooltip="https://images-na.ssl-images-amazon.com/images/I/31oBMRVPbJS._AC_US600_.jpg"/>
    <hyperlink ref="E96" r:id="rId189" display="https://www.amazon.com/dp/B0B94K541Q?psc=1" tooltip="https://www.amazon.com/dp/B0B94K541Q?psc=1"/>
    <hyperlink ref="F96" r:id="rId190" display="https://images-na.ssl-images-amazon.com/images/I/514XT9luXRL._AC_US600_.jpg" tooltip="https://images-na.ssl-images-amazon.com/images/I/514XT9luXRL._AC_US600_.jpg"/>
    <hyperlink ref="E97" r:id="rId191" display="https://www.amazon.com/dp/B08HPQ384Y?psc=1" tooltip="https://www.amazon.com/dp/B08HPQ384Y?psc=1"/>
    <hyperlink ref="F97" r:id="rId192" display="https://images-na.ssl-images-amazon.com/images/I/51Pp7HEnMDL._AC_US600_.jpg" tooltip="https://images-na.ssl-images-amazon.com/images/I/51Pp7HEnMDL._AC_US600_.jpg"/>
    <hyperlink ref="E98" r:id="rId193" display="https://www.amazon.com/dp/B0B52885M9?psc=1" tooltip="https://www.amazon.com/dp/B0B52885M9?psc=1"/>
    <hyperlink ref="F98" r:id="rId194" display="https://m.media-amazon.com/images/W/IMAGERENDERING_521856-T1/images/I/41uMb4vYYiL._AC_US600_.jpg" tooltip="https://m.media-amazon.com/images/W/IMAGERENDERING_521856-T1/images/I/41uMb4vYYiL._AC_US600_.jpg"/>
    <hyperlink ref="E99" r:id="rId195" display="https://www.amazon.com/dp/B06XYKVPLS?psc=1" tooltip="https://www.amazon.com/dp/B06XYKVPLS?psc=1"/>
    <hyperlink ref="F99" r:id="rId196" display="https://images-na.ssl-images-amazon.com/images/I/41zlAqz5EQS._AC_US600_.jpg" tooltip="https://images-na.ssl-images-amazon.com/images/I/41zlAqz5EQS._AC_US600_.jpg"/>
    <hyperlink ref="E100" r:id="rId197" display="https://www.amazon.com/dp/B09871GCN1?psc=1" tooltip="https://www.amazon.com/dp/B09871GCN1?psc=1"/>
    <hyperlink ref="F100" r:id="rId198" display="https://images-na.ssl-images-amazon.com/images/I/41Eimf3muML._AC_US600_.jpg" tooltip="https://images-na.ssl-images-amazon.com/images/I/41Eimf3muML._AC_US600_.jpg"/>
    <hyperlink ref="E101" r:id="rId199" display="https://www.amazon.com/dp/B09696JZVR?psc=1" tooltip="https://www.amazon.com/dp/B09696JZVR?psc=1"/>
    <hyperlink ref="F101" r:id="rId200" display="https://m.media-amazon.com/images/I/41K7k9nX6sL._AC_US600_.jpg" tooltip="https://m.media-amazon.com/images/I/41K7k9nX6sL._AC_US600_.jpg"/>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328"/>
  <sheetViews>
    <sheetView showGridLines="0" zoomScale="70" zoomScaleNormal="70" topLeftCell="B1" workbookViewId="0">
      <selection activeCell="K15" sqref="K15"/>
    </sheetView>
  </sheetViews>
  <sheetFormatPr defaultColWidth="9" defaultRowHeight="16.5"/>
  <cols>
    <col min="1" max="1" width="18.3833333333333" style="697"/>
    <col min="2" max="2" width="13.5" style="697"/>
    <col min="3" max="3" width="24.375" style="697"/>
    <col min="4" max="4" width="22.75" style="700"/>
    <col min="5" max="5" width="22.75" style="701"/>
    <col min="6" max="6" width="22.75" style="702"/>
    <col min="7" max="7" width="11.625" style="702" customWidth="1"/>
    <col min="8" max="8" width="16.0583333333333" style="702" customWidth="1"/>
    <col min="9" max="9" width="11.625" style="701" customWidth="1"/>
    <col min="10" max="10" width="17" style="701"/>
    <col min="11" max="13" width="23.75" style="701"/>
    <col min="14" max="14" width="12.75" style="701" customWidth="1"/>
    <col min="15" max="15" width="9.25" style="697" customWidth="1"/>
    <col min="16" max="18" width="9.875" style="697" customWidth="1"/>
    <col min="19" max="19" width="11.625" style="697" customWidth="1"/>
    <col min="20" max="20" width="12.75" style="697" customWidth="1"/>
    <col min="21" max="22" width="13.75" style="697" customWidth="1"/>
    <col min="23" max="23" width="14.375" style="697" customWidth="1"/>
    <col min="24" max="24" width="12.75" style="697" customWidth="1"/>
    <col min="25" max="25" width="27.2666666666667" style="697" customWidth="1"/>
    <col min="26" max="26" width="9.25" style="697" customWidth="1"/>
    <col min="27" max="28" width="9.875" style="697" customWidth="1"/>
    <col min="29" max="31" width="11.625" style="697" customWidth="1"/>
    <col min="32" max="32" width="12.125" style="697" customWidth="1"/>
    <col min="33" max="33" width="11.625" style="697" customWidth="1"/>
    <col min="34" max="36" width="12.125" style="697" customWidth="1"/>
    <col min="37" max="37" width="9.25" style="697" customWidth="1"/>
    <col min="38" max="38" width="2.725" style="697" customWidth="1"/>
    <col min="39" max="40" width="8.125" style="697" customWidth="1"/>
    <col min="41" max="41" width="14.125" customWidth="1"/>
    <col min="42" max="42" width="26.85" style="697"/>
    <col min="43" max="47" width="26.85" style="697" hidden="1"/>
    <col min="48" max="48" width="25.2333333333333" style="697" hidden="1"/>
    <col min="49" max="49" width="30.15" style="697" hidden="1"/>
    <col min="50" max="50" width="18.075" style="697" hidden="1"/>
    <col min="51" max="16384" width="9" style="697" hidden="1" customWidth="1"/>
  </cols>
  <sheetData>
    <row r="1" ht="17.25" spans="2:44">
      <c r="B1" s="703" t="s">
        <v>3018</v>
      </c>
    </row>
    <row r="2" s="697" customFormat="1" ht="17.25" spans="2:44">
      <c r="B2" s="704" t="s">
        <v>3019</v>
      </c>
      <c r="C2" s="705" t="s">
        <v>3020</v>
      </c>
      <c r="D2" s="706" t="s">
        <v>3021</v>
      </c>
      <c r="E2" s="707" t="s">
        <v>3022</v>
      </c>
      <c r="F2" s="708"/>
      <c r="G2" s="708"/>
      <c r="H2" s="708"/>
      <c r="I2" s="707"/>
      <c r="J2" s="707"/>
      <c r="K2" s="707"/>
      <c r="L2" s="707"/>
      <c r="M2" s="707"/>
      <c r="N2" s="707"/>
      <c r="O2" s="707"/>
      <c r="P2" s="709" t="s">
        <v>3023</v>
      </c>
      <c r="Q2" s="709"/>
      <c r="R2" s="709"/>
      <c r="S2" s="709"/>
      <c r="T2" s="709"/>
      <c r="U2" s="709"/>
      <c r="V2" s="709"/>
      <c r="W2" s="709"/>
      <c r="X2" s="709"/>
      <c r="Y2" s="709"/>
      <c r="Z2" s="709"/>
      <c r="AA2" s="710" t="s">
        <v>3024</v>
      </c>
      <c r="AB2" s="710"/>
      <c r="AC2" s="710"/>
      <c r="AD2" s="710"/>
      <c r="AE2" s="710"/>
      <c r="AF2" s="710"/>
      <c r="AG2" s="710"/>
      <c r="AH2" s="710"/>
      <c r="AI2" s="710"/>
      <c r="AJ2" s="710"/>
      <c r="AK2" s="711"/>
      <c r="AM2" s="712" t="s">
        <v>3019</v>
      </c>
      <c r="AN2" s="713" t="s">
        <v>3020</v>
      </c>
      <c r="AO2" s="714" t="s">
        <v>3021</v>
      </c>
      <c r="AR2" s="700"/>
    </row>
    <row r="3" s="698" customFormat="1" spans="2:44">
      <c r="B3" s="715" t="s">
        <v>3025</v>
      </c>
      <c r="C3" s="716">
        <v>815702</v>
      </c>
      <c r="D3" s="717">
        <v>81521383.09</v>
      </c>
      <c r="E3" s="718" t="s">
        <v>861</v>
      </c>
      <c r="F3" s="718" t="s">
        <v>872</v>
      </c>
      <c r="G3" s="718" t="s">
        <v>931</v>
      </c>
      <c r="H3" s="718" t="s">
        <v>1173</v>
      </c>
      <c r="I3" s="718" t="s">
        <v>1059</v>
      </c>
      <c r="J3" s="718" t="s">
        <v>1152</v>
      </c>
      <c r="K3" s="718" t="s">
        <v>1229</v>
      </c>
      <c r="L3" s="718" t="s">
        <v>846</v>
      </c>
      <c r="M3" s="718" t="s">
        <v>1364</v>
      </c>
      <c r="N3" s="718" t="s">
        <v>3026</v>
      </c>
      <c r="O3" s="719" t="s">
        <v>3027</v>
      </c>
      <c r="P3" s="718" t="s">
        <v>861</v>
      </c>
      <c r="Q3" s="718" t="s">
        <v>872</v>
      </c>
      <c r="R3" s="718" t="s">
        <v>1229</v>
      </c>
      <c r="S3" s="718" t="s">
        <v>846</v>
      </c>
      <c r="T3" s="718" t="s">
        <v>1173</v>
      </c>
      <c r="U3" s="718" t="s">
        <v>931</v>
      </c>
      <c r="V3" s="718" t="s">
        <v>1152</v>
      </c>
      <c r="W3" s="718" t="s">
        <v>1059</v>
      </c>
      <c r="X3" s="718" t="s">
        <v>1364</v>
      </c>
      <c r="Y3" s="718" t="s">
        <v>1408</v>
      </c>
      <c r="Z3" s="719" t="s">
        <v>3027</v>
      </c>
      <c r="AA3" s="718" t="s">
        <v>861</v>
      </c>
      <c r="AB3" s="718" t="s">
        <v>1059</v>
      </c>
      <c r="AC3" s="718" t="s">
        <v>872</v>
      </c>
      <c r="AD3" s="718" t="s">
        <v>1173</v>
      </c>
      <c r="AE3" s="718" t="s">
        <v>931</v>
      </c>
      <c r="AF3" s="718" t="s">
        <v>3026</v>
      </c>
      <c r="AG3" s="718" t="s">
        <v>1152</v>
      </c>
      <c r="AH3" s="718" t="s">
        <v>846</v>
      </c>
      <c r="AI3" s="718" t="s">
        <v>1069</v>
      </c>
      <c r="AJ3" s="718" t="s">
        <v>1408</v>
      </c>
      <c r="AK3" s="720" t="s">
        <v>3027</v>
      </c>
      <c r="AM3" s="713" t="s">
        <v>3025</v>
      </c>
      <c r="AN3" s="713">
        <v>815702</v>
      </c>
      <c r="AO3" s="721">
        <v>81521383.09</v>
      </c>
      <c r="AP3" s="722"/>
      <c r="AQ3" s="723" t="s">
        <v>3020</v>
      </c>
      <c r="AR3" s="724" t="s">
        <v>3021</v>
      </c>
    </row>
    <row r="4" s="698" customFormat="1" spans="2:44">
      <c r="B4" s="715"/>
      <c r="C4" s="716"/>
      <c r="D4" s="717"/>
      <c r="E4" s="725">
        <v>0.5187</v>
      </c>
      <c r="F4" s="725">
        <v>0.1116</v>
      </c>
      <c r="G4" s="725">
        <v>0.063</v>
      </c>
      <c r="H4" s="725">
        <v>0.0559</v>
      </c>
      <c r="I4" s="725">
        <v>0.0411</v>
      </c>
      <c r="J4" s="725">
        <v>0.041</v>
      </c>
      <c r="K4" s="725">
        <v>0.0347</v>
      </c>
      <c r="L4" s="725">
        <v>0.0312</v>
      </c>
      <c r="M4" s="725">
        <v>0.0229</v>
      </c>
      <c r="N4" s="725">
        <v>0.0215</v>
      </c>
      <c r="O4" s="726">
        <f>SUM(E4:N4)</f>
        <v>0.9416</v>
      </c>
      <c r="P4" s="725">
        <v>0.5674</v>
      </c>
      <c r="Q4" s="725">
        <v>0.0976</v>
      </c>
      <c r="R4" s="725">
        <v>0.0738</v>
      </c>
      <c r="S4" s="725">
        <v>0.0516</v>
      </c>
      <c r="T4" s="725">
        <v>0.0397</v>
      </c>
      <c r="U4" s="725">
        <v>0.0315</v>
      </c>
      <c r="V4" s="725">
        <v>0.0282</v>
      </c>
      <c r="W4" s="725">
        <v>0.0277</v>
      </c>
      <c r="X4" s="725">
        <v>0.0198</v>
      </c>
      <c r="Y4" s="725">
        <v>0.0163</v>
      </c>
      <c r="Z4" s="726">
        <f t="shared" ref="Z4:Z8" si="0">SUM(P4:Y4)</f>
        <v>0.9536</v>
      </c>
      <c r="AA4" s="727">
        <v>0.17</v>
      </c>
      <c r="AB4" s="728">
        <v>0.12</v>
      </c>
      <c r="AC4" s="728">
        <v>0.11</v>
      </c>
      <c r="AD4" s="728">
        <v>0.11</v>
      </c>
      <c r="AE4" s="728">
        <v>0.08</v>
      </c>
      <c r="AF4" s="728">
        <v>0.07</v>
      </c>
      <c r="AG4" s="728">
        <v>0.06</v>
      </c>
      <c r="AH4" s="728">
        <v>0.05</v>
      </c>
      <c r="AI4" s="728">
        <v>0.04</v>
      </c>
      <c r="AJ4" s="728">
        <v>0.04</v>
      </c>
      <c r="AK4" s="729">
        <f t="shared" ref="AK4:AK8" si="1">SUM(AA4:AJ4)</f>
        <v>0.85</v>
      </c>
      <c r="AM4" s="713" t="s">
        <v>3028</v>
      </c>
      <c r="AN4" s="713">
        <v>663129</v>
      </c>
      <c r="AO4" s="721">
        <v>66488889.01</v>
      </c>
      <c r="AP4" s="730"/>
      <c r="AQ4" s="731">
        <v>815702</v>
      </c>
      <c r="AR4" s="732">
        <v>81521383.09</v>
      </c>
    </row>
    <row r="5" s="698" customFormat="1" spans="2:44">
      <c r="B5" s="715" t="s">
        <v>3028</v>
      </c>
      <c r="C5" s="716">
        <v>663129</v>
      </c>
      <c r="D5" s="717">
        <v>66488889.01</v>
      </c>
      <c r="E5" s="718" t="s">
        <v>861</v>
      </c>
      <c r="F5" s="718" t="s">
        <v>872</v>
      </c>
      <c r="G5" s="718" t="s">
        <v>1173</v>
      </c>
      <c r="H5" s="718" t="s">
        <v>846</v>
      </c>
      <c r="I5" s="718" t="s">
        <v>931</v>
      </c>
      <c r="J5" s="718" t="s">
        <v>1152</v>
      </c>
      <c r="K5" s="718" t="s">
        <v>1059</v>
      </c>
      <c r="L5" s="718" t="s">
        <v>1229</v>
      </c>
      <c r="M5" s="718" t="s">
        <v>1364</v>
      </c>
      <c r="N5" s="718" t="s">
        <v>1932</v>
      </c>
      <c r="O5" s="719"/>
      <c r="P5" s="718" t="s">
        <v>861</v>
      </c>
      <c r="Q5" s="718" t="s">
        <v>872</v>
      </c>
      <c r="R5" s="718" t="s">
        <v>846</v>
      </c>
      <c r="S5" s="718" t="s">
        <v>1173</v>
      </c>
      <c r="T5" s="718" t="s">
        <v>1229</v>
      </c>
      <c r="U5" s="718" t="s">
        <v>1059</v>
      </c>
      <c r="V5" s="718" t="s">
        <v>1152</v>
      </c>
      <c r="W5" s="718" t="s">
        <v>931</v>
      </c>
      <c r="X5" s="718" t="s">
        <v>1364</v>
      </c>
      <c r="Y5" s="718" t="s">
        <v>1104</v>
      </c>
      <c r="Z5" s="719"/>
      <c r="AA5" s="718" t="s">
        <v>861</v>
      </c>
      <c r="AB5" s="718" t="s">
        <v>872</v>
      </c>
      <c r="AC5" s="718" t="s">
        <v>1173</v>
      </c>
      <c r="AD5" s="718" t="s">
        <v>1059</v>
      </c>
      <c r="AE5" s="718" t="s">
        <v>1152</v>
      </c>
      <c r="AF5" s="718" t="s">
        <v>931</v>
      </c>
      <c r="AG5" s="718" t="s">
        <v>846</v>
      </c>
      <c r="AH5" s="718" t="s">
        <v>1932</v>
      </c>
      <c r="AI5" s="718" t="s">
        <v>1364</v>
      </c>
      <c r="AJ5" s="718" t="s">
        <v>1229</v>
      </c>
      <c r="AK5" s="720"/>
      <c r="AM5" s="713" t="s">
        <v>3029</v>
      </c>
      <c r="AN5" s="713">
        <v>386863</v>
      </c>
      <c r="AO5" s="721">
        <v>40073371.66</v>
      </c>
      <c r="AP5" s="730"/>
      <c r="AQ5" s="731"/>
      <c r="AR5" s="732"/>
    </row>
    <row r="6" s="698" customFormat="1" spans="2:44">
      <c r="B6" s="715"/>
      <c r="C6" s="716"/>
      <c r="D6" s="717"/>
      <c r="E6" s="725">
        <v>0.5499</v>
      </c>
      <c r="F6" s="725">
        <v>0.1096</v>
      </c>
      <c r="G6" s="725">
        <v>0.0819</v>
      </c>
      <c r="H6" s="725">
        <v>0.0495</v>
      </c>
      <c r="I6" s="725">
        <v>0.0481</v>
      </c>
      <c r="J6" s="725">
        <v>0.0424</v>
      </c>
      <c r="K6" s="725">
        <v>0.0397</v>
      </c>
      <c r="L6" s="725">
        <v>0.0174</v>
      </c>
      <c r="M6" s="725">
        <v>0.015</v>
      </c>
      <c r="N6" s="725">
        <v>0.0087</v>
      </c>
      <c r="O6" s="726">
        <f t="shared" ref="O4:O8" si="2">SUM(E6:N6)</f>
        <v>0.9622</v>
      </c>
      <c r="P6" s="725">
        <v>0.5926</v>
      </c>
      <c r="Q6" s="725">
        <v>0.1092</v>
      </c>
      <c r="R6" s="725">
        <v>0.0684</v>
      </c>
      <c r="S6" s="725">
        <v>0.0555</v>
      </c>
      <c r="T6" s="725">
        <v>0.0342</v>
      </c>
      <c r="U6" s="725">
        <v>0.0319</v>
      </c>
      <c r="V6" s="725">
        <v>0.0271</v>
      </c>
      <c r="W6" s="725">
        <v>0.0261</v>
      </c>
      <c r="X6" s="725">
        <v>0.0136</v>
      </c>
      <c r="Y6" s="725">
        <v>0.0056</v>
      </c>
      <c r="Z6" s="726">
        <f t="shared" si="0"/>
        <v>0.9642</v>
      </c>
      <c r="AA6" s="727">
        <v>0.17</v>
      </c>
      <c r="AB6" s="728">
        <v>0.14</v>
      </c>
      <c r="AC6" s="728">
        <v>0.12</v>
      </c>
      <c r="AD6" s="728">
        <v>0.11</v>
      </c>
      <c r="AE6" s="728">
        <v>0.1</v>
      </c>
      <c r="AF6" s="728">
        <v>0.08</v>
      </c>
      <c r="AG6" s="728">
        <v>0.05</v>
      </c>
      <c r="AH6" s="728">
        <v>0.04</v>
      </c>
      <c r="AI6" s="728">
        <v>0.03</v>
      </c>
      <c r="AJ6" s="728">
        <v>0.02</v>
      </c>
      <c r="AK6" s="729">
        <f t="shared" si="1"/>
        <v>0.86</v>
      </c>
      <c r="AM6" s="713" t="s">
        <v>3030</v>
      </c>
      <c r="AN6" s="713">
        <v>272023</v>
      </c>
      <c r="AO6" s="721">
        <v>29737218.71</v>
      </c>
      <c r="AP6" s="730"/>
      <c r="AQ6" s="731">
        <v>663129</v>
      </c>
      <c r="AR6" s="732">
        <v>66488889.01</v>
      </c>
    </row>
    <row r="7" s="698" customFormat="1" spans="2:44">
      <c r="B7" s="715" t="s">
        <v>3029</v>
      </c>
      <c r="C7" s="716">
        <v>386863</v>
      </c>
      <c r="D7" s="717">
        <v>40073371.66</v>
      </c>
      <c r="E7" s="718" t="s">
        <v>861</v>
      </c>
      <c r="F7" s="718" t="s">
        <v>846</v>
      </c>
      <c r="G7" s="718" t="s">
        <v>872</v>
      </c>
      <c r="H7" s="718" t="s">
        <v>1059</v>
      </c>
      <c r="I7" s="718" t="s">
        <v>1173</v>
      </c>
      <c r="J7" s="718" t="s">
        <v>931</v>
      </c>
      <c r="K7" s="718" t="s">
        <v>1152</v>
      </c>
      <c r="L7" s="718" t="s">
        <v>1932</v>
      </c>
      <c r="M7" s="718" t="s">
        <v>1229</v>
      </c>
      <c r="N7" s="718" t="s">
        <v>1069</v>
      </c>
      <c r="O7" s="719"/>
      <c r="P7" s="718" t="s">
        <v>861</v>
      </c>
      <c r="Q7" s="718" t="s">
        <v>846</v>
      </c>
      <c r="R7" s="718" t="s">
        <v>872</v>
      </c>
      <c r="S7" s="718" t="s">
        <v>1059</v>
      </c>
      <c r="T7" s="718" t="s">
        <v>1229</v>
      </c>
      <c r="U7" s="718" t="s">
        <v>1173</v>
      </c>
      <c r="V7" s="718" t="s">
        <v>1152</v>
      </c>
      <c r="W7" s="718" t="s">
        <v>931</v>
      </c>
      <c r="X7" s="718" t="s">
        <v>1104</v>
      </c>
      <c r="Y7" s="718" t="s">
        <v>3031</v>
      </c>
      <c r="Z7" s="719"/>
      <c r="AA7" s="718" t="s">
        <v>1059</v>
      </c>
      <c r="AB7" s="718" t="s">
        <v>872</v>
      </c>
      <c r="AC7" s="718" t="s">
        <v>861</v>
      </c>
      <c r="AD7" s="718" t="s">
        <v>846</v>
      </c>
      <c r="AE7" s="718" t="s">
        <v>1173</v>
      </c>
      <c r="AF7" s="718" t="s">
        <v>931</v>
      </c>
      <c r="AG7" s="718" t="s">
        <v>1152</v>
      </c>
      <c r="AH7" s="718" t="s">
        <v>1932</v>
      </c>
      <c r="AI7" s="718" t="s">
        <v>1069</v>
      </c>
      <c r="AJ7" s="718" t="s">
        <v>1408</v>
      </c>
      <c r="AK7" s="720"/>
      <c r="AM7" s="713" t="s">
        <v>3032</v>
      </c>
      <c r="AN7" s="713">
        <v>220365</v>
      </c>
      <c r="AO7" s="721">
        <v>21751296.28</v>
      </c>
      <c r="AP7" s="730"/>
      <c r="AQ7" s="731"/>
      <c r="AR7" s="732"/>
    </row>
    <row r="8" s="698" customFormat="1" spans="2:44">
      <c r="B8" s="715"/>
      <c r="C8" s="716"/>
      <c r="D8" s="717"/>
      <c r="E8" s="725">
        <v>0.3751</v>
      </c>
      <c r="F8" s="725">
        <v>0.1456</v>
      </c>
      <c r="G8" s="725">
        <v>0.1247</v>
      </c>
      <c r="H8" s="725">
        <v>0.0895</v>
      </c>
      <c r="I8" s="725">
        <v>0.0548</v>
      </c>
      <c r="J8" s="725">
        <v>0.0414</v>
      </c>
      <c r="K8" s="725">
        <v>0.0385</v>
      </c>
      <c r="L8" s="725">
        <v>0.0255</v>
      </c>
      <c r="M8" s="725">
        <v>0.0184</v>
      </c>
      <c r="N8" s="725">
        <v>0.0133</v>
      </c>
      <c r="O8" s="726">
        <f t="shared" si="2"/>
        <v>0.9268</v>
      </c>
      <c r="P8" s="725">
        <v>0.4021</v>
      </c>
      <c r="Q8" s="725">
        <v>0.1826</v>
      </c>
      <c r="R8" s="725">
        <v>0.1328</v>
      </c>
      <c r="S8" s="725">
        <v>0.0649</v>
      </c>
      <c r="T8" s="725">
        <v>0.0349</v>
      </c>
      <c r="U8" s="725">
        <v>0.0331</v>
      </c>
      <c r="V8" s="725">
        <v>0.0247</v>
      </c>
      <c r="W8" s="725">
        <v>0.023</v>
      </c>
      <c r="X8" s="725">
        <v>0.0206</v>
      </c>
      <c r="Y8" s="725">
        <v>0.0192</v>
      </c>
      <c r="Z8" s="726">
        <f t="shared" si="0"/>
        <v>0.9379</v>
      </c>
      <c r="AA8" s="728">
        <v>0.14</v>
      </c>
      <c r="AB8" s="728">
        <v>0.11</v>
      </c>
      <c r="AC8" s="727">
        <v>0.09</v>
      </c>
      <c r="AD8" s="728">
        <v>0.09</v>
      </c>
      <c r="AE8" s="728">
        <v>0.09</v>
      </c>
      <c r="AF8" s="728">
        <v>0.07</v>
      </c>
      <c r="AG8" s="728">
        <v>0.07</v>
      </c>
      <c r="AH8" s="728">
        <v>0.06</v>
      </c>
      <c r="AI8" s="728">
        <v>0.05</v>
      </c>
      <c r="AJ8" s="728">
        <v>0.03</v>
      </c>
      <c r="AK8" s="729">
        <f t="shared" si="1"/>
        <v>0.8</v>
      </c>
      <c r="AM8" s="713" t="s">
        <v>3033</v>
      </c>
      <c r="AN8" s="713">
        <v>194894</v>
      </c>
      <c r="AO8" s="721">
        <v>21002216.48</v>
      </c>
      <c r="AP8" s="730"/>
      <c r="AQ8" s="731">
        <v>386863</v>
      </c>
      <c r="AR8" s="732">
        <v>40073371.66</v>
      </c>
    </row>
    <row r="9" s="698" customFormat="1" spans="2:44">
      <c r="B9" s="715" t="s">
        <v>3030</v>
      </c>
      <c r="C9" s="716">
        <v>272023</v>
      </c>
      <c r="D9" s="717">
        <v>29737218.71</v>
      </c>
      <c r="E9" s="718" t="s">
        <v>861</v>
      </c>
      <c r="F9" s="718" t="s">
        <v>846</v>
      </c>
      <c r="G9" s="718" t="s">
        <v>872</v>
      </c>
      <c r="H9" s="718" t="s">
        <v>1059</v>
      </c>
      <c r="I9" s="718" t="s">
        <v>1152</v>
      </c>
      <c r="J9" s="718" t="s">
        <v>931</v>
      </c>
      <c r="K9" s="718" t="s">
        <v>1173</v>
      </c>
      <c r="L9" s="718" t="s">
        <v>1069</v>
      </c>
      <c r="M9" s="718" t="s">
        <v>1229</v>
      </c>
      <c r="N9" s="718" t="s">
        <v>1104</v>
      </c>
      <c r="O9" s="719"/>
      <c r="P9" s="718" t="s">
        <v>846</v>
      </c>
      <c r="Q9" s="718" t="s">
        <v>861</v>
      </c>
      <c r="R9" s="718" t="s">
        <v>872</v>
      </c>
      <c r="S9" s="718" t="s">
        <v>1059</v>
      </c>
      <c r="T9" s="718" t="s">
        <v>1229</v>
      </c>
      <c r="U9" s="718" t="s">
        <v>1152</v>
      </c>
      <c r="V9" s="718" t="s">
        <v>931</v>
      </c>
      <c r="W9" s="718" t="s">
        <v>1173</v>
      </c>
      <c r="X9" s="718" t="s">
        <v>1104</v>
      </c>
      <c r="Y9" s="718" t="s">
        <v>1631</v>
      </c>
      <c r="Z9" s="719"/>
      <c r="AA9" s="718" t="s">
        <v>931</v>
      </c>
      <c r="AB9" s="718" t="s">
        <v>872</v>
      </c>
      <c r="AC9" s="718" t="s">
        <v>1173</v>
      </c>
      <c r="AD9" s="718" t="s">
        <v>861</v>
      </c>
      <c r="AE9" s="718" t="s">
        <v>846</v>
      </c>
      <c r="AF9" s="718" t="s">
        <v>1152</v>
      </c>
      <c r="AG9" s="718" t="s">
        <v>1059</v>
      </c>
      <c r="AH9" s="718" t="s">
        <v>1069</v>
      </c>
      <c r="AI9" s="718" t="s">
        <v>1302</v>
      </c>
      <c r="AJ9" s="718" t="s">
        <v>1932</v>
      </c>
      <c r="AK9" s="720"/>
      <c r="AM9" s="713" t="s">
        <v>3034</v>
      </c>
      <c r="AN9" s="713">
        <v>468560</v>
      </c>
      <c r="AO9" s="721">
        <v>51400570.56</v>
      </c>
      <c r="AP9" s="730"/>
      <c r="AQ9" s="731"/>
      <c r="AR9" s="732"/>
    </row>
    <row r="10" s="698" customFormat="1" spans="2:44">
      <c r="B10" s="715"/>
      <c r="C10" s="716"/>
      <c r="D10" s="717"/>
      <c r="E10" s="725">
        <v>0.2364</v>
      </c>
      <c r="F10" s="725">
        <v>0.2157</v>
      </c>
      <c r="G10" s="725">
        <v>0.1284</v>
      </c>
      <c r="H10" s="725">
        <v>0.0684</v>
      </c>
      <c r="I10" s="725">
        <v>0.066</v>
      </c>
      <c r="J10" s="725">
        <v>0.0639</v>
      </c>
      <c r="K10" s="725">
        <v>0.0512</v>
      </c>
      <c r="L10" s="725">
        <v>0.0275</v>
      </c>
      <c r="M10" s="725">
        <v>0.025</v>
      </c>
      <c r="N10" s="725">
        <v>0.0163</v>
      </c>
      <c r="O10" s="726">
        <f t="shared" ref="O10:O14" si="3">SUM(E10:N10)</f>
        <v>0.8988</v>
      </c>
      <c r="P10" s="725">
        <v>0.2862</v>
      </c>
      <c r="Q10" s="725">
        <v>0.2555</v>
      </c>
      <c r="R10" s="725">
        <v>0.1157</v>
      </c>
      <c r="S10" s="725">
        <v>0.0541</v>
      </c>
      <c r="T10" s="725">
        <v>0.0456</v>
      </c>
      <c r="U10" s="725">
        <v>0.0403</v>
      </c>
      <c r="V10" s="725">
        <v>0.034</v>
      </c>
      <c r="W10" s="725">
        <v>0.0311</v>
      </c>
      <c r="X10" s="725">
        <v>0.024</v>
      </c>
      <c r="Y10" s="725">
        <v>0.018</v>
      </c>
      <c r="Z10" s="726">
        <f t="shared" ref="Z10:Z14" si="4">SUM(P10:Y10)</f>
        <v>0.9045</v>
      </c>
      <c r="AA10" s="728">
        <v>0.1</v>
      </c>
      <c r="AB10" s="728">
        <v>0.08</v>
      </c>
      <c r="AC10" s="728">
        <v>0.08</v>
      </c>
      <c r="AD10" s="727">
        <v>0.07</v>
      </c>
      <c r="AE10" s="728">
        <v>0.07</v>
      </c>
      <c r="AF10" s="728">
        <v>0.07</v>
      </c>
      <c r="AG10" s="728">
        <v>0.06</v>
      </c>
      <c r="AH10" s="728">
        <v>0.06</v>
      </c>
      <c r="AI10" s="728">
        <v>0.04</v>
      </c>
      <c r="AJ10" s="728">
        <v>0.04</v>
      </c>
      <c r="AK10" s="729">
        <f t="shared" ref="AK10:AK14" si="5">SUM(AA10:AJ10)</f>
        <v>0.67</v>
      </c>
      <c r="AM10" s="713" t="s">
        <v>3035</v>
      </c>
      <c r="AN10" s="713">
        <v>254042</v>
      </c>
      <c r="AO10" s="721">
        <v>25890816.96</v>
      </c>
      <c r="AP10" s="730"/>
      <c r="AQ10" s="731">
        <v>272023</v>
      </c>
      <c r="AR10" s="732">
        <v>29737218.71</v>
      </c>
    </row>
    <row r="11" s="698" customFormat="1" spans="2:44">
      <c r="B11" s="715" t="s">
        <v>3032</v>
      </c>
      <c r="C11" s="716">
        <v>220365</v>
      </c>
      <c r="D11" s="717">
        <v>21751296.28</v>
      </c>
      <c r="E11" s="718" t="s">
        <v>846</v>
      </c>
      <c r="F11" s="718" t="s">
        <v>861</v>
      </c>
      <c r="G11" s="718" t="s">
        <v>872</v>
      </c>
      <c r="H11" s="718" t="s">
        <v>1059</v>
      </c>
      <c r="I11" s="718" t="s">
        <v>1173</v>
      </c>
      <c r="J11" s="718" t="s">
        <v>1152</v>
      </c>
      <c r="K11" s="718" t="s">
        <v>931</v>
      </c>
      <c r="L11" s="718" t="s">
        <v>1302</v>
      </c>
      <c r="M11" s="718" t="s">
        <v>1069</v>
      </c>
      <c r="N11" s="718" t="s">
        <v>1104</v>
      </c>
      <c r="O11" s="719"/>
      <c r="P11" s="718" t="s">
        <v>846</v>
      </c>
      <c r="Q11" s="718" t="s">
        <v>861</v>
      </c>
      <c r="R11" s="718" t="s">
        <v>872</v>
      </c>
      <c r="S11" s="718" t="s">
        <v>1059</v>
      </c>
      <c r="T11" s="718" t="s">
        <v>1173</v>
      </c>
      <c r="U11" s="718" t="s">
        <v>1152</v>
      </c>
      <c r="V11" s="718" t="s">
        <v>1104</v>
      </c>
      <c r="W11" s="718" t="s">
        <v>1229</v>
      </c>
      <c r="X11" s="718" t="s">
        <v>1408</v>
      </c>
      <c r="Y11" s="718" t="s">
        <v>931</v>
      </c>
      <c r="Z11" s="719"/>
      <c r="AA11" s="718" t="s">
        <v>1059</v>
      </c>
      <c r="AB11" s="718" t="s">
        <v>846</v>
      </c>
      <c r="AC11" s="718" t="s">
        <v>872</v>
      </c>
      <c r="AD11" s="718" t="s">
        <v>1152</v>
      </c>
      <c r="AE11" s="718" t="s">
        <v>931</v>
      </c>
      <c r="AF11" s="718" t="s">
        <v>1069</v>
      </c>
      <c r="AG11" s="718" t="s">
        <v>1173</v>
      </c>
      <c r="AH11" s="718" t="s">
        <v>1408</v>
      </c>
      <c r="AI11" s="718" t="s">
        <v>1302</v>
      </c>
      <c r="AJ11" s="718" t="s">
        <v>1932</v>
      </c>
      <c r="AK11" s="729"/>
      <c r="AM11" s="713" t="s">
        <v>3036</v>
      </c>
      <c r="AN11" s="713">
        <v>205098</v>
      </c>
      <c r="AO11" s="721">
        <v>22566710.51</v>
      </c>
      <c r="AP11" s="730"/>
      <c r="AQ11" s="731"/>
      <c r="AR11" s="732"/>
    </row>
    <row r="12" s="698" customFormat="1" spans="2:44">
      <c r="B12" s="715"/>
      <c r="C12" s="716"/>
      <c r="D12" s="717"/>
      <c r="E12" s="725">
        <v>0.1918</v>
      </c>
      <c r="F12" s="725">
        <v>0.1418</v>
      </c>
      <c r="G12" s="725">
        <v>0.1407</v>
      </c>
      <c r="H12" s="725">
        <v>0.1244</v>
      </c>
      <c r="I12" s="725">
        <v>0.0781</v>
      </c>
      <c r="J12" s="725">
        <v>0.0721</v>
      </c>
      <c r="K12" s="725">
        <v>0.0343</v>
      </c>
      <c r="L12" s="725">
        <v>0.0213</v>
      </c>
      <c r="M12" s="725">
        <v>0.0205</v>
      </c>
      <c r="N12" s="725">
        <v>0.02</v>
      </c>
      <c r="O12" s="726">
        <f t="shared" si="3"/>
        <v>0.845</v>
      </c>
      <c r="P12" s="725">
        <v>0.2535</v>
      </c>
      <c r="Q12" s="725">
        <v>0.1562</v>
      </c>
      <c r="R12" s="725">
        <v>0.1516</v>
      </c>
      <c r="S12" s="725">
        <v>0.0858</v>
      </c>
      <c r="T12" s="725">
        <v>0.0556</v>
      </c>
      <c r="U12" s="725">
        <v>0.0487</v>
      </c>
      <c r="V12" s="725">
        <v>0.0331</v>
      </c>
      <c r="W12" s="725">
        <v>0.0282</v>
      </c>
      <c r="X12" s="725">
        <v>0.0243</v>
      </c>
      <c r="Y12" s="725">
        <v>0.0216</v>
      </c>
      <c r="Z12" s="726">
        <f t="shared" si="4"/>
        <v>0.8586</v>
      </c>
      <c r="AA12" s="728">
        <v>0.1</v>
      </c>
      <c r="AB12" s="727">
        <v>0.09</v>
      </c>
      <c r="AC12" s="728">
        <v>0.07</v>
      </c>
      <c r="AD12" s="728">
        <v>0.07</v>
      </c>
      <c r="AE12" s="728">
        <v>0.07</v>
      </c>
      <c r="AF12" s="728">
        <v>0.06</v>
      </c>
      <c r="AG12" s="728">
        <v>0.04</v>
      </c>
      <c r="AH12" s="728">
        <v>0.04</v>
      </c>
      <c r="AI12" s="728">
        <v>0.04</v>
      </c>
      <c r="AJ12" s="728">
        <v>0.04</v>
      </c>
      <c r="AK12" s="729">
        <f t="shared" si="5"/>
        <v>0.62</v>
      </c>
      <c r="AM12" s="713" t="s">
        <v>3037</v>
      </c>
      <c r="AN12" s="713">
        <v>309515</v>
      </c>
      <c r="AO12" s="721">
        <v>36089782.97</v>
      </c>
      <c r="AP12" s="730"/>
      <c r="AQ12" s="731">
        <v>220365</v>
      </c>
      <c r="AR12" s="732">
        <v>21751296.28</v>
      </c>
    </row>
    <row r="13" s="698" customFormat="1" spans="2:44">
      <c r="B13" s="715" t="s">
        <v>3033</v>
      </c>
      <c r="C13" s="716">
        <v>194894</v>
      </c>
      <c r="D13" s="717">
        <v>21002216.48</v>
      </c>
      <c r="E13" s="718" t="s">
        <v>861</v>
      </c>
      <c r="F13" s="718" t="s">
        <v>846</v>
      </c>
      <c r="G13" s="718" t="s">
        <v>1152</v>
      </c>
      <c r="H13" s="718" t="s">
        <v>872</v>
      </c>
      <c r="I13" s="718" t="s">
        <v>1173</v>
      </c>
      <c r="J13" s="718" t="s">
        <v>1059</v>
      </c>
      <c r="K13" s="718" t="s">
        <v>931</v>
      </c>
      <c r="L13" s="718" t="s">
        <v>1104</v>
      </c>
      <c r="M13" s="718" t="s">
        <v>1302</v>
      </c>
      <c r="N13" s="718" t="s">
        <v>1229</v>
      </c>
      <c r="O13" s="719"/>
      <c r="P13" s="718" t="s">
        <v>861</v>
      </c>
      <c r="Q13" s="718" t="s">
        <v>846</v>
      </c>
      <c r="R13" s="718" t="s">
        <v>872</v>
      </c>
      <c r="S13" s="718" t="s">
        <v>1152</v>
      </c>
      <c r="T13" s="718" t="s">
        <v>1104</v>
      </c>
      <c r="U13" s="718" t="s">
        <v>1059</v>
      </c>
      <c r="V13" s="718" t="s">
        <v>1173</v>
      </c>
      <c r="W13" s="718" t="s">
        <v>1229</v>
      </c>
      <c r="X13" s="718" t="s">
        <v>1247</v>
      </c>
      <c r="Y13" s="718" t="s">
        <v>1408</v>
      </c>
      <c r="Z13" s="719"/>
      <c r="AA13" s="718" t="s">
        <v>1059</v>
      </c>
      <c r="AB13" s="718" t="s">
        <v>846</v>
      </c>
      <c r="AC13" s="718" t="s">
        <v>1152</v>
      </c>
      <c r="AD13" s="718" t="s">
        <v>931</v>
      </c>
      <c r="AE13" s="718" t="s">
        <v>1173</v>
      </c>
      <c r="AF13" s="718" t="s">
        <v>1069</v>
      </c>
      <c r="AG13" s="718" t="s">
        <v>1247</v>
      </c>
      <c r="AH13" s="718" t="s">
        <v>1408</v>
      </c>
      <c r="AI13" s="718" t="s">
        <v>1302</v>
      </c>
      <c r="AJ13" s="718" t="s">
        <v>861</v>
      </c>
      <c r="AK13" s="720"/>
      <c r="AM13" s="713" t="s">
        <v>3038</v>
      </c>
      <c r="AN13" s="713">
        <v>359305</v>
      </c>
      <c r="AO13" s="721">
        <v>38798010.08</v>
      </c>
      <c r="AP13" s="730"/>
      <c r="AQ13" s="731"/>
      <c r="AR13" s="732"/>
    </row>
    <row r="14" s="698" customFormat="1" spans="2:44">
      <c r="B14" s="715"/>
      <c r="C14" s="716"/>
      <c r="D14" s="717"/>
      <c r="E14" s="725">
        <v>0.2577</v>
      </c>
      <c r="F14" s="725">
        <v>0.1788</v>
      </c>
      <c r="G14" s="725">
        <v>0.0821</v>
      </c>
      <c r="H14" s="725">
        <v>0.0702</v>
      </c>
      <c r="I14" s="725">
        <v>0.0625</v>
      </c>
      <c r="J14" s="725">
        <v>0.0594</v>
      </c>
      <c r="K14" s="725">
        <v>0.036</v>
      </c>
      <c r="L14" s="725">
        <v>0.028</v>
      </c>
      <c r="M14" s="725">
        <v>0.0257</v>
      </c>
      <c r="N14" s="725">
        <v>0.0217</v>
      </c>
      <c r="O14" s="726">
        <f t="shared" si="3"/>
        <v>0.8221</v>
      </c>
      <c r="P14" s="725">
        <v>0.2963</v>
      </c>
      <c r="Q14" s="725">
        <v>0.2123</v>
      </c>
      <c r="R14" s="725">
        <v>0.0722</v>
      </c>
      <c r="S14" s="725">
        <v>0.0509</v>
      </c>
      <c r="T14" s="725">
        <v>0.0429</v>
      </c>
      <c r="U14" s="725">
        <v>0.0425</v>
      </c>
      <c r="V14" s="725">
        <v>0.0387</v>
      </c>
      <c r="W14" s="725">
        <v>0.0386</v>
      </c>
      <c r="X14" s="725">
        <v>0.0258</v>
      </c>
      <c r="Y14" s="725">
        <v>0.0228</v>
      </c>
      <c r="Z14" s="726">
        <f t="shared" si="4"/>
        <v>0.843</v>
      </c>
      <c r="AA14" s="728">
        <v>0.08</v>
      </c>
      <c r="AB14" s="728">
        <v>0.07</v>
      </c>
      <c r="AC14" s="728">
        <v>0.07</v>
      </c>
      <c r="AD14" s="728">
        <v>0.07</v>
      </c>
      <c r="AE14" s="728">
        <v>0.05</v>
      </c>
      <c r="AF14" s="728">
        <v>0.05</v>
      </c>
      <c r="AG14" s="728">
        <v>0.04</v>
      </c>
      <c r="AH14" s="728">
        <v>0.04</v>
      </c>
      <c r="AI14" s="728">
        <v>0.04</v>
      </c>
      <c r="AJ14" s="727">
        <v>0.03</v>
      </c>
      <c r="AK14" s="729">
        <f t="shared" si="5"/>
        <v>0.54</v>
      </c>
      <c r="AM14" s="713" t="s">
        <v>3039</v>
      </c>
      <c r="AN14" s="713">
        <v>634836</v>
      </c>
      <c r="AO14" s="721">
        <v>75182275.47</v>
      </c>
      <c r="AP14" s="730"/>
      <c r="AQ14" s="731">
        <v>194894</v>
      </c>
      <c r="AR14" s="732">
        <v>21002216.48</v>
      </c>
    </row>
    <row r="15" s="698" customFormat="1" spans="2:44">
      <c r="B15" s="715" t="s">
        <v>3034</v>
      </c>
      <c r="C15" s="716">
        <v>468560</v>
      </c>
      <c r="D15" s="717">
        <v>51400570.56</v>
      </c>
      <c r="E15" s="718" t="s">
        <v>872</v>
      </c>
      <c r="F15" s="718" t="s">
        <v>861</v>
      </c>
      <c r="G15" s="718" t="s">
        <v>846</v>
      </c>
      <c r="H15" s="718" t="s">
        <v>1059</v>
      </c>
      <c r="I15" s="718" t="s">
        <v>1152</v>
      </c>
      <c r="J15" s="718" t="s">
        <v>1302</v>
      </c>
      <c r="K15" s="718" t="s">
        <v>1229</v>
      </c>
      <c r="L15" s="718" t="s">
        <v>1408</v>
      </c>
      <c r="M15" s="718" t="s">
        <v>1104</v>
      </c>
      <c r="N15" s="718" t="s">
        <v>1173</v>
      </c>
      <c r="O15" s="719"/>
      <c r="P15" s="718" t="s">
        <v>872</v>
      </c>
      <c r="Q15" s="718" t="s">
        <v>861</v>
      </c>
      <c r="R15" s="718" t="s">
        <v>846</v>
      </c>
      <c r="S15" s="718" t="s">
        <v>1059</v>
      </c>
      <c r="T15" s="718" t="s">
        <v>1152</v>
      </c>
      <c r="U15" s="718" t="s">
        <v>1229</v>
      </c>
      <c r="V15" s="718" t="s">
        <v>1104</v>
      </c>
      <c r="W15" s="718" t="s">
        <v>1408</v>
      </c>
      <c r="X15" s="718" t="s">
        <v>1302</v>
      </c>
      <c r="Y15" s="718" t="s">
        <v>1631</v>
      </c>
      <c r="Z15" s="719"/>
      <c r="AA15" s="718" t="s">
        <v>872</v>
      </c>
      <c r="AB15" s="718" t="s">
        <v>1059</v>
      </c>
      <c r="AC15" s="718" t="s">
        <v>846</v>
      </c>
      <c r="AD15" s="718" t="s">
        <v>861</v>
      </c>
      <c r="AE15" s="718" t="s">
        <v>1152</v>
      </c>
      <c r="AF15" s="718" t="s">
        <v>1302</v>
      </c>
      <c r="AG15" s="718" t="s">
        <v>1173</v>
      </c>
      <c r="AH15" s="718" t="s">
        <v>931</v>
      </c>
      <c r="AI15" s="718" t="s">
        <v>1408</v>
      </c>
      <c r="AJ15" s="718" t="s">
        <v>1932</v>
      </c>
      <c r="AK15" s="720"/>
      <c r="AM15" s="713">
        <v>202301</v>
      </c>
      <c r="AN15" s="713">
        <v>334176</v>
      </c>
      <c r="AO15" s="721">
        <v>39257248.32</v>
      </c>
      <c r="AP15" s="730"/>
      <c r="AQ15" s="731"/>
      <c r="AR15" s="732"/>
    </row>
    <row r="16" s="698" customFormat="1" spans="2:44">
      <c r="B16" s="715"/>
      <c r="C16" s="716"/>
      <c r="D16" s="717"/>
      <c r="E16" s="725">
        <v>0.2864</v>
      </c>
      <c r="F16" s="725">
        <v>0.2052</v>
      </c>
      <c r="G16" s="725">
        <v>0.1461</v>
      </c>
      <c r="H16" s="725">
        <v>0.1224</v>
      </c>
      <c r="I16" s="725">
        <v>0.0463</v>
      </c>
      <c r="J16" s="725">
        <v>0.024</v>
      </c>
      <c r="K16" s="725">
        <v>0.0167</v>
      </c>
      <c r="L16" s="725">
        <v>0.0157</v>
      </c>
      <c r="M16" s="725">
        <v>0.0152</v>
      </c>
      <c r="N16" s="725">
        <v>0.0145</v>
      </c>
      <c r="O16" s="726">
        <f t="shared" ref="O16:O20" si="6">SUM(E16:N16)</f>
        <v>0.8925</v>
      </c>
      <c r="P16" s="725">
        <v>0.2673</v>
      </c>
      <c r="Q16" s="725">
        <v>0.2196</v>
      </c>
      <c r="R16" s="725">
        <v>0.1905</v>
      </c>
      <c r="S16" s="725">
        <v>0.0924</v>
      </c>
      <c r="T16" s="725">
        <v>0.0281</v>
      </c>
      <c r="U16" s="725">
        <v>0.0248</v>
      </c>
      <c r="V16" s="725">
        <v>0.0229</v>
      </c>
      <c r="W16" s="725">
        <v>0.0202</v>
      </c>
      <c r="X16" s="725">
        <v>0.0185</v>
      </c>
      <c r="Y16" s="725">
        <v>0.0152</v>
      </c>
      <c r="Z16" s="726">
        <f t="shared" ref="Z16:Z20" si="7">SUM(P16:Y16)</f>
        <v>0.8995</v>
      </c>
      <c r="AA16" s="727">
        <v>0.12</v>
      </c>
      <c r="AB16" s="728">
        <v>0.1</v>
      </c>
      <c r="AC16" s="728">
        <v>0.07</v>
      </c>
      <c r="AD16" s="728">
        <v>0.06</v>
      </c>
      <c r="AE16" s="728">
        <v>0.05</v>
      </c>
      <c r="AF16" s="728">
        <v>0.04</v>
      </c>
      <c r="AG16" s="728">
        <v>0.04</v>
      </c>
      <c r="AH16" s="728">
        <v>0.04</v>
      </c>
      <c r="AI16" s="728">
        <v>0.03</v>
      </c>
      <c r="AJ16" s="728">
        <v>0.03</v>
      </c>
      <c r="AK16" s="729">
        <f t="shared" ref="AK16:AK20" si="8">SUM(AA16:AJ16)</f>
        <v>0.58</v>
      </c>
      <c r="AM16" s="713">
        <v>202302</v>
      </c>
      <c r="AN16" s="713">
        <v>329620</v>
      </c>
      <c r="AO16" s="721">
        <v>34858193.65</v>
      </c>
      <c r="AP16" s="730"/>
      <c r="AQ16" s="731">
        <v>468560</v>
      </c>
      <c r="AR16" s="732">
        <v>51400570.56</v>
      </c>
    </row>
    <row r="17" s="698" customFormat="1" spans="1:44">
      <c r="B17" s="715" t="s">
        <v>3035</v>
      </c>
      <c r="C17" s="716">
        <v>254042</v>
      </c>
      <c r="D17" s="717">
        <v>25890816.96</v>
      </c>
      <c r="E17" s="718" t="s">
        <v>872</v>
      </c>
      <c r="F17" s="718" t="s">
        <v>861</v>
      </c>
      <c r="G17" s="718" t="s">
        <v>1059</v>
      </c>
      <c r="H17" s="718" t="s">
        <v>846</v>
      </c>
      <c r="I17" s="718" t="s">
        <v>1152</v>
      </c>
      <c r="J17" s="718" t="s">
        <v>1173</v>
      </c>
      <c r="K17" s="718" t="s">
        <v>1229</v>
      </c>
      <c r="L17" s="718" t="s">
        <v>931</v>
      </c>
      <c r="M17" s="718" t="s">
        <v>1302</v>
      </c>
      <c r="N17" s="718" t="s">
        <v>1069</v>
      </c>
      <c r="O17" s="719"/>
      <c r="P17" s="718" t="s">
        <v>872</v>
      </c>
      <c r="Q17" s="718" t="s">
        <v>861</v>
      </c>
      <c r="R17" s="718" t="s">
        <v>846</v>
      </c>
      <c r="S17" s="718" t="s">
        <v>1059</v>
      </c>
      <c r="T17" s="718" t="s">
        <v>1229</v>
      </c>
      <c r="U17" s="718" t="s">
        <v>1152</v>
      </c>
      <c r="V17" s="718" t="s">
        <v>1173</v>
      </c>
      <c r="W17" s="718" t="s">
        <v>1104</v>
      </c>
      <c r="X17" s="718" t="s">
        <v>1408</v>
      </c>
      <c r="Y17" s="718" t="s">
        <v>931</v>
      </c>
      <c r="Z17" s="719"/>
      <c r="AA17" s="718" t="s">
        <v>872</v>
      </c>
      <c r="AB17" s="718" t="s">
        <v>846</v>
      </c>
      <c r="AC17" s="718" t="s">
        <v>861</v>
      </c>
      <c r="AD17" s="718" t="s">
        <v>1059</v>
      </c>
      <c r="AE17" s="718" t="s">
        <v>1173</v>
      </c>
      <c r="AF17" s="718" t="s">
        <v>1152</v>
      </c>
      <c r="AG17" s="718" t="s">
        <v>1302</v>
      </c>
      <c r="AH17" s="718" t="s">
        <v>1932</v>
      </c>
      <c r="AI17" s="718" t="s">
        <v>1069</v>
      </c>
      <c r="AJ17" s="718" t="s">
        <v>1408</v>
      </c>
      <c r="AK17" s="720"/>
      <c r="AM17" s="713">
        <v>202303</v>
      </c>
      <c r="AN17" s="713">
        <v>306466</v>
      </c>
      <c r="AO17" s="721">
        <v>34949298.31</v>
      </c>
      <c r="AP17" s="730"/>
      <c r="AQ17" s="731"/>
      <c r="AR17" s="732"/>
    </row>
    <row r="18" s="698" customFormat="1" spans="1:44">
      <c r="B18" s="715"/>
      <c r="C18" s="716"/>
      <c r="D18" s="717"/>
      <c r="E18" s="725">
        <v>0.2927</v>
      </c>
      <c r="F18" s="725">
        <v>0.1999</v>
      </c>
      <c r="G18" s="725">
        <v>0.1315</v>
      </c>
      <c r="H18" s="725">
        <v>0.1181</v>
      </c>
      <c r="I18" s="725">
        <v>0.0397</v>
      </c>
      <c r="J18" s="725">
        <v>0.025</v>
      </c>
      <c r="K18" s="725">
        <v>0.0223</v>
      </c>
      <c r="L18" s="725">
        <v>0.0208</v>
      </c>
      <c r="M18" s="725">
        <v>0.0117</v>
      </c>
      <c r="N18" s="725">
        <v>0.0113</v>
      </c>
      <c r="O18" s="726">
        <f t="shared" si="6"/>
        <v>0.873</v>
      </c>
      <c r="P18" s="725">
        <v>0.2636</v>
      </c>
      <c r="Q18" s="725">
        <v>0.2386</v>
      </c>
      <c r="R18" s="725">
        <v>0.1574</v>
      </c>
      <c r="S18" s="725">
        <v>0.0934</v>
      </c>
      <c r="T18" s="725">
        <v>0.0358</v>
      </c>
      <c r="U18" s="725">
        <v>0.0258</v>
      </c>
      <c r="V18" s="725">
        <v>0.0177</v>
      </c>
      <c r="W18" s="725">
        <v>0.0167</v>
      </c>
      <c r="X18" s="725">
        <v>0.015</v>
      </c>
      <c r="Y18" s="725">
        <v>0.0123</v>
      </c>
      <c r="Z18" s="726">
        <f t="shared" si="7"/>
        <v>0.8763</v>
      </c>
      <c r="AA18" s="727">
        <v>0.1</v>
      </c>
      <c r="AB18" s="728">
        <v>0.08</v>
      </c>
      <c r="AC18" s="728">
        <v>0.07</v>
      </c>
      <c r="AD18" s="728">
        <v>0.07</v>
      </c>
      <c r="AE18" s="728">
        <v>0.07</v>
      </c>
      <c r="AF18" s="728">
        <v>0.04</v>
      </c>
      <c r="AG18" s="728">
        <v>0.04</v>
      </c>
      <c r="AH18" s="728">
        <v>0.04</v>
      </c>
      <c r="AI18" s="728">
        <v>0.04</v>
      </c>
      <c r="AJ18" s="728">
        <v>0.03</v>
      </c>
      <c r="AK18" s="729">
        <f t="shared" si="8"/>
        <v>0.58</v>
      </c>
      <c r="AO18" s="733"/>
      <c r="AP18" s="730"/>
      <c r="AQ18" s="731">
        <v>254042</v>
      </c>
      <c r="AR18" s="732">
        <v>25890816.96</v>
      </c>
    </row>
    <row r="19" s="698" customFormat="1" spans="1:44">
      <c r="B19" s="715" t="s">
        <v>3036</v>
      </c>
      <c r="C19" s="716">
        <v>205098</v>
      </c>
      <c r="D19" s="717">
        <v>22566710.51</v>
      </c>
      <c r="E19" s="718" t="s">
        <v>846</v>
      </c>
      <c r="F19" s="718" t="s">
        <v>861</v>
      </c>
      <c r="G19" s="718" t="s">
        <v>1059</v>
      </c>
      <c r="H19" s="718" t="s">
        <v>872</v>
      </c>
      <c r="I19" s="718" t="s">
        <v>931</v>
      </c>
      <c r="J19" s="718" t="s">
        <v>3040</v>
      </c>
      <c r="K19" s="718" t="s">
        <v>1173</v>
      </c>
      <c r="L19" s="718" t="s">
        <v>1152</v>
      </c>
      <c r="M19" s="718" t="s">
        <v>1932</v>
      </c>
      <c r="N19" s="718" t="s">
        <v>1302</v>
      </c>
      <c r="O19" s="719"/>
      <c r="P19" s="718" t="s">
        <v>846</v>
      </c>
      <c r="Q19" s="718" t="s">
        <v>861</v>
      </c>
      <c r="R19" s="718" t="s">
        <v>872</v>
      </c>
      <c r="S19" s="718" t="s">
        <v>1059</v>
      </c>
      <c r="T19" s="718" t="s">
        <v>931</v>
      </c>
      <c r="U19" s="718" t="s">
        <v>1094</v>
      </c>
      <c r="V19" s="718" t="s">
        <v>1104</v>
      </c>
      <c r="W19" s="718" t="s">
        <v>3040</v>
      </c>
      <c r="X19" s="718" t="s">
        <v>1173</v>
      </c>
      <c r="Y19" s="718" t="s">
        <v>1152</v>
      </c>
      <c r="Z19" s="719"/>
      <c r="AA19" s="718" t="s">
        <v>846</v>
      </c>
      <c r="AB19" s="718" t="s">
        <v>872</v>
      </c>
      <c r="AC19" s="718" t="s">
        <v>1059</v>
      </c>
      <c r="AD19" s="718" t="s">
        <v>1173</v>
      </c>
      <c r="AE19" s="718" t="s">
        <v>861</v>
      </c>
      <c r="AF19" s="718" t="s">
        <v>931</v>
      </c>
      <c r="AG19" s="718" t="s">
        <v>1152</v>
      </c>
      <c r="AH19" s="718" t="s">
        <v>1302</v>
      </c>
      <c r="AI19" s="718" t="s">
        <v>1932</v>
      </c>
      <c r="AJ19" s="718" t="s">
        <v>1247</v>
      </c>
      <c r="AK19" s="720"/>
      <c r="AO19" s="733"/>
      <c r="AP19" s="730"/>
      <c r="AQ19" s="731"/>
      <c r="AR19" s="732"/>
    </row>
    <row r="20" s="698" customFormat="1" spans="1:44">
      <c r="B20" s="715"/>
      <c r="C20" s="716"/>
      <c r="D20" s="717"/>
      <c r="E20" s="725">
        <v>0.2102</v>
      </c>
      <c r="F20" s="725">
        <v>0.1733</v>
      </c>
      <c r="G20" s="725">
        <v>0.1677</v>
      </c>
      <c r="H20" s="725">
        <v>0.1344</v>
      </c>
      <c r="I20" s="725">
        <v>0.0613</v>
      </c>
      <c r="J20" s="725">
        <v>0.0218</v>
      </c>
      <c r="K20" s="725">
        <v>0.0203</v>
      </c>
      <c r="L20" s="725">
        <v>0.0184</v>
      </c>
      <c r="M20" s="725">
        <v>0.0159</v>
      </c>
      <c r="N20" s="725">
        <v>0.0143</v>
      </c>
      <c r="O20" s="726">
        <f t="shared" si="6"/>
        <v>0.8376</v>
      </c>
      <c r="P20" s="725">
        <v>0.2621</v>
      </c>
      <c r="Q20" s="725">
        <v>0.2002</v>
      </c>
      <c r="R20" s="725">
        <v>0.1602</v>
      </c>
      <c r="S20" s="725">
        <v>0.1125</v>
      </c>
      <c r="T20" s="725">
        <v>0.03</v>
      </c>
      <c r="U20" s="725">
        <v>0.0219</v>
      </c>
      <c r="V20" s="725">
        <v>0.02</v>
      </c>
      <c r="W20" s="725">
        <v>0.0138</v>
      </c>
      <c r="X20" s="725">
        <v>0.0134</v>
      </c>
      <c r="Y20" s="725">
        <v>0.0133</v>
      </c>
      <c r="Z20" s="726">
        <f t="shared" si="7"/>
        <v>0.8474</v>
      </c>
      <c r="AA20" s="727">
        <v>0.08</v>
      </c>
      <c r="AB20" s="728">
        <v>0.06</v>
      </c>
      <c r="AC20" s="728">
        <v>0.06</v>
      </c>
      <c r="AD20" s="728">
        <v>0.06</v>
      </c>
      <c r="AE20" s="728">
        <v>0.05</v>
      </c>
      <c r="AF20" s="728">
        <v>0.05</v>
      </c>
      <c r="AG20" s="728">
        <v>0.04</v>
      </c>
      <c r="AH20" s="728">
        <v>0.04</v>
      </c>
      <c r="AI20" s="728">
        <v>0.04</v>
      </c>
      <c r="AJ20" s="728">
        <v>0.03</v>
      </c>
      <c r="AK20" s="729">
        <f t="shared" si="8"/>
        <v>0.51</v>
      </c>
      <c r="AO20" s="733"/>
      <c r="AP20" s="730"/>
      <c r="AQ20" s="731">
        <v>205098</v>
      </c>
      <c r="AR20" s="732">
        <v>22566710.51</v>
      </c>
    </row>
    <row r="21" s="698" customFormat="1" spans="1:44">
      <c r="B21" s="715" t="s">
        <v>3037</v>
      </c>
      <c r="C21" s="716">
        <v>309515</v>
      </c>
      <c r="D21" s="717">
        <v>36089782.97</v>
      </c>
      <c r="E21" s="718" t="s">
        <v>872</v>
      </c>
      <c r="F21" s="718" t="s">
        <v>846</v>
      </c>
      <c r="G21" s="718" t="s">
        <v>861</v>
      </c>
      <c r="H21" s="718" t="s">
        <v>1059</v>
      </c>
      <c r="I21" s="718" t="s">
        <v>1229</v>
      </c>
      <c r="J21" s="718" t="s">
        <v>1069</v>
      </c>
      <c r="K21" s="718" t="s">
        <v>931</v>
      </c>
      <c r="L21" s="718" t="s">
        <v>1932</v>
      </c>
      <c r="M21" s="718" t="s">
        <v>1152</v>
      </c>
      <c r="N21" s="718" t="s">
        <v>1408</v>
      </c>
      <c r="O21" s="719"/>
      <c r="P21" s="718" t="s">
        <v>872</v>
      </c>
      <c r="Q21" s="718" t="s">
        <v>846</v>
      </c>
      <c r="R21" s="718" t="s">
        <v>861</v>
      </c>
      <c r="S21" s="718" t="s">
        <v>1059</v>
      </c>
      <c r="T21" s="718" t="s">
        <v>1229</v>
      </c>
      <c r="U21" s="718" t="s">
        <v>1408</v>
      </c>
      <c r="V21" s="718" t="s">
        <v>1094</v>
      </c>
      <c r="W21" s="718" t="s">
        <v>931</v>
      </c>
      <c r="X21" s="718" t="s">
        <v>1104</v>
      </c>
      <c r="Y21" s="718" t="s">
        <v>1152</v>
      </c>
      <c r="Z21" s="719"/>
      <c r="AA21" s="718" t="s">
        <v>1059</v>
      </c>
      <c r="AB21" s="718" t="s">
        <v>846</v>
      </c>
      <c r="AC21" s="718" t="s">
        <v>872</v>
      </c>
      <c r="AD21" s="718" t="s">
        <v>861</v>
      </c>
      <c r="AE21" s="718" t="s">
        <v>931</v>
      </c>
      <c r="AF21" s="718" t="s">
        <v>1152</v>
      </c>
      <c r="AG21" s="718" t="s">
        <v>1408</v>
      </c>
      <c r="AH21" s="718" t="s">
        <v>1302</v>
      </c>
      <c r="AI21" s="718" t="s">
        <v>1069</v>
      </c>
      <c r="AJ21" s="718" t="s">
        <v>1932</v>
      </c>
      <c r="AK21" s="720"/>
      <c r="AO21" s="733"/>
      <c r="AP21" s="730"/>
      <c r="AQ21" s="731"/>
      <c r="AR21" s="732"/>
    </row>
    <row r="22" s="698" customFormat="1" spans="1:44">
      <c r="B22" s="715"/>
      <c r="C22" s="716"/>
      <c r="D22" s="717"/>
      <c r="E22" s="725">
        <v>0.2111</v>
      </c>
      <c r="F22" s="725">
        <v>0.18</v>
      </c>
      <c r="G22" s="725">
        <v>0.1439</v>
      </c>
      <c r="H22" s="725">
        <v>0.1126</v>
      </c>
      <c r="I22" s="725">
        <v>0.0552</v>
      </c>
      <c r="J22" s="725">
        <v>0.0342</v>
      </c>
      <c r="K22" s="725">
        <v>0.0327</v>
      </c>
      <c r="L22" s="725">
        <v>0.0288</v>
      </c>
      <c r="M22" s="725">
        <v>0.0219</v>
      </c>
      <c r="N22" s="725">
        <v>0.0207</v>
      </c>
      <c r="O22" s="726">
        <f t="shared" ref="O22:O26" si="9">SUM(E22:N22)</f>
        <v>0.8411</v>
      </c>
      <c r="P22" s="725">
        <v>0.232</v>
      </c>
      <c r="Q22" s="725">
        <v>0.2151</v>
      </c>
      <c r="R22" s="725">
        <v>0.143</v>
      </c>
      <c r="S22" s="725">
        <v>0.091</v>
      </c>
      <c r="T22" s="725">
        <v>0.0794</v>
      </c>
      <c r="U22" s="725">
        <v>0.0237</v>
      </c>
      <c r="V22" s="725">
        <v>0.0187</v>
      </c>
      <c r="W22" s="725">
        <v>0.016</v>
      </c>
      <c r="X22" s="725">
        <v>0.0147</v>
      </c>
      <c r="Y22" s="725">
        <v>0.0143</v>
      </c>
      <c r="Z22" s="726">
        <f t="shared" ref="Z22:Z26" si="10">SUM(P22:Y22)</f>
        <v>0.8479</v>
      </c>
      <c r="AA22" s="728">
        <v>0.09</v>
      </c>
      <c r="AB22" s="728">
        <v>0.08</v>
      </c>
      <c r="AC22" s="727">
        <v>0.07</v>
      </c>
      <c r="AD22" s="728">
        <v>0.06</v>
      </c>
      <c r="AE22" s="728">
        <v>0.06</v>
      </c>
      <c r="AF22" s="728">
        <v>0.05</v>
      </c>
      <c r="AG22" s="728">
        <v>0.05</v>
      </c>
      <c r="AH22" s="728">
        <v>0.04</v>
      </c>
      <c r="AI22" s="728">
        <v>0.03</v>
      </c>
      <c r="AJ22" s="728">
        <v>0.03</v>
      </c>
      <c r="AK22" s="729">
        <f>SUM(AA22:AJ22)</f>
        <v>0.56</v>
      </c>
      <c r="AO22" s="733"/>
      <c r="AP22" s="730"/>
      <c r="AQ22" s="731">
        <v>309515</v>
      </c>
      <c r="AR22" s="732">
        <v>36089782.97</v>
      </c>
    </row>
    <row r="23" s="698" customFormat="1" spans="1:44">
      <c r="B23" s="715" t="s">
        <v>3038</v>
      </c>
      <c r="C23" s="716">
        <v>359305</v>
      </c>
      <c r="D23" s="717">
        <v>38798010.08</v>
      </c>
      <c r="E23" s="718" t="s">
        <v>861</v>
      </c>
      <c r="F23" s="718" t="s">
        <v>1059</v>
      </c>
      <c r="G23" s="718" t="s">
        <v>872</v>
      </c>
      <c r="H23" s="718" t="s">
        <v>846</v>
      </c>
      <c r="I23" s="718" t="s">
        <v>1173</v>
      </c>
      <c r="J23" s="718" t="s">
        <v>1932</v>
      </c>
      <c r="K23" s="718" t="s">
        <v>931</v>
      </c>
      <c r="L23" s="718" t="s">
        <v>1152</v>
      </c>
      <c r="M23" s="718" t="s">
        <v>3041</v>
      </c>
      <c r="N23" s="718" t="s">
        <v>1229</v>
      </c>
      <c r="O23" s="719"/>
      <c r="P23" s="718" t="s">
        <v>861</v>
      </c>
      <c r="Q23" s="718" t="s">
        <v>846</v>
      </c>
      <c r="R23" s="718" t="s">
        <v>872</v>
      </c>
      <c r="S23" s="718" t="s">
        <v>1059</v>
      </c>
      <c r="T23" s="718" t="s">
        <v>1173</v>
      </c>
      <c r="U23" s="718" t="s">
        <v>1229</v>
      </c>
      <c r="V23" s="718" t="s">
        <v>931</v>
      </c>
      <c r="W23" s="718" t="s">
        <v>1152</v>
      </c>
      <c r="X23" s="718" t="s">
        <v>1141</v>
      </c>
      <c r="Y23" s="718" t="s">
        <v>1104</v>
      </c>
      <c r="Z23" s="719"/>
      <c r="AA23" s="718" t="s">
        <v>1059</v>
      </c>
      <c r="AB23" s="718" t="s">
        <v>861</v>
      </c>
      <c r="AC23" s="718" t="s">
        <v>1173</v>
      </c>
      <c r="AD23" s="718" t="s">
        <v>846</v>
      </c>
      <c r="AE23" s="718" t="s">
        <v>872</v>
      </c>
      <c r="AF23" s="718" t="s">
        <v>931</v>
      </c>
      <c r="AG23" s="718" t="s">
        <v>3040</v>
      </c>
      <c r="AH23" s="718" t="s">
        <v>1932</v>
      </c>
      <c r="AI23" s="718" t="s">
        <v>1152</v>
      </c>
      <c r="AJ23" s="718" t="s">
        <v>3041</v>
      </c>
      <c r="AK23" s="720"/>
      <c r="AO23" s="733"/>
      <c r="AP23" s="730"/>
      <c r="AQ23" s="731"/>
      <c r="AR23" s="732"/>
    </row>
    <row r="24" s="698" customFormat="1" spans="1:44">
      <c r="B24" s="715"/>
      <c r="C24" s="716"/>
      <c r="D24" s="717"/>
      <c r="E24" s="725">
        <v>0.2084</v>
      </c>
      <c r="F24" s="725">
        <v>0.186</v>
      </c>
      <c r="G24" s="725">
        <v>0.17</v>
      </c>
      <c r="H24" s="725">
        <v>0.169</v>
      </c>
      <c r="I24" s="725">
        <v>0.0323</v>
      </c>
      <c r="J24" s="725">
        <v>0.0273</v>
      </c>
      <c r="K24" s="725">
        <v>0.0264</v>
      </c>
      <c r="L24" s="725">
        <v>0.0197</v>
      </c>
      <c r="M24" s="725">
        <v>0.0191</v>
      </c>
      <c r="N24" s="725">
        <v>0.0139</v>
      </c>
      <c r="O24" s="726">
        <f t="shared" si="9"/>
        <v>0.8721</v>
      </c>
      <c r="P24" s="725">
        <v>0.2437</v>
      </c>
      <c r="Q24" s="725">
        <v>0.2093</v>
      </c>
      <c r="R24" s="725">
        <v>0.1855</v>
      </c>
      <c r="S24" s="725">
        <v>0.1464</v>
      </c>
      <c r="T24" s="725">
        <v>0.022</v>
      </c>
      <c r="U24" s="725">
        <v>0.0211</v>
      </c>
      <c r="V24" s="725">
        <v>0.0159</v>
      </c>
      <c r="W24" s="725">
        <v>0.0126</v>
      </c>
      <c r="X24" s="725">
        <v>0.0125</v>
      </c>
      <c r="Y24" s="725">
        <v>0.0117</v>
      </c>
      <c r="Z24" s="726">
        <f t="shared" si="10"/>
        <v>0.8807</v>
      </c>
      <c r="AA24" s="728">
        <v>0.11</v>
      </c>
      <c r="AB24" s="727">
        <v>0.09</v>
      </c>
      <c r="AC24" s="728">
        <v>0.09</v>
      </c>
      <c r="AD24" s="728">
        <v>0.08</v>
      </c>
      <c r="AE24" s="728">
        <v>0.07</v>
      </c>
      <c r="AF24" s="728">
        <v>0.05</v>
      </c>
      <c r="AG24" s="728">
        <v>0.04</v>
      </c>
      <c r="AH24" s="728">
        <v>0.03</v>
      </c>
      <c r="AI24" s="728">
        <v>0.03</v>
      </c>
      <c r="AJ24" s="728">
        <v>0.03</v>
      </c>
      <c r="AK24" s="729">
        <f t="shared" ref="AK22:AK26" si="11">SUM(AA24:AJ24)</f>
        <v>0.62</v>
      </c>
      <c r="AO24" s="733"/>
      <c r="AP24" s="730"/>
      <c r="AQ24" s="731">
        <v>359305</v>
      </c>
      <c r="AR24" s="732">
        <v>38798010.08</v>
      </c>
    </row>
    <row r="25" s="698" customFormat="1" spans="1:44">
      <c r="B25" s="715">
        <v>202212</v>
      </c>
      <c r="C25" s="716">
        <v>634836</v>
      </c>
      <c r="D25" s="717">
        <v>75182275.47</v>
      </c>
      <c r="E25" s="718" t="s">
        <v>872</v>
      </c>
      <c r="F25" s="718" t="s">
        <v>846</v>
      </c>
      <c r="G25" s="718" t="s">
        <v>861</v>
      </c>
      <c r="H25" s="718" t="s">
        <v>1059</v>
      </c>
      <c r="I25" s="718" t="s">
        <v>931</v>
      </c>
      <c r="J25" s="718" t="s">
        <v>1173</v>
      </c>
      <c r="K25" s="718" t="s">
        <v>1069</v>
      </c>
      <c r="L25" s="718" t="s">
        <v>942</v>
      </c>
      <c r="M25" s="718" t="s">
        <v>1152</v>
      </c>
      <c r="N25" s="718" t="s">
        <v>1408</v>
      </c>
      <c r="O25" s="719"/>
      <c r="P25" s="718" t="s">
        <v>872</v>
      </c>
      <c r="Q25" s="718" t="s">
        <v>846</v>
      </c>
      <c r="R25" s="718" t="s">
        <v>861</v>
      </c>
      <c r="S25" s="718" t="s">
        <v>1059</v>
      </c>
      <c r="T25" s="718" t="s">
        <v>931</v>
      </c>
      <c r="U25" s="718" t="s">
        <v>1173</v>
      </c>
      <c r="V25" s="718" t="s">
        <v>1069</v>
      </c>
      <c r="W25" s="718" t="s">
        <v>942</v>
      </c>
      <c r="X25" s="718" t="s">
        <v>1152</v>
      </c>
      <c r="Y25" s="718" t="s">
        <v>1408</v>
      </c>
      <c r="Z25" s="719"/>
      <c r="AA25" s="718" t="s">
        <v>846</v>
      </c>
      <c r="AB25" s="718" t="s">
        <v>872</v>
      </c>
      <c r="AC25" s="718" t="s">
        <v>861</v>
      </c>
      <c r="AD25" s="718" t="s">
        <v>1059</v>
      </c>
      <c r="AE25" s="718" t="s">
        <v>1173</v>
      </c>
      <c r="AF25" s="718" t="s">
        <v>931</v>
      </c>
      <c r="AG25" s="718" t="s">
        <v>1152</v>
      </c>
      <c r="AH25" s="718" t="s">
        <v>1408</v>
      </c>
      <c r="AI25" s="718" t="s">
        <v>1069</v>
      </c>
      <c r="AJ25" s="718" t="s">
        <v>3042</v>
      </c>
      <c r="AK25" s="720"/>
      <c r="AO25" s="733"/>
      <c r="AP25" s="730"/>
      <c r="AQ25" s="731"/>
      <c r="AR25" s="732"/>
    </row>
    <row r="26" s="698" customFormat="1" spans="1:44">
      <c r="B26" s="715"/>
      <c r="C26" s="716"/>
      <c r="D26" s="717"/>
      <c r="E26" s="725">
        <v>0.3299</v>
      </c>
      <c r="F26" s="725">
        <v>0.2021</v>
      </c>
      <c r="G26" s="725">
        <v>0.0896</v>
      </c>
      <c r="H26" s="725">
        <v>0.0647</v>
      </c>
      <c r="I26" s="725">
        <v>0.0591</v>
      </c>
      <c r="J26" s="725">
        <v>0.0362</v>
      </c>
      <c r="K26" s="725">
        <v>0.0262</v>
      </c>
      <c r="L26" s="725">
        <v>0.0253</v>
      </c>
      <c r="M26" s="725">
        <v>0.0171</v>
      </c>
      <c r="N26" s="725">
        <v>0.0107</v>
      </c>
      <c r="O26" s="726">
        <f t="shared" si="9"/>
        <v>0.8609</v>
      </c>
      <c r="P26" s="725">
        <v>0.3923</v>
      </c>
      <c r="Q26" s="725">
        <v>0.2488</v>
      </c>
      <c r="R26" s="725">
        <v>0.1106</v>
      </c>
      <c r="S26" s="725">
        <v>0.0357</v>
      </c>
      <c r="T26" s="725">
        <v>0.0278</v>
      </c>
      <c r="U26" s="725">
        <v>0.0189</v>
      </c>
      <c r="V26" s="725">
        <v>0.0146</v>
      </c>
      <c r="W26" s="725">
        <v>0.012</v>
      </c>
      <c r="X26" s="725">
        <v>0.0119</v>
      </c>
      <c r="Y26" s="725">
        <v>0.0114</v>
      </c>
      <c r="Z26" s="726">
        <f t="shared" si="10"/>
        <v>0.884</v>
      </c>
      <c r="AA26" s="728">
        <v>0.12</v>
      </c>
      <c r="AB26" s="727">
        <v>0.08</v>
      </c>
      <c r="AC26" s="728">
        <v>0.08</v>
      </c>
      <c r="AD26" s="728">
        <v>0.06</v>
      </c>
      <c r="AE26" s="728">
        <v>0.06</v>
      </c>
      <c r="AF26" s="728">
        <v>0.05</v>
      </c>
      <c r="AG26" s="728">
        <v>0.04</v>
      </c>
      <c r="AH26" s="728">
        <v>0.04</v>
      </c>
      <c r="AI26" s="728">
        <v>0.03</v>
      </c>
      <c r="AJ26" s="728">
        <v>0.03</v>
      </c>
      <c r="AK26" s="729">
        <f t="shared" si="11"/>
        <v>0.59</v>
      </c>
      <c r="AO26" s="733"/>
      <c r="AP26" s="730"/>
      <c r="AQ26" s="731">
        <v>634836</v>
      </c>
      <c r="AR26" s="732">
        <v>75182275.47</v>
      </c>
    </row>
    <row r="27" s="698" customFormat="1" spans="1:44">
      <c r="A27" s="734">
        <f>(C27-C3)/C3</f>
        <v>-0.590320975061971</v>
      </c>
      <c r="B27" s="715">
        <v>202301</v>
      </c>
      <c r="C27" s="716">
        <v>334176</v>
      </c>
      <c r="D27" s="717">
        <v>39257248.32</v>
      </c>
      <c r="E27" s="718" t="s">
        <v>872</v>
      </c>
      <c r="F27" s="718" t="s">
        <v>846</v>
      </c>
      <c r="G27" s="718" t="s">
        <v>861</v>
      </c>
      <c r="H27" s="718" t="s">
        <v>1059</v>
      </c>
      <c r="I27" s="718" t="s">
        <v>931</v>
      </c>
      <c r="J27" s="718" t="s">
        <v>1173</v>
      </c>
      <c r="K27" s="718" t="s">
        <v>942</v>
      </c>
      <c r="L27" s="718" t="s">
        <v>1152</v>
      </c>
      <c r="M27" s="718" t="s">
        <v>1069</v>
      </c>
      <c r="N27" s="718" t="s">
        <v>971</v>
      </c>
      <c r="O27" s="726"/>
      <c r="P27" s="718" t="s">
        <v>872</v>
      </c>
      <c r="Q27" s="718" t="s">
        <v>846</v>
      </c>
      <c r="R27" s="718" t="s">
        <v>861</v>
      </c>
      <c r="S27" s="718" t="s">
        <v>1059</v>
      </c>
      <c r="T27" s="718" t="s">
        <v>931</v>
      </c>
      <c r="U27" s="718" t="s">
        <v>1173</v>
      </c>
      <c r="V27" s="718" t="s">
        <v>1026</v>
      </c>
      <c r="W27" s="718" t="s">
        <v>1152</v>
      </c>
      <c r="X27" s="718" t="s">
        <v>1094</v>
      </c>
      <c r="Y27" s="718" t="s">
        <v>1104</v>
      </c>
      <c r="Z27" s="726"/>
      <c r="AA27" s="718" t="s">
        <v>846</v>
      </c>
      <c r="AB27" s="718" t="s">
        <v>1059</v>
      </c>
      <c r="AC27" s="718" t="s">
        <v>872</v>
      </c>
      <c r="AD27" s="718" t="s">
        <v>861</v>
      </c>
      <c r="AE27" s="718" t="s">
        <v>1173</v>
      </c>
      <c r="AF27" s="718" t="s">
        <v>931</v>
      </c>
      <c r="AG27" s="718" t="s">
        <v>1152</v>
      </c>
      <c r="AH27" s="718" t="s">
        <v>1247</v>
      </c>
      <c r="AI27" s="718" t="s">
        <v>1302</v>
      </c>
      <c r="AJ27" s="718" t="s">
        <v>1069</v>
      </c>
      <c r="AK27" s="729"/>
      <c r="AO27" s="733"/>
      <c r="AP27" s="730"/>
      <c r="AQ27" s="731"/>
      <c r="AR27" s="732"/>
    </row>
    <row r="28" s="698" customFormat="1" spans="1:44">
      <c r="B28" s="715"/>
      <c r="C28" s="716"/>
      <c r="D28" s="717"/>
      <c r="E28" s="725">
        <v>0.2218</v>
      </c>
      <c r="F28" s="725">
        <v>0.208</v>
      </c>
      <c r="G28" s="725">
        <v>0.1741</v>
      </c>
      <c r="H28" s="725">
        <v>0.0879</v>
      </c>
      <c r="I28" s="725">
        <v>0.0494</v>
      </c>
      <c r="J28" s="725">
        <v>0.0342</v>
      </c>
      <c r="K28" s="725">
        <v>0.026</v>
      </c>
      <c r="L28" s="725">
        <v>0.0234</v>
      </c>
      <c r="M28" s="725">
        <v>0.0138</v>
      </c>
      <c r="N28" s="725">
        <v>0.0134</v>
      </c>
      <c r="O28" s="726">
        <f t="shared" ref="O28:O32" si="12">SUM(E28:N28)</f>
        <v>0.852</v>
      </c>
      <c r="P28" s="725">
        <v>0.273</v>
      </c>
      <c r="Q28" s="725">
        <v>0.2549</v>
      </c>
      <c r="R28" s="725">
        <v>0.1788</v>
      </c>
      <c r="S28" s="725">
        <v>0.0691</v>
      </c>
      <c r="T28" s="725">
        <v>0.0274</v>
      </c>
      <c r="U28" s="725">
        <v>0.021</v>
      </c>
      <c r="V28" s="725">
        <v>0.0149</v>
      </c>
      <c r="W28" s="725">
        <v>0.0147</v>
      </c>
      <c r="X28" s="725">
        <v>0.0147</v>
      </c>
      <c r="Y28" s="725">
        <v>0.0139</v>
      </c>
      <c r="Z28" s="726">
        <f t="shared" ref="Z28:Z32" si="13">SUM(P28:Y28)</f>
        <v>0.8824</v>
      </c>
      <c r="AA28" s="728">
        <v>0.12</v>
      </c>
      <c r="AB28" s="728">
        <v>0.11</v>
      </c>
      <c r="AC28" s="727">
        <v>0.09</v>
      </c>
      <c r="AD28" s="728">
        <v>0.08</v>
      </c>
      <c r="AE28" s="728">
        <v>0.06</v>
      </c>
      <c r="AF28" s="728">
        <v>0.05</v>
      </c>
      <c r="AG28" s="728">
        <v>0.04</v>
      </c>
      <c r="AH28" s="728">
        <v>0.03</v>
      </c>
      <c r="AI28" s="728">
        <v>0.03</v>
      </c>
      <c r="AJ28" s="728">
        <v>0.02</v>
      </c>
      <c r="AK28" s="729">
        <f t="shared" ref="AK28:AK32" si="14">SUM(AA28:AJ28)</f>
        <v>0.63</v>
      </c>
      <c r="AO28" s="733"/>
      <c r="AP28" s="730"/>
      <c r="AQ28" s="731">
        <v>334176</v>
      </c>
      <c r="AR28" s="732">
        <v>39257248.32</v>
      </c>
    </row>
    <row r="29" s="699" customFormat="1" spans="1:44">
      <c r="B29" s="715">
        <v>202302</v>
      </c>
      <c r="C29" s="716">
        <v>329620</v>
      </c>
      <c r="D29" s="717">
        <v>34858193.65</v>
      </c>
      <c r="E29" s="718" t="s">
        <v>861</v>
      </c>
      <c r="F29" s="718" t="s">
        <v>846</v>
      </c>
      <c r="G29" s="718" t="s">
        <v>872</v>
      </c>
      <c r="H29" s="718" t="s">
        <v>1059</v>
      </c>
      <c r="I29" s="718" t="s">
        <v>1173</v>
      </c>
      <c r="J29" s="718" t="s">
        <v>942</v>
      </c>
      <c r="K29" s="718" t="s">
        <v>971</v>
      </c>
      <c r="L29" s="718" t="s">
        <v>931</v>
      </c>
      <c r="M29" s="718" t="s">
        <v>1152</v>
      </c>
      <c r="N29" s="718" t="s">
        <v>1069</v>
      </c>
      <c r="O29" s="726"/>
      <c r="P29" s="718" t="s">
        <v>846</v>
      </c>
      <c r="Q29" s="718" t="s">
        <v>861</v>
      </c>
      <c r="R29" s="718" t="s">
        <v>872</v>
      </c>
      <c r="S29" s="718" t="s">
        <v>1059</v>
      </c>
      <c r="T29" s="718" t="s">
        <v>1173</v>
      </c>
      <c r="U29" s="718" t="s">
        <v>1094</v>
      </c>
      <c r="V29" s="718" t="s">
        <v>971</v>
      </c>
      <c r="W29" s="718" t="s">
        <v>1026</v>
      </c>
      <c r="X29" s="718" t="s">
        <v>931</v>
      </c>
      <c r="Y29" s="718" t="s">
        <v>1631</v>
      </c>
      <c r="Z29" s="726"/>
      <c r="AA29" s="718" t="s">
        <v>1059</v>
      </c>
      <c r="AB29" s="718" t="s">
        <v>846</v>
      </c>
      <c r="AC29" s="718" t="s">
        <v>861</v>
      </c>
      <c r="AD29" s="718" t="s">
        <v>1173</v>
      </c>
      <c r="AE29" s="718" t="s">
        <v>971</v>
      </c>
      <c r="AF29" s="718" t="s">
        <v>931</v>
      </c>
      <c r="AG29" s="718" t="s">
        <v>954</v>
      </c>
      <c r="AH29" s="718" t="s">
        <v>872</v>
      </c>
      <c r="AI29" s="718" t="s">
        <v>1152</v>
      </c>
      <c r="AJ29" s="718" t="s">
        <v>1408</v>
      </c>
      <c r="AK29" s="729"/>
      <c r="AO29" s="733"/>
      <c r="AP29" s="730"/>
      <c r="AQ29" s="731"/>
      <c r="AR29" s="732"/>
    </row>
    <row r="30" s="699" customFormat="1" spans="1:44">
      <c r="B30" s="715"/>
      <c r="C30" s="716"/>
      <c r="D30" s="717"/>
      <c r="E30" s="725">
        <v>0.2704</v>
      </c>
      <c r="F30" s="725">
        <v>0.2017</v>
      </c>
      <c r="G30" s="725">
        <v>0.1421</v>
      </c>
      <c r="H30" s="725">
        <v>0.0532</v>
      </c>
      <c r="I30" s="725">
        <v>0.0532</v>
      </c>
      <c r="J30" s="725">
        <v>0.0277</v>
      </c>
      <c r="K30" s="725">
        <v>0.0266</v>
      </c>
      <c r="L30" s="725">
        <v>0.0259</v>
      </c>
      <c r="M30" s="725">
        <v>0.0171</v>
      </c>
      <c r="N30" s="725">
        <v>0.0136</v>
      </c>
      <c r="O30" s="726">
        <f t="shared" si="12"/>
        <v>0.8315</v>
      </c>
      <c r="P30" s="725">
        <v>0.2668</v>
      </c>
      <c r="Q30" s="725">
        <v>0.2664</v>
      </c>
      <c r="R30" s="725">
        <v>0.1463</v>
      </c>
      <c r="S30" s="725">
        <v>0.0416</v>
      </c>
      <c r="T30" s="725">
        <v>0.0338</v>
      </c>
      <c r="U30" s="725">
        <v>0.0288</v>
      </c>
      <c r="V30" s="725">
        <v>0.0264</v>
      </c>
      <c r="W30" s="725">
        <v>0.0246</v>
      </c>
      <c r="X30" s="725">
        <v>0.0153</v>
      </c>
      <c r="Y30" s="725">
        <v>0.0131</v>
      </c>
      <c r="Z30" s="726">
        <f t="shared" si="13"/>
        <v>0.8631</v>
      </c>
      <c r="AA30" s="728">
        <v>0.11</v>
      </c>
      <c r="AB30" s="728">
        <v>0.1</v>
      </c>
      <c r="AC30" s="727">
        <v>0.09</v>
      </c>
      <c r="AD30" s="728">
        <v>0.06</v>
      </c>
      <c r="AE30" s="728">
        <v>0.04</v>
      </c>
      <c r="AF30" s="728">
        <v>0.04</v>
      </c>
      <c r="AG30" s="728">
        <v>0.04</v>
      </c>
      <c r="AH30" s="728">
        <v>0.03</v>
      </c>
      <c r="AI30" s="728">
        <v>0.03</v>
      </c>
      <c r="AJ30" s="728">
        <v>0.03</v>
      </c>
      <c r="AK30" s="729">
        <f t="shared" si="14"/>
        <v>0.57</v>
      </c>
      <c r="AO30" s="733"/>
      <c r="AP30" s="730"/>
      <c r="AQ30" s="731">
        <v>329620</v>
      </c>
      <c r="AR30" s="732">
        <v>34858193.65</v>
      </c>
    </row>
    <row r="31" s="699" customFormat="1" spans="1:44">
      <c r="B31" s="715">
        <v>202303</v>
      </c>
      <c r="C31" s="735">
        <v>306466</v>
      </c>
      <c r="D31" s="717">
        <v>34949298.31</v>
      </c>
      <c r="E31" s="718" t="s">
        <v>846</v>
      </c>
      <c r="F31" s="718" t="s">
        <v>861</v>
      </c>
      <c r="G31" s="718" t="s">
        <v>872</v>
      </c>
      <c r="H31" s="718" t="s">
        <v>1059</v>
      </c>
      <c r="I31" s="718" t="s">
        <v>954</v>
      </c>
      <c r="J31" s="718" t="s">
        <v>971</v>
      </c>
      <c r="K31" s="718" t="s">
        <v>931</v>
      </c>
      <c r="L31" s="718" t="s">
        <v>942</v>
      </c>
      <c r="M31" s="718" t="s">
        <v>1173</v>
      </c>
      <c r="N31" s="718" t="s">
        <v>1152</v>
      </c>
      <c r="O31" s="726"/>
      <c r="P31" s="718" t="s">
        <v>846</v>
      </c>
      <c r="Q31" s="718" t="s">
        <v>861</v>
      </c>
      <c r="R31" s="718" t="s">
        <v>872</v>
      </c>
      <c r="S31" s="718" t="s">
        <v>971</v>
      </c>
      <c r="T31" s="718" t="s">
        <v>1059</v>
      </c>
      <c r="U31" s="718" t="s">
        <v>1026</v>
      </c>
      <c r="V31" s="718" t="s">
        <v>954</v>
      </c>
      <c r="W31" s="718" t="s">
        <v>1094</v>
      </c>
      <c r="X31" s="718" t="s">
        <v>1152</v>
      </c>
      <c r="Y31" s="718" t="s">
        <v>1173</v>
      </c>
      <c r="Z31" s="726"/>
      <c r="AA31" s="718" t="s">
        <v>846</v>
      </c>
      <c r="AB31" s="718" t="s">
        <v>861</v>
      </c>
      <c r="AC31" s="718" t="s">
        <v>1059</v>
      </c>
      <c r="AD31" s="718" t="s">
        <v>1173</v>
      </c>
      <c r="AE31" s="718" t="s">
        <v>971</v>
      </c>
      <c r="AF31" s="718" t="s">
        <v>1152</v>
      </c>
      <c r="AG31" s="718" t="s">
        <v>872</v>
      </c>
      <c r="AH31" s="718" t="s">
        <v>954</v>
      </c>
      <c r="AI31" s="718" t="s">
        <v>931</v>
      </c>
      <c r="AJ31" s="718" t="s">
        <v>1069</v>
      </c>
      <c r="AK31" s="729"/>
      <c r="AO31" s="733"/>
      <c r="AP31" s="730"/>
      <c r="AQ31" s="731"/>
      <c r="AR31" s="732"/>
    </row>
    <row r="32" s="699" customFormat="1" ht="17.25" spans="1:44">
      <c r="B32" s="736"/>
      <c r="C32" s="737"/>
      <c r="D32" s="738"/>
      <c r="E32" s="739">
        <v>0.2384</v>
      </c>
      <c r="F32" s="739">
        <v>0.1899</v>
      </c>
      <c r="G32" s="739">
        <v>0.1588</v>
      </c>
      <c r="H32" s="739">
        <v>0.0402</v>
      </c>
      <c r="I32" s="740">
        <v>0.0376</v>
      </c>
      <c r="J32" s="740">
        <v>0.0298</v>
      </c>
      <c r="K32" s="740">
        <v>0.0283</v>
      </c>
      <c r="L32" s="740">
        <v>0.0281</v>
      </c>
      <c r="M32" s="740">
        <v>0.0227</v>
      </c>
      <c r="N32" s="740">
        <v>0.0226</v>
      </c>
      <c r="O32" s="741">
        <f t="shared" si="12"/>
        <v>0.7964</v>
      </c>
      <c r="P32" s="740">
        <v>0.2859</v>
      </c>
      <c r="Q32" s="740">
        <v>0.2142</v>
      </c>
      <c r="R32" s="740">
        <v>0.1909</v>
      </c>
      <c r="S32" s="740">
        <v>0.0316</v>
      </c>
      <c r="T32" s="740">
        <v>0.0294</v>
      </c>
      <c r="U32" s="740">
        <v>0.0261</v>
      </c>
      <c r="V32" s="740">
        <v>0.0213</v>
      </c>
      <c r="W32" s="740">
        <v>0.0186</v>
      </c>
      <c r="X32" s="740">
        <v>0.0171</v>
      </c>
      <c r="Y32" s="740">
        <v>0.0158</v>
      </c>
      <c r="Z32" s="741">
        <f>SUM(P32:Y32)</f>
        <v>0.8509</v>
      </c>
      <c r="AA32" s="742">
        <v>0.09</v>
      </c>
      <c r="AB32" s="743">
        <v>0.09</v>
      </c>
      <c r="AC32" s="744">
        <v>0.07</v>
      </c>
      <c r="AD32" s="744">
        <v>0.06</v>
      </c>
      <c r="AE32" s="744">
        <v>0.05</v>
      </c>
      <c r="AF32" s="744">
        <v>0.05</v>
      </c>
      <c r="AG32" s="744">
        <v>0.04</v>
      </c>
      <c r="AH32" s="744">
        <v>0.04</v>
      </c>
      <c r="AI32" s="744">
        <v>0.03</v>
      </c>
      <c r="AJ32" s="744">
        <v>0.03</v>
      </c>
      <c r="AK32" s="745">
        <f>SUM(AA32:AJ32)</f>
        <v>0.55</v>
      </c>
      <c r="AM32" s="699">
        <f>AK4-AK32</f>
        <v>0.3</v>
      </c>
      <c r="AN32" s="699">
        <f>AM32/AK4</f>
        <v>0.352941176470588</v>
      </c>
      <c r="AO32" s="733"/>
      <c r="AP32" s="746"/>
      <c r="AQ32" s="747">
        <v>306466</v>
      </c>
      <c r="AR32" s="732">
        <v>34949298.31</v>
      </c>
    </row>
    <row r="33" ht="17.25" spans="2:44">
      <c r="B33" s="748" t="s">
        <v>3043</v>
      </c>
      <c r="C33" s="749">
        <f>SUM(C3:C26)</f>
        <v>4784332</v>
      </c>
      <c r="D33" s="750">
        <f>SUM(D3:D26)</f>
        <v>510502541.78</v>
      </c>
      <c r="E33" s="751"/>
      <c r="F33" s="752"/>
      <c r="G33" s="752"/>
      <c r="H33" s="752"/>
      <c r="I33" s="753" t="s">
        <v>3044</v>
      </c>
      <c r="J33" s="754"/>
      <c r="K33" s="754"/>
      <c r="L33" s="754"/>
      <c r="M33" s="754"/>
      <c r="N33" s="754"/>
      <c r="O33" s="754"/>
      <c r="P33" s="754"/>
      <c r="Q33" s="754"/>
      <c r="R33" s="754"/>
      <c r="S33" s="754"/>
      <c r="T33" s="754"/>
      <c r="U33" s="754"/>
      <c r="V33" s="754"/>
      <c r="W33" s="754"/>
      <c r="X33" s="754"/>
      <c r="Y33" s="754"/>
      <c r="Z33" s="754"/>
      <c r="AA33" s="754"/>
      <c r="AB33" s="755"/>
      <c r="AO33" s="756"/>
      <c r="AP33" s="757"/>
      <c r="AQ33" s="758"/>
      <c r="AR33" s="738"/>
    </row>
    <row r="34" spans="2:44">
      <c r="B34" s="759" t="s">
        <v>3045</v>
      </c>
      <c r="C34" s="760"/>
      <c r="D34" s="760"/>
      <c r="E34" s="760"/>
      <c r="F34" s="760"/>
      <c r="G34" s="760"/>
      <c r="H34" s="760"/>
      <c r="I34" s="761" t="s">
        <v>3046</v>
      </c>
      <c r="J34" s="762" t="s">
        <v>815</v>
      </c>
      <c r="K34" s="763" t="s">
        <v>3047</v>
      </c>
      <c r="L34" s="764" t="s">
        <v>3048</v>
      </c>
      <c r="M34" s="762" t="s">
        <v>3049</v>
      </c>
      <c r="N34" s="762" t="s">
        <v>3050</v>
      </c>
      <c r="O34" s="762"/>
      <c r="P34" s="762"/>
      <c r="Q34" s="762"/>
      <c r="R34" s="762"/>
      <c r="S34" s="762"/>
      <c r="T34" s="762"/>
      <c r="U34" s="762"/>
      <c r="V34" s="762"/>
      <c r="W34" s="762"/>
      <c r="X34" s="762"/>
      <c r="Y34" s="762"/>
      <c r="Z34" s="762" t="s">
        <v>3051</v>
      </c>
      <c r="AA34" s="762"/>
      <c r="AB34" s="765"/>
    </row>
    <row r="35" spans="2:44">
      <c r="B35" s="766"/>
      <c r="C35" s="713"/>
      <c r="D35" s="713"/>
      <c r="E35" s="713"/>
      <c r="F35" s="713"/>
      <c r="G35" s="713"/>
      <c r="H35" s="713"/>
      <c r="I35" s="767">
        <v>1</v>
      </c>
      <c r="J35" s="768" t="s">
        <v>846</v>
      </c>
      <c r="K35" s="763" t="s">
        <v>867</v>
      </c>
      <c r="L35" s="763" t="s">
        <v>3052</v>
      </c>
      <c r="M35" s="763" t="s">
        <v>997</v>
      </c>
      <c r="N35" s="769" t="s">
        <v>3053</v>
      </c>
      <c r="O35" s="769"/>
      <c r="P35" s="769"/>
      <c r="Q35" s="769"/>
      <c r="R35" s="769"/>
      <c r="S35" s="769"/>
      <c r="T35" s="769"/>
      <c r="U35" s="769"/>
      <c r="V35" s="769"/>
      <c r="W35" s="769"/>
      <c r="X35" s="769"/>
      <c r="Y35" s="769"/>
      <c r="Z35" s="770" t="s">
        <v>3054</v>
      </c>
      <c r="AA35" s="771"/>
      <c r="AB35" s="772"/>
    </row>
    <row r="36" spans="2:44">
      <c r="B36" s="766"/>
      <c r="C36" s="713"/>
      <c r="D36" s="713"/>
      <c r="E36" s="713"/>
      <c r="F36" s="713"/>
      <c r="G36" s="713"/>
      <c r="H36" s="713"/>
      <c r="I36" s="767">
        <v>2</v>
      </c>
      <c r="J36" s="768" t="s">
        <v>861</v>
      </c>
      <c r="K36" s="763" t="s">
        <v>867</v>
      </c>
      <c r="L36" s="763" t="s">
        <v>3052</v>
      </c>
      <c r="M36" s="763" t="s">
        <v>997</v>
      </c>
      <c r="N36" s="769" t="s">
        <v>3055</v>
      </c>
      <c r="O36" s="769"/>
      <c r="P36" s="769"/>
      <c r="Q36" s="769"/>
      <c r="R36" s="769"/>
      <c r="S36" s="769"/>
      <c r="T36" s="769"/>
      <c r="U36" s="769"/>
      <c r="V36" s="769"/>
      <c r="W36" s="769"/>
      <c r="X36" s="769"/>
      <c r="Y36" s="769"/>
      <c r="Z36" s="770" t="s">
        <v>3056</v>
      </c>
      <c r="AA36" s="771"/>
      <c r="AB36" s="772"/>
    </row>
    <row r="37" spans="2:44">
      <c r="B37" s="766"/>
      <c r="C37" s="713"/>
      <c r="D37" s="713"/>
      <c r="E37" s="713"/>
      <c r="F37" s="713"/>
      <c r="G37" s="713"/>
      <c r="H37" s="713"/>
      <c r="I37" s="767">
        <v>3</v>
      </c>
      <c r="J37" s="763" t="s">
        <v>872</v>
      </c>
      <c r="K37" s="763" t="s">
        <v>867</v>
      </c>
      <c r="L37" s="763" t="s">
        <v>3052</v>
      </c>
      <c r="M37" s="763" t="s">
        <v>997</v>
      </c>
      <c r="N37" s="773" t="s">
        <v>3057</v>
      </c>
      <c r="O37" s="773"/>
      <c r="P37" s="773"/>
      <c r="Q37" s="773"/>
      <c r="R37" s="773"/>
      <c r="S37" s="773"/>
      <c r="T37" s="773"/>
      <c r="U37" s="773"/>
      <c r="V37" s="773"/>
      <c r="W37" s="773"/>
      <c r="X37" s="773"/>
      <c r="Y37" s="773"/>
      <c r="Z37" s="770" t="s">
        <v>3058</v>
      </c>
      <c r="AA37" s="771"/>
      <c r="AB37" s="772"/>
    </row>
    <row r="38" spans="2:44">
      <c r="B38" s="766"/>
      <c r="C38" s="713"/>
      <c r="D38" s="713"/>
      <c r="E38" s="713"/>
      <c r="F38" s="713"/>
      <c r="G38" s="713"/>
      <c r="H38" s="713"/>
      <c r="I38" s="767">
        <v>4</v>
      </c>
      <c r="J38" s="763" t="s">
        <v>1059</v>
      </c>
      <c r="K38" s="763" t="s">
        <v>867</v>
      </c>
      <c r="L38" s="763" t="s">
        <v>3052</v>
      </c>
      <c r="M38" s="763" t="s">
        <v>997</v>
      </c>
      <c r="N38" s="773" t="s">
        <v>3059</v>
      </c>
      <c r="O38" s="773"/>
      <c r="P38" s="773"/>
      <c r="Q38" s="773"/>
      <c r="R38" s="773"/>
      <c r="S38" s="773"/>
      <c r="T38" s="773"/>
      <c r="U38" s="773"/>
      <c r="V38" s="773"/>
      <c r="W38" s="773"/>
      <c r="X38" s="773"/>
      <c r="Y38" s="773"/>
      <c r="Z38" s="770" t="s">
        <v>3060</v>
      </c>
      <c r="AA38" s="771"/>
      <c r="AB38" s="772"/>
    </row>
    <row r="39" spans="2:44">
      <c r="B39" s="766"/>
      <c r="C39" s="713"/>
      <c r="D39" s="713"/>
      <c r="E39" s="713"/>
      <c r="F39" s="713"/>
      <c r="G39" s="713"/>
      <c r="H39" s="713"/>
      <c r="I39" s="767">
        <v>5</v>
      </c>
      <c r="J39" s="763" t="s">
        <v>954</v>
      </c>
      <c r="K39" s="763" t="s">
        <v>867</v>
      </c>
      <c r="L39" s="763" t="s">
        <v>3052</v>
      </c>
      <c r="M39" s="763" t="s">
        <v>997</v>
      </c>
      <c r="N39" s="773" t="s">
        <v>3061</v>
      </c>
      <c r="O39" s="773"/>
      <c r="P39" s="773"/>
      <c r="Q39" s="773"/>
      <c r="R39" s="773"/>
      <c r="S39" s="773"/>
      <c r="T39" s="773"/>
      <c r="U39" s="773"/>
      <c r="V39" s="773"/>
      <c r="W39" s="773"/>
      <c r="X39" s="773"/>
      <c r="Y39" s="773"/>
      <c r="Z39" s="770" t="s">
        <v>3062</v>
      </c>
      <c r="AA39" s="771"/>
      <c r="AB39" s="772"/>
    </row>
    <row r="40" spans="2:44">
      <c r="B40" s="766"/>
      <c r="C40" s="713"/>
      <c r="D40" s="713"/>
      <c r="E40" s="713"/>
      <c r="F40" s="713"/>
      <c r="G40" s="713"/>
      <c r="H40" s="713"/>
      <c r="I40" s="767">
        <v>6</v>
      </c>
      <c r="J40" s="763" t="s">
        <v>971</v>
      </c>
      <c r="K40" s="763" t="s">
        <v>867</v>
      </c>
      <c r="L40" s="763" t="s">
        <v>3052</v>
      </c>
      <c r="M40" s="763" t="s">
        <v>997</v>
      </c>
      <c r="N40" s="773" t="s">
        <v>3063</v>
      </c>
      <c r="O40" s="773"/>
      <c r="P40" s="773"/>
      <c r="Q40" s="773"/>
      <c r="R40" s="773"/>
      <c r="S40" s="773"/>
      <c r="T40" s="773"/>
      <c r="U40" s="773"/>
      <c r="V40" s="773"/>
      <c r="W40" s="773"/>
      <c r="X40" s="773"/>
      <c r="Y40" s="773"/>
      <c r="Z40" s="770" t="s">
        <v>3064</v>
      </c>
      <c r="AA40" s="771"/>
      <c r="AB40" s="772"/>
    </row>
    <row r="41" spans="2:44">
      <c r="B41" s="766"/>
      <c r="C41" s="713"/>
      <c r="D41" s="713"/>
      <c r="E41" s="713"/>
      <c r="F41" s="713"/>
      <c r="G41" s="713"/>
      <c r="H41" s="713"/>
      <c r="I41" s="767">
        <v>7</v>
      </c>
      <c r="J41" s="763" t="s">
        <v>3065</v>
      </c>
      <c r="K41" s="763" t="s">
        <v>867</v>
      </c>
      <c r="L41" s="763" t="s">
        <v>3052</v>
      </c>
      <c r="M41" s="763" t="s">
        <v>997</v>
      </c>
      <c r="N41" s="769" t="s">
        <v>3066</v>
      </c>
      <c r="O41" s="769"/>
      <c r="P41" s="769"/>
      <c r="Q41" s="769"/>
      <c r="R41" s="769"/>
      <c r="S41" s="769"/>
      <c r="T41" s="769"/>
      <c r="U41" s="769"/>
      <c r="V41" s="769"/>
      <c r="W41" s="769"/>
      <c r="X41" s="769"/>
      <c r="Y41" s="769"/>
      <c r="Z41" s="770" t="s">
        <v>3067</v>
      </c>
      <c r="AA41" s="771"/>
      <c r="AB41" s="772"/>
    </row>
    <row r="42" spans="2:44">
      <c r="B42" s="766"/>
      <c r="C42" s="713"/>
      <c r="D42" s="713"/>
      <c r="E42" s="713"/>
      <c r="F42" s="713"/>
      <c r="G42" s="713"/>
      <c r="H42" s="713"/>
      <c r="I42" s="767">
        <v>8</v>
      </c>
      <c r="J42" s="763" t="s">
        <v>3068</v>
      </c>
      <c r="K42" s="763" t="s">
        <v>3069</v>
      </c>
      <c r="L42" s="763" t="s">
        <v>3070</v>
      </c>
      <c r="M42" s="763" t="s">
        <v>997</v>
      </c>
      <c r="N42" s="773" t="s">
        <v>3071</v>
      </c>
      <c r="O42" s="773"/>
      <c r="P42" s="773"/>
      <c r="Q42" s="773"/>
      <c r="R42" s="773"/>
      <c r="S42" s="773"/>
      <c r="T42" s="773"/>
      <c r="U42" s="773"/>
      <c r="V42" s="773"/>
      <c r="W42" s="773"/>
      <c r="X42" s="773"/>
      <c r="Y42" s="773"/>
      <c r="Z42" s="770" t="s">
        <v>3072</v>
      </c>
      <c r="AA42" s="771"/>
      <c r="AB42" s="772"/>
    </row>
    <row r="43" spans="2:44">
      <c r="B43" s="766"/>
      <c r="C43" s="713"/>
      <c r="D43" s="713"/>
      <c r="E43" s="713"/>
      <c r="F43" s="713"/>
      <c r="G43" s="713"/>
      <c r="H43" s="713"/>
      <c r="I43" s="767">
        <v>9</v>
      </c>
      <c r="J43" s="768" t="s">
        <v>1173</v>
      </c>
      <c r="K43" s="763" t="s">
        <v>867</v>
      </c>
      <c r="L43" s="763" t="s">
        <v>3052</v>
      </c>
      <c r="M43" s="763" t="s">
        <v>997</v>
      </c>
      <c r="N43" s="773" t="s">
        <v>3073</v>
      </c>
      <c r="O43" s="773"/>
      <c r="P43" s="773"/>
      <c r="Q43" s="773"/>
      <c r="R43" s="773"/>
      <c r="S43" s="773"/>
      <c r="T43" s="773"/>
      <c r="U43" s="773"/>
      <c r="V43" s="773"/>
      <c r="W43" s="773"/>
      <c r="X43" s="773"/>
      <c r="Y43" s="773"/>
      <c r="Z43" s="770" t="s">
        <v>3074</v>
      </c>
      <c r="AA43" s="771"/>
      <c r="AB43" s="772"/>
    </row>
    <row r="44" spans="2:44">
      <c r="B44" s="766"/>
      <c r="C44" s="713"/>
      <c r="D44" s="713"/>
      <c r="E44" s="713"/>
      <c r="F44" s="713"/>
      <c r="G44" s="713"/>
      <c r="H44" s="713"/>
      <c r="I44" s="767">
        <v>10</v>
      </c>
      <c r="J44" s="763" t="s">
        <v>1069</v>
      </c>
      <c r="K44" s="763" t="s">
        <v>867</v>
      </c>
      <c r="L44" s="763" t="s">
        <v>3052</v>
      </c>
      <c r="M44" s="763" t="s">
        <v>997</v>
      </c>
      <c r="N44" s="773" t="s">
        <v>3075</v>
      </c>
      <c r="O44" s="773"/>
      <c r="P44" s="773"/>
      <c r="Q44" s="773"/>
      <c r="R44" s="773"/>
      <c r="S44" s="773"/>
      <c r="T44" s="773"/>
      <c r="U44" s="773"/>
      <c r="V44" s="773"/>
      <c r="W44" s="773"/>
      <c r="X44" s="773"/>
      <c r="Y44" s="773"/>
      <c r="Z44" s="770" t="s">
        <v>3076</v>
      </c>
      <c r="AA44" s="771"/>
      <c r="AB44" s="772"/>
    </row>
    <row r="45" spans="2:44">
      <c r="B45" s="766"/>
      <c r="C45" s="713"/>
      <c r="D45" s="713"/>
      <c r="E45" s="713"/>
      <c r="F45" s="713"/>
      <c r="G45" s="713"/>
      <c r="H45" s="713"/>
      <c r="I45" s="767">
        <v>11</v>
      </c>
      <c r="J45" s="774" t="s">
        <v>991</v>
      </c>
      <c r="K45" s="763" t="s">
        <v>996</v>
      </c>
      <c r="L45" s="763" t="s">
        <v>3070</v>
      </c>
      <c r="M45" s="763" t="s">
        <v>997</v>
      </c>
      <c r="N45" s="773" t="s">
        <v>3077</v>
      </c>
      <c r="O45" s="773"/>
      <c r="P45" s="773"/>
      <c r="Q45" s="773"/>
      <c r="R45" s="773"/>
      <c r="S45" s="773"/>
      <c r="T45" s="773"/>
      <c r="U45" s="773"/>
      <c r="V45" s="773"/>
      <c r="W45" s="773"/>
      <c r="X45" s="773"/>
      <c r="Y45" s="773"/>
      <c r="Z45" s="770" t="s">
        <v>3078</v>
      </c>
      <c r="AA45" s="771"/>
      <c r="AB45" s="772"/>
    </row>
    <row r="46" ht="17.25" spans="2:44">
      <c r="B46" s="766"/>
      <c r="C46" s="713"/>
      <c r="D46" s="713"/>
      <c r="E46" s="713"/>
      <c r="F46" s="713"/>
      <c r="G46" s="713"/>
      <c r="H46" s="713"/>
      <c r="I46" s="775">
        <v>12</v>
      </c>
      <c r="J46" s="776" t="s">
        <v>3079</v>
      </c>
      <c r="K46" s="776" t="s">
        <v>3080</v>
      </c>
      <c r="L46" s="776" t="s">
        <v>3070</v>
      </c>
      <c r="M46" s="776" t="s">
        <v>997</v>
      </c>
      <c r="N46" s="777" t="s">
        <v>3081</v>
      </c>
      <c r="O46" s="777"/>
      <c r="P46" s="777"/>
      <c r="Q46" s="777"/>
      <c r="R46" s="777"/>
      <c r="S46" s="777"/>
      <c r="T46" s="777"/>
      <c r="U46" s="777"/>
      <c r="V46" s="777"/>
      <c r="W46" s="777"/>
      <c r="X46" s="777"/>
      <c r="Y46" s="777"/>
      <c r="Z46" s="778" t="s">
        <v>3082</v>
      </c>
      <c r="AA46" s="779"/>
      <c r="AB46" s="780"/>
    </row>
    <row r="47" spans="2:44">
      <c r="B47" s="759"/>
      <c r="C47" s="760"/>
      <c r="D47" s="781"/>
      <c r="E47" s="760"/>
      <c r="F47" s="782"/>
      <c r="G47" s="782"/>
      <c r="H47" s="782"/>
      <c r="I47" s="783"/>
      <c r="J47" s="784"/>
      <c r="K47" s="783"/>
      <c r="L47" s="783"/>
      <c r="M47" s="785"/>
      <c r="N47" s="785"/>
      <c r="O47" s="785"/>
      <c r="P47" s="785"/>
      <c r="Q47" s="785"/>
      <c r="R47" s="785"/>
      <c r="S47" s="785"/>
      <c r="T47" s="785"/>
      <c r="U47" s="785"/>
      <c r="V47" s="785"/>
      <c r="W47" s="785"/>
      <c r="X47" s="785"/>
      <c r="Y47" s="786"/>
      <c r="Z47" s="787"/>
      <c r="AA47" s="787"/>
      <c r="AB47" s="788"/>
    </row>
    <row r="48" spans="2:44">
      <c r="B48" s="789"/>
      <c r="C48" s="713"/>
      <c r="D48" s="714"/>
      <c r="E48" s="713"/>
      <c r="F48" s="790"/>
      <c r="G48" s="790"/>
      <c r="H48" s="790"/>
      <c r="J48" s="698"/>
      <c r="M48" s="713"/>
      <c r="N48" s="713"/>
      <c r="O48" s="713"/>
      <c r="P48" s="713"/>
      <c r="Q48" s="713"/>
      <c r="R48" s="713"/>
      <c r="S48" s="713"/>
      <c r="T48" s="713"/>
      <c r="U48" s="713"/>
      <c r="V48" s="713"/>
      <c r="W48" s="713"/>
      <c r="X48" s="713"/>
      <c r="Y48" s="791"/>
      <c r="AB48" s="788"/>
    </row>
    <row r="49" spans="2:28">
      <c r="B49" s="766"/>
      <c r="C49" s="713"/>
      <c r="D49" s="721"/>
      <c r="E49" s="713"/>
      <c r="F49" s="790"/>
      <c r="G49" s="790"/>
      <c r="H49" s="790"/>
      <c r="J49" s="698"/>
      <c r="M49" s="713"/>
      <c r="N49" s="713"/>
      <c r="O49" s="713"/>
      <c r="P49" s="713"/>
      <c r="Q49" s="713"/>
      <c r="R49" s="713"/>
      <c r="S49" s="713"/>
      <c r="T49" s="713"/>
      <c r="U49" s="713"/>
      <c r="V49" s="713"/>
      <c r="W49" s="713"/>
      <c r="X49" s="713"/>
      <c r="Y49" s="791"/>
      <c r="AB49" s="788"/>
    </row>
    <row r="50" spans="2:28">
      <c r="B50" s="766"/>
      <c r="C50" s="713"/>
      <c r="D50" s="721"/>
      <c r="E50" s="713"/>
      <c r="F50" s="790"/>
      <c r="G50" s="790"/>
      <c r="H50" s="790"/>
      <c r="J50" s="698"/>
      <c r="M50" s="713"/>
      <c r="N50" s="713"/>
      <c r="O50" s="713"/>
      <c r="P50" s="713"/>
      <c r="Q50" s="713"/>
      <c r="R50" s="713"/>
      <c r="S50" s="713"/>
      <c r="T50" s="713"/>
      <c r="U50" s="713"/>
      <c r="V50" s="713"/>
      <c r="W50" s="713"/>
      <c r="X50" s="713"/>
      <c r="Y50" s="791"/>
      <c r="AB50" s="788"/>
    </row>
    <row r="51" spans="2:28">
      <c r="B51" s="766"/>
      <c r="C51" s="713"/>
      <c r="D51" s="721"/>
      <c r="E51" s="713"/>
      <c r="F51" s="790"/>
      <c r="G51" s="790"/>
      <c r="H51" s="790"/>
      <c r="J51" s="698"/>
      <c r="M51" s="713"/>
      <c r="N51" s="713"/>
      <c r="O51" s="713"/>
      <c r="P51" s="713"/>
      <c r="Q51" s="713"/>
      <c r="R51" s="713"/>
      <c r="S51" s="713"/>
      <c r="T51" s="713"/>
      <c r="U51" s="713"/>
      <c r="V51" s="713"/>
      <c r="W51" s="713"/>
      <c r="X51" s="713"/>
      <c r="Y51" s="791"/>
      <c r="AB51" s="788"/>
    </row>
    <row r="52" spans="2:28">
      <c r="B52" s="766"/>
      <c r="C52" s="713"/>
      <c r="D52" s="721"/>
      <c r="E52" s="713"/>
      <c r="F52" s="790"/>
      <c r="G52" s="790"/>
      <c r="H52" s="790"/>
      <c r="J52" s="698"/>
      <c r="M52" s="713"/>
      <c r="N52" s="713"/>
      <c r="O52" s="713"/>
      <c r="P52" s="713"/>
      <c r="Q52" s="713"/>
      <c r="R52" s="713"/>
      <c r="S52" s="713"/>
      <c r="T52" s="713"/>
      <c r="U52" s="713"/>
      <c r="V52" s="713"/>
      <c r="W52" s="713"/>
      <c r="X52" s="713"/>
      <c r="Y52" s="791"/>
      <c r="AB52" s="788"/>
    </row>
    <row r="53" spans="2:28">
      <c r="B53" s="766"/>
      <c r="C53" s="713"/>
      <c r="D53" s="721"/>
      <c r="E53" s="713"/>
      <c r="F53" s="790"/>
      <c r="G53" s="790"/>
      <c r="H53" s="790"/>
      <c r="J53" s="698"/>
      <c r="M53" s="713"/>
      <c r="N53" s="713"/>
      <c r="O53" s="713"/>
      <c r="P53" s="713"/>
      <c r="Q53" s="713"/>
      <c r="R53" s="713"/>
      <c r="S53" s="713"/>
      <c r="T53" s="713"/>
      <c r="U53" s="713"/>
      <c r="V53" s="713"/>
      <c r="W53" s="713"/>
      <c r="X53" s="713"/>
      <c r="Y53" s="791"/>
      <c r="AB53" s="788"/>
    </row>
    <row r="54" spans="2:28">
      <c r="B54" s="766"/>
      <c r="C54" s="713"/>
      <c r="D54" s="721"/>
      <c r="E54" s="713"/>
      <c r="F54" s="790"/>
      <c r="G54" s="790"/>
      <c r="H54" s="790"/>
      <c r="J54" s="698"/>
      <c r="M54" s="713"/>
      <c r="N54" s="713"/>
      <c r="O54" s="713"/>
      <c r="P54" s="713"/>
      <c r="Q54" s="713"/>
      <c r="R54" s="713"/>
      <c r="S54" s="713"/>
      <c r="T54" s="713"/>
      <c r="U54" s="713"/>
      <c r="V54" s="713"/>
      <c r="W54" s="713"/>
      <c r="X54" s="713"/>
      <c r="Y54" s="791"/>
      <c r="AB54" s="788"/>
    </row>
    <row r="55" spans="2:28">
      <c r="B55" s="766"/>
      <c r="C55" s="713"/>
      <c r="D55" s="721"/>
      <c r="E55" s="713"/>
      <c r="F55" s="790"/>
      <c r="G55" s="790"/>
      <c r="H55" s="790"/>
      <c r="J55" s="698"/>
      <c r="M55" s="713"/>
      <c r="N55" s="713"/>
      <c r="O55" s="713"/>
      <c r="P55" s="713"/>
      <c r="Q55" s="713"/>
      <c r="R55" s="713"/>
      <c r="S55" s="713"/>
      <c r="T55" s="713"/>
      <c r="U55" s="713"/>
      <c r="V55" s="713"/>
      <c r="W55" s="713"/>
      <c r="X55" s="713"/>
      <c r="Y55" s="791"/>
      <c r="AB55" s="788"/>
    </row>
    <row r="56" spans="2:28">
      <c r="B56" s="766"/>
      <c r="C56" s="713"/>
      <c r="D56" s="721"/>
      <c r="E56" s="713"/>
      <c r="F56" s="790"/>
      <c r="G56" s="790"/>
      <c r="H56" s="790"/>
      <c r="J56" s="698"/>
      <c r="M56" s="713"/>
      <c r="N56" s="713"/>
      <c r="O56" s="713"/>
      <c r="P56" s="713"/>
      <c r="Q56" s="713"/>
      <c r="R56" s="713"/>
      <c r="S56" s="713"/>
      <c r="T56" s="713"/>
      <c r="U56" s="713"/>
      <c r="V56" s="713"/>
      <c r="W56" s="713"/>
      <c r="X56" s="713"/>
      <c r="Y56" s="791"/>
      <c r="AB56" s="788"/>
    </row>
    <row r="57" spans="2:28">
      <c r="B57" s="766"/>
      <c r="C57" s="713"/>
      <c r="D57" s="721"/>
      <c r="E57" s="713"/>
      <c r="F57" s="790"/>
      <c r="G57" s="790"/>
      <c r="H57" s="790"/>
      <c r="J57" s="698"/>
      <c r="M57" s="713"/>
      <c r="N57" s="713"/>
      <c r="O57" s="713"/>
      <c r="P57" s="713"/>
      <c r="Q57" s="713"/>
      <c r="R57" s="713"/>
      <c r="S57" s="713"/>
      <c r="T57" s="713"/>
      <c r="U57" s="713"/>
      <c r="V57" s="713"/>
      <c r="W57" s="713"/>
      <c r="X57" s="713"/>
      <c r="Y57" s="791"/>
      <c r="AB57" s="788"/>
    </row>
    <row r="58" spans="2:28">
      <c r="B58" s="766"/>
      <c r="C58" s="713"/>
      <c r="D58" s="721"/>
      <c r="E58" s="713"/>
      <c r="F58" s="790"/>
      <c r="G58" s="790"/>
      <c r="H58" s="790"/>
      <c r="J58" s="698"/>
      <c r="M58" s="713"/>
      <c r="N58" s="713"/>
      <c r="O58" s="713"/>
      <c r="P58" s="713"/>
      <c r="Q58" s="713"/>
      <c r="R58" s="713"/>
      <c r="S58" s="713"/>
      <c r="T58" s="713"/>
      <c r="U58" s="713"/>
      <c r="V58" s="713"/>
      <c r="W58" s="713"/>
      <c r="X58" s="713"/>
      <c r="Y58" s="791"/>
      <c r="AB58" s="788"/>
    </row>
    <row r="59" spans="2:28">
      <c r="B59" s="766"/>
      <c r="C59" s="713"/>
      <c r="D59" s="721"/>
      <c r="E59" s="713"/>
      <c r="F59" s="790"/>
      <c r="G59" s="790"/>
      <c r="H59" s="790"/>
      <c r="J59" s="698"/>
      <c r="M59" s="713"/>
      <c r="N59" s="713"/>
      <c r="O59" s="713"/>
      <c r="P59" s="713"/>
      <c r="Q59" s="713"/>
      <c r="R59" s="713"/>
      <c r="S59" s="713"/>
      <c r="T59" s="713"/>
      <c r="U59" s="713"/>
      <c r="V59" s="713"/>
      <c r="W59" s="713"/>
      <c r="X59" s="713"/>
      <c r="Y59" s="791"/>
      <c r="AB59" s="788"/>
    </row>
    <row r="60" spans="2:28">
      <c r="B60" s="766"/>
      <c r="C60" s="713"/>
      <c r="D60" s="721"/>
      <c r="E60" s="713"/>
      <c r="F60" s="790"/>
      <c r="G60" s="790"/>
      <c r="H60" s="790"/>
      <c r="J60" s="698"/>
      <c r="M60" s="713"/>
      <c r="N60" s="713"/>
      <c r="O60" s="713"/>
      <c r="P60" s="713"/>
      <c r="Q60" s="713"/>
      <c r="R60" s="713"/>
      <c r="S60" s="713"/>
      <c r="T60" s="713"/>
      <c r="U60" s="713"/>
      <c r="V60" s="713"/>
      <c r="W60" s="713"/>
      <c r="X60" s="713"/>
      <c r="Y60" s="791"/>
      <c r="AB60" s="788"/>
    </row>
    <row r="61" spans="2:28">
      <c r="B61" s="766"/>
      <c r="C61" s="713"/>
      <c r="D61" s="721"/>
      <c r="E61" s="713"/>
      <c r="F61" s="790"/>
      <c r="G61" s="790"/>
      <c r="H61" s="790"/>
      <c r="J61" s="698"/>
      <c r="M61" s="713"/>
      <c r="N61" s="713"/>
      <c r="O61" s="713"/>
      <c r="P61" s="713"/>
      <c r="Q61" s="713"/>
      <c r="R61" s="713"/>
      <c r="S61" s="713"/>
      <c r="T61" s="713"/>
      <c r="U61" s="713"/>
      <c r="V61" s="713"/>
      <c r="W61" s="713"/>
      <c r="X61" s="713"/>
      <c r="Y61" s="791"/>
      <c r="AB61" s="788"/>
    </row>
    <row r="62" spans="2:28">
      <c r="B62" s="766"/>
      <c r="C62" s="713"/>
      <c r="D62" s="721"/>
      <c r="E62" s="713"/>
      <c r="F62" s="790"/>
      <c r="G62" s="790"/>
      <c r="H62" s="790"/>
      <c r="J62" s="698"/>
      <c r="M62" s="713"/>
      <c r="N62" s="713"/>
      <c r="O62" s="713"/>
      <c r="P62" s="713"/>
      <c r="Q62" s="713"/>
      <c r="R62" s="713"/>
      <c r="S62" s="713"/>
      <c r="T62" s="713"/>
      <c r="U62" s="713"/>
      <c r="V62" s="713"/>
      <c r="W62" s="713"/>
      <c r="X62" s="713"/>
      <c r="Y62" s="791"/>
      <c r="AB62" s="788"/>
    </row>
    <row r="63" spans="2:28">
      <c r="B63" s="766"/>
      <c r="C63" s="713"/>
      <c r="D63" s="721"/>
      <c r="E63" s="713"/>
      <c r="F63" s="790"/>
      <c r="G63" s="790"/>
      <c r="H63" s="790"/>
      <c r="J63" s="698"/>
      <c r="M63" s="713"/>
      <c r="N63" s="713"/>
      <c r="O63" s="713"/>
      <c r="P63" s="713"/>
      <c r="Q63" s="713"/>
      <c r="R63" s="713"/>
      <c r="S63" s="713"/>
      <c r="T63" s="713"/>
      <c r="U63" s="713"/>
      <c r="V63" s="713"/>
      <c r="W63" s="713"/>
      <c r="X63" s="713"/>
      <c r="Y63" s="791"/>
      <c r="AB63" s="788"/>
    </row>
    <row r="64" spans="2:28">
      <c r="B64" s="766"/>
      <c r="C64" s="713"/>
      <c r="D64" s="714"/>
      <c r="E64" s="713"/>
      <c r="F64" s="790"/>
      <c r="G64" s="790"/>
      <c r="H64" s="790"/>
      <c r="J64" s="698"/>
      <c r="M64" s="713"/>
      <c r="N64" s="713"/>
      <c r="O64" s="713"/>
      <c r="P64" s="713"/>
      <c r="Q64" s="713"/>
      <c r="R64" s="713"/>
      <c r="S64" s="713"/>
      <c r="T64" s="713"/>
      <c r="U64" s="713"/>
      <c r="V64" s="713"/>
      <c r="W64" s="713"/>
      <c r="X64" s="713"/>
      <c r="Y64" s="791"/>
      <c r="AB64" s="788"/>
    </row>
    <row r="65" spans="2:28">
      <c r="B65" s="766"/>
      <c r="C65" s="713"/>
      <c r="D65" s="714"/>
      <c r="E65" s="713"/>
      <c r="F65" s="790"/>
      <c r="G65" s="790"/>
      <c r="H65" s="790"/>
      <c r="J65" s="698"/>
      <c r="M65" s="713"/>
      <c r="N65" s="713"/>
      <c r="O65" s="713"/>
      <c r="P65" s="713"/>
      <c r="Q65" s="713"/>
      <c r="R65" s="713"/>
      <c r="S65" s="713"/>
      <c r="T65" s="713"/>
      <c r="U65" s="713"/>
      <c r="V65" s="713"/>
      <c r="W65" s="713"/>
      <c r="X65" s="713"/>
      <c r="Y65" s="791"/>
      <c r="AB65" s="788"/>
    </row>
    <row r="66" spans="2:28">
      <c r="B66" s="766"/>
      <c r="C66" s="713"/>
      <c r="D66" s="714"/>
      <c r="E66" s="713"/>
      <c r="F66" s="790"/>
      <c r="G66" s="790"/>
      <c r="H66" s="790"/>
      <c r="J66" s="698"/>
      <c r="M66" s="713"/>
      <c r="N66" s="713"/>
      <c r="O66" s="713"/>
      <c r="P66" s="713"/>
      <c r="Q66" s="713"/>
      <c r="R66" s="713"/>
      <c r="S66" s="713"/>
      <c r="T66" s="713"/>
      <c r="U66" s="713"/>
      <c r="V66" s="713"/>
      <c r="W66" s="713"/>
      <c r="X66" s="713"/>
      <c r="Y66" s="791"/>
      <c r="AB66" s="788"/>
    </row>
    <row r="67" spans="2:28">
      <c r="B67" s="766"/>
      <c r="C67" s="713"/>
      <c r="D67" s="714"/>
      <c r="E67" s="713"/>
      <c r="F67" s="790"/>
      <c r="G67" s="790"/>
      <c r="H67" s="790"/>
      <c r="J67" s="698"/>
      <c r="M67" s="713"/>
      <c r="N67" s="713"/>
      <c r="O67" s="713"/>
      <c r="P67" s="713"/>
      <c r="Q67" s="713"/>
      <c r="R67" s="713"/>
      <c r="S67" s="713"/>
      <c r="T67" s="713"/>
      <c r="U67" s="713"/>
      <c r="V67" s="713"/>
      <c r="W67" s="713"/>
      <c r="X67" s="713"/>
      <c r="Y67" s="791"/>
      <c r="AB67" s="788"/>
    </row>
    <row r="68" spans="2:28">
      <c r="B68" s="766"/>
      <c r="C68" s="713"/>
      <c r="D68" s="714"/>
      <c r="E68" s="713"/>
      <c r="F68" s="790"/>
      <c r="G68" s="790"/>
      <c r="H68" s="790"/>
      <c r="J68" s="698"/>
      <c r="M68" s="713"/>
      <c r="N68" s="713"/>
      <c r="O68" s="713"/>
      <c r="P68" s="713"/>
      <c r="Q68" s="713"/>
      <c r="R68" s="713"/>
      <c r="S68" s="713"/>
      <c r="T68" s="713"/>
      <c r="U68" s="713"/>
      <c r="V68" s="713"/>
      <c r="W68" s="713"/>
      <c r="X68" s="713"/>
      <c r="Y68" s="791"/>
      <c r="AB68" s="788"/>
    </row>
    <row r="69" spans="2:28">
      <c r="B69" s="766"/>
      <c r="C69" s="713"/>
      <c r="D69" s="714"/>
      <c r="E69" s="713"/>
      <c r="F69" s="790"/>
      <c r="G69" s="790"/>
      <c r="H69" s="790"/>
      <c r="J69" s="698"/>
      <c r="M69" s="713"/>
      <c r="N69" s="713"/>
      <c r="O69" s="713"/>
      <c r="P69" s="713"/>
      <c r="Q69" s="713"/>
      <c r="R69" s="713"/>
      <c r="S69" s="713"/>
      <c r="T69" s="713"/>
      <c r="U69" s="713"/>
      <c r="V69" s="713"/>
      <c r="W69" s="713"/>
      <c r="X69" s="713"/>
      <c r="Y69" s="791"/>
      <c r="AB69" s="788"/>
    </row>
    <row r="70" ht="17.25" spans="2:28">
      <c r="B70" s="792"/>
      <c r="C70" s="793"/>
      <c r="D70" s="794"/>
      <c r="E70" s="793"/>
      <c r="F70" s="795"/>
      <c r="G70" s="795"/>
      <c r="H70" s="795"/>
      <c r="I70" s="796"/>
      <c r="J70" s="797"/>
      <c r="K70" s="796"/>
      <c r="L70" s="796"/>
      <c r="M70" s="793"/>
      <c r="N70" s="793"/>
      <c r="O70" s="793"/>
      <c r="P70" s="793"/>
      <c r="Q70" s="793"/>
      <c r="R70" s="793"/>
      <c r="S70" s="793"/>
      <c r="T70" s="793"/>
      <c r="U70" s="793"/>
      <c r="V70" s="793"/>
      <c r="W70" s="793"/>
      <c r="X70" s="793"/>
      <c r="Y70" s="798"/>
      <c r="Z70" s="799"/>
      <c r="AA70" s="799"/>
      <c r="AB70" s="800"/>
    </row>
    <row r="71" spans="2:28">
      <c r="B71" s="801" t="s">
        <v>3019</v>
      </c>
      <c r="C71" s="802" t="s">
        <v>3020</v>
      </c>
      <c r="D71" s="803" t="s">
        <v>3021</v>
      </c>
      <c r="E71" s="804" t="s">
        <v>3083</v>
      </c>
      <c r="F71" s="805"/>
      <c r="G71" s="806"/>
      <c r="H71" s="806"/>
      <c r="I71" s="806"/>
      <c r="J71" s="806"/>
      <c r="K71" s="806"/>
      <c r="L71" s="806"/>
      <c r="M71" s="806"/>
      <c r="N71" s="806"/>
      <c r="O71" s="806"/>
      <c r="P71" s="806"/>
      <c r="Q71" s="806"/>
      <c r="R71" s="806"/>
      <c r="S71" s="806"/>
      <c r="T71" s="806"/>
      <c r="U71" s="806"/>
      <c r="V71" s="806"/>
      <c r="W71" s="806"/>
      <c r="X71" s="806"/>
      <c r="Y71" s="806"/>
      <c r="Z71" s="806"/>
      <c r="AA71" s="806"/>
      <c r="AB71" s="807"/>
    </row>
    <row r="72" spans="2:28">
      <c r="B72" s="808" t="s">
        <v>3084</v>
      </c>
      <c r="C72" s="809">
        <v>306429</v>
      </c>
      <c r="D72" s="809">
        <v>35351823.5</v>
      </c>
      <c r="E72" s="810">
        <v>17552</v>
      </c>
      <c r="F72" s="811"/>
      <c r="G72" s="812"/>
      <c r="H72" s="812"/>
      <c r="I72" s="812"/>
      <c r="J72" s="812"/>
      <c r="K72" s="812"/>
      <c r="L72" s="812"/>
      <c r="M72" s="812"/>
      <c r="N72" s="812"/>
      <c r="O72" s="812"/>
      <c r="P72" s="812"/>
      <c r="Q72" s="812"/>
      <c r="R72" s="812"/>
      <c r="S72" s="812"/>
      <c r="T72" s="812"/>
      <c r="U72" s="812"/>
      <c r="V72" s="812"/>
      <c r="W72" s="812"/>
      <c r="X72" s="812"/>
      <c r="Y72" s="812"/>
      <c r="Z72" s="812"/>
      <c r="AA72" s="812"/>
      <c r="AB72" s="813"/>
    </row>
    <row r="73" spans="2:28">
      <c r="B73" s="808" t="s">
        <v>3085</v>
      </c>
      <c r="C73" s="809">
        <v>285895</v>
      </c>
      <c r="D73" s="809">
        <v>31950451.33</v>
      </c>
      <c r="E73" s="810">
        <v>29255</v>
      </c>
      <c r="F73" s="811"/>
      <c r="G73" s="812"/>
      <c r="H73" s="812"/>
      <c r="I73" s="812"/>
      <c r="J73" s="812"/>
      <c r="K73" s="812"/>
      <c r="L73" s="812"/>
      <c r="M73" s="812"/>
      <c r="N73" s="812"/>
      <c r="O73" s="812"/>
      <c r="P73" s="812"/>
      <c r="Q73" s="812"/>
      <c r="R73" s="812"/>
      <c r="S73" s="812"/>
      <c r="T73" s="812"/>
      <c r="U73" s="812"/>
      <c r="V73" s="812"/>
      <c r="W73" s="812"/>
      <c r="X73" s="812"/>
      <c r="Y73" s="812"/>
      <c r="Z73" s="812"/>
      <c r="AA73" s="812"/>
      <c r="AB73" s="813"/>
    </row>
    <row r="74" spans="2:28">
      <c r="B74" s="808" t="s">
        <v>3086</v>
      </c>
      <c r="C74" s="809">
        <v>390854</v>
      </c>
      <c r="D74" s="809">
        <v>42737116.38</v>
      </c>
      <c r="E74" s="810">
        <v>11274</v>
      </c>
      <c r="F74" s="811"/>
      <c r="G74" s="812"/>
      <c r="H74" s="812"/>
      <c r="I74" s="812"/>
      <c r="J74" s="812"/>
      <c r="K74" s="812"/>
      <c r="L74" s="812"/>
      <c r="M74" s="812"/>
      <c r="N74" s="812"/>
      <c r="O74" s="812"/>
      <c r="P74" s="812"/>
      <c r="Q74" s="812"/>
      <c r="R74" s="812"/>
      <c r="S74" s="812"/>
      <c r="T74" s="812"/>
      <c r="U74" s="812"/>
      <c r="V74" s="812"/>
      <c r="W74" s="812"/>
      <c r="X74" s="812"/>
      <c r="Y74" s="812"/>
      <c r="Z74" s="812"/>
      <c r="AA74" s="812"/>
      <c r="AB74" s="813"/>
    </row>
    <row r="75" spans="2:28">
      <c r="B75" s="808" t="s">
        <v>3087</v>
      </c>
      <c r="C75" s="809">
        <v>138451</v>
      </c>
      <c r="D75" s="809">
        <v>14516027.58</v>
      </c>
      <c r="E75" s="810">
        <v>24271</v>
      </c>
      <c r="F75" s="811"/>
      <c r="G75" s="812"/>
      <c r="H75" s="812"/>
      <c r="I75" s="812"/>
      <c r="J75" s="812"/>
      <c r="K75" s="812"/>
      <c r="L75" s="812"/>
      <c r="M75" s="812"/>
      <c r="N75" s="812"/>
      <c r="O75" s="812"/>
      <c r="P75" s="812"/>
      <c r="Q75" s="812"/>
      <c r="R75" s="812"/>
      <c r="S75" s="812"/>
      <c r="T75" s="812"/>
      <c r="U75" s="812"/>
      <c r="V75" s="812"/>
      <c r="W75" s="812"/>
      <c r="X75" s="812"/>
      <c r="Y75" s="812"/>
      <c r="Z75" s="812"/>
      <c r="AA75" s="812"/>
      <c r="AB75" s="813"/>
    </row>
    <row r="76" spans="2:28">
      <c r="B76" s="808" t="s">
        <v>3088</v>
      </c>
      <c r="C76" s="809">
        <v>737973</v>
      </c>
      <c r="D76" s="809">
        <v>67477947.99</v>
      </c>
      <c r="E76" s="810">
        <v>4150</v>
      </c>
      <c r="F76" s="811"/>
      <c r="G76" s="812"/>
      <c r="H76" s="812"/>
      <c r="I76" s="812"/>
      <c r="J76" s="812"/>
      <c r="K76" s="812"/>
      <c r="L76" s="812"/>
      <c r="M76" s="812"/>
      <c r="N76" s="812"/>
      <c r="O76" s="812"/>
      <c r="P76" s="812"/>
      <c r="Q76" s="812"/>
      <c r="R76" s="812"/>
      <c r="S76" s="812"/>
      <c r="T76" s="812"/>
      <c r="U76" s="812"/>
      <c r="V76" s="812"/>
      <c r="W76" s="812"/>
      <c r="X76" s="812"/>
      <c r="Y76" s="812"/>
      <c r="Z76" s="812"/>
      <c r="AA76" s="812"/>
      <c r="AB76" s="813"/>
    </row>
    <row r="77" spans="2:28">
      <c r="B77" s="808" t="s">
        <v>3089</v>
      </c>
      <c r="C77" s="809">
        <v>303383</v>
      </c>
      <c r="D77" s="809">
        <v>30392589.85</v>
      </c>
      <c r="E77" s="810">
        <v>9222</v>
      </c>
      <c r="F77" s="811"/>
      <c r="G77" s="812"/>
      <c r="H77" s="812"/>
      <c r="I77" s="812"/>
      <c r="J77" s="812"/>
      <c r="K77" s="812"/>
      <c r="L77" s="812"/>
      <c r="M77" s="812"/>
      <c r="N77" s="812"/>
      <c r="O77" s="812"/>
      <c r="P77" s="812"/>
      <c r="Q77" s="812"/>
      <c r="R77" s="812"/>
      <c r="S77" s="812"/>
      <c r="T77" s="812"/>
      <c r="U77" s="812"/>
      <c r="V77" s="812"/>
      <c r="W77" s="812"/>
      <c r="X77" s="812"/>
      <c r="Y77" s="812"/>
      <c r="Z77" s="812"/>
      <c r="AA77" s="812"/>
      <c r="AB77" s="813"/>
    </row>
    <row r="78" spans="2:28">
      <c r="B78" s="808" t="s">
        <v>3090</v>
      </c>
      <c r="C78" s="809">
        <v>476542</v>
      </c>
      <c r="D78" s="809">
        <v>47806781.77</v>
      </c>
      <c r="E78" s="810">
        <v>4685</v>
      </c>
      <c r="F78" s="811"/>
      <c r="G78" s="812"/>
      <c r="H78" s="812"/>
      <c r="I78" s="812"/>
      <c r="J78" s="812"/>
      <c r="K78" s="812"/>
      <c r="L78" s="812"/>
      <c r="M78" s="812"/>
      <c r="N78" s="812"/>
      <c r="O78" s="812"/>
      <c r="P78" s="812"/>
      <c r="Q78" s="812"/>
      <c r="R78" s="812"/>
      <c r="S78" s="812"/>
      <c r="T78" s="812"/>
      <c r="U78" s="812"/>
      <c r="V78" s="812"/>
      <c r="W78" s="812"/>
      <c r="X78" s="812"/>
      <c r="Y78" s="812"/>
      <c r="Z78" s="812"/>
      <c r="AA78" s="812"/>
      <c r="AB78" s="813"/>
    </row>
    <row r="79" spans="2:28">
      <c r="B79" s="808" t="s">
        <v>3091</v>
      </c>
      <c r="C79" s="809">
        <v>394580</v>
      </c>
      <c r="D79" s="809">
        <v>37426585.64</v>
      </c>
      <c r="E79" s="810">
        <v>4495</v>
      </c>
      <c r="F79" s="811"/>
      <c r="G79" s="812"/>
      <c r="H79" s="812"/>
      <c r="I79" s="812"/>
      <c r="J79" s="812"/>
      <c r="K79" s="812"/>
      <c r="L79" s="812"/>
      <c r="M79" s="812"/>
      <c r="N79" s="812"/>
      <c r="O79" s="812"/>
      <c r="P79" s="812"/>
      <c r="Q79" s="812"/>
      <c r="R79" s="812"/>
      <c r="S79" s="812"/>
      <c r="T79" s="812"/>
      <c r="U79" s="812"/>
      <c r="V79" s="812"/>
      <c r="W79" s="812"/>
      <c r="X79" s="812"/>
      <c r="Y79" s="812"/>
      <c r="Z79" s="812"/>
      <c r="AA79" s="812"/>
      <c r="AB79" s="813"/>
    </row>
    <row r="80" spans="2:28">
      <c r="B80" s="808" t="s">
        <v>3092</v>
      </c>
      <c r="C80" s="809">
        <v>784386</v>
      </c>
      <c r="D80" s="809">
        <v>78314255.56</v>
      </c>
      <c r="E80" s="810">
        <v>5748</v>
      </c>
      <c r="F80" s="811"/>
      <c r="G80" s="812"/>
      <c r="H80" s="812"/>
      <c r="I80" s="812"/>
      <c r="J80" s="812"/>
      <c r="K80" s="812"/>
      <c r="L80" s="812"/>
      <c r="M80" s="812"/>
      <c r="N80" s="812"/>
      <c r="O80" s="812"/>
      <c r="P80" s="812"/>
      <c r="Q80" s="812"/>
      <c r="R80" s="812"/>
      <c r="S80" s="812"/>
      <c r="T80" s="812"/>
      <c r="U80" s="812"/>
      <c r="V80" s="812"/>
      <c r="W80" s="812"/>
      <c r="X80" s="812"/>
      <c r="Y80" s="812"/>
      <c r="Z80" s="812"/>
      <c r="AA80" s="812"/>
      <c r="AB80" s="813"/>
    </row>
    <row r="81" spans="2:28">
      <c r="B81" s="808" t="s">
        <v>3093</v>
      </c>
      <c r="C81" s="809">
        <v>1302034</v>
      </c>
      <c r="D81" s="809">
        <v>132898823.34</v>
      </c>
      <c r="E81" s="810">
        <v>4855</v>
      </c>
      <c r="F81" s="811"/>
      <c r="G81" s="812"/>
      <c r="H81" s="812"/>
      <c r="I81" s="812"/>
      <c r="J81" s="812"/>
      <c r="K81" s="812"/>
      <c r="L81" s="812"/>
      <c r="M81" s="812"/>
      <c r="N81" s="812"/>
      <c r="O81" s="812"/>
      <c r="P81" s="812"/>
      <c r="Q81" s="812"/>
      <c r="R81" s="812"/>
      <c r="S81" s="812"/>
      <c r="T81" s="812"/>
      <c r="U81" s="812"/>
      <c r="V81" s="812"/>
      <c r="W81" s="812"/>
      <c r="X81" s="812"/>
      <c r="Y81" s="812"/>
      <c r="Z81" s="812"/>
      <c r="AA81" s="812"/>
      <c r="AB81" s="813"/>
    </row>
    <row r="82" spans="2:28">
      <c r="B82" s="808" t="s">
        <v>3025</v>
      </c>
      <c r="C82" s="809">
        <v>478847</v>
      </c>
      <c r="D82" s="809">
        <v>48743443.57</v>
      </c>
      <c r="E82" s="810">
        <v>4987</v>
      </c>
      <c r="F82" s="811"/>
      <c r="G82" s="812"/>
      <c r="H82" s="812"/>
      <c r="I82" s="812"/>
      <c r="J82" s="812"/>
      <c r="K82" s="812"/>
      <c r="L82" s="812"/>
      <c r="M82" s="812"/>
      <c r="N82" s="812"/>
      <c r="O82" s="812"/>
      <c r="P82" s="812"/>
      <c r="Q82" s="812"/>
      <c r="R82" s="812"/>
      <c r="S82" s="812"/>
      <c r="T82" s="812"/>
      <c r="U82" s="812"/>
      <c r="V82" s="812"/>
      <c r="W82" s="812"/>
      <c r="X82" s="812"/>
      <c r="Y82" s="812"/>
      <c r="Z82" s="812"/>
      <c r="AA82" s="812"/>
      <c r="AB82" s="813"/>
    </row>
    <row r="83" spans="2:28">
      <c r="B83" s="808" t="s">
        <v>3028</v>
      </c>
      <c r="C83" s="809">
        <v>663803</v>
      </c>
      <c r="D83" s="809">
        <v>68043508.59</v>
      </c>
      <c r="E83" s="810">
        <v>5775</v>
      </c>
      <c r="F83" s="811"/>
      <c r="G83" s="812"/>
      <c r="H83" s="812"/>
      <c r="I83" s="812"/>
      <c r="J83" s="812"/>
      <c r="K83" s="812"/>
      <c r="L83" s="812"/>
      <c r="M83" s="812"/>
      <c r="N83" s="812"/>
      <c r="O83" s="812"/>
      <c r="P83" s="812"/>
      <c r="Q83" s="812"/>
      <c r="R83" s="812"/>
      <c r="S83" s="812"/>
      <c r="T83" s="812"/>
      <c r="U83" s="812"/>
      <c r="V83" s="812"/>
      <c r="W83" s="812"/>
      <c r="X83" s="812"/>
      <c r="Y83" s="812"/>
      <c r="Z83" s="812"/>
      <c r="AA83" s="812"/>
      <c r="AB83" s="813"/>
    </row>
    <row r="84" spans="2:28">
      <c r="B84" s="808" t="s">
        <v>3029</v>
      </c>
      <c r="C84" s="809">
        <v>400310</v>
      </c>
      <c r="D84" s="809">
        <v>41609215.38</v>
      </c>
      <c r="E84" s="810">
        <v>8823</v>
      </c>
      <c r="F84" s="811"/>
      <c r="G84" s="812"/>
      <c r="H84" s="812"/>
      <c r="I84" s="812"/>
      <c r="J84" s="812"/>
      <c r="K84" s="812"/>
      <c r="L84" s="812"/>
      <c r="M84" s="812"/>
      <c r="N84" s="812"/>
      <c r="O84" s="812"/>
      <c r="P84" s="812"/>
      <c r="Q84" s="812"/>
      <c r="R84" s="812"/>
      <c r="S84" s="812"/>
      <c r="T84" s="812"/>
      <c r="U84" s="812"/>
      <c r="V84" s="812"/>
      <c r="W84" s="812"/>
      <c r="X84" s="812"/>
      <c r="Y84" s="812"/>
      <c r="Z84" s="812"/>
      <c r="AA84" s="812"/>
      <c r="AB84" s="813"/>
    </row>
    <row r="85" spans="2:28">
      <c r="B85" s="808" t="s">
        <v>3030</v>
      </c>
      <c r="C85" s="809">
        <v>255224</v>
      </c>
      <c r="D85" s="809">
        <v>27375544.57</v>
      </c>
      <c r="E85" s="810">
        <v>7402</v>
      </c>
      <c r="F85" s="811"/>
      <c r="G85" s="812"/>
      <c r="H85" s="812"/>
      <c r="I85" s="812"/>
      <c r="J85" s="812"/>
      <c r="K85" s="812"/>
      <c r="L85" s="812"/>
      <c r="M85" s="812"/>
      <c r="N85" s="812"/>
      <c r="O85" s="812"/>
      <c r="P85" s="812"/>
      <c r="Q85" s="812"/>
      <c r="R85" s="812"/>
      <c r="S85" s="812"/>
      <c r="T85" s="812"/>
      <c r="U85" s="812"/>
      <c r="V85" s="812"/>
      <c r="W85" s="812"/>
      <c r="X85" s="812"/>
      <c r="Y85" s="812"/>
      <c r="Z85" s="812"/>
      <c r="AA85" s="812"/>
      <c r="AB85" s="813"/>
    </row>
    <row r="86" spans="2:28">
      <c r="B86" s="808" t="s">
        <v>3032</v>
      </c>
      <c r="C86" s="809">
        <v>220365</v>
      </c>
      <c r="D86" s="809">
        <v>21751296.27</v>
      </c>
      <c r="E86" s="810">
        <v>10913</v>
      </c>
      <c r="F86" s="811"/>
      <c r="G86" s="812"/>
      <c r="H86" s="812"/>
      <c r="I86" s="812"/>
      <c r="J86" s="812"/>
      <c r="K86" s="812"/>
      <c r="L86" s="812"/>
      <c r="M86" s="812"/>
      <c r="N86" s="812"/>
      <c r="O86" s="812"/>
      <c r="P86" s="812"/>
      <c r="Q86" s="812"/>
      <c r="R86" s="812"/>
      <c r="S86" s="812"/>
      <c r="T86" s="812"/>
      <c r="U86" s="812"/>
      <c r="V86" s="812"/>
      <c r="W86" s="812"/>
      <c r="X86" s="812"/>
      <c r="Y86" s="812"/>
      <c r="Z86" s="812"/>
      <c r="AA86" s="812"/>
      <c r="AB86" s="813"/>
    </row>
    <row r="87" spans="2:28">
      <c r="B87" s="808" t="s">
        <v>3033</v>
      </c>
      <c r="C87" s="809">
        <v>181166</v>
      </c>
      <c r="D87" s="809">
        <v>18665464.98</v>
      </c>
      <c r="E87" s="810">
        <v>11163</v>
      </c>
      <c r="F87" s="811"/>
      <c r="G87" s="812"/>
      <c r="H87" s="812"/>
      <c r="I87" s="812"/>
      <c r="J87" s="812"/>
      <c r="K87" s="812"/>
      <c r="L87" s="812"/>
      <c r="M87" s="812"/>
      <c r="N87" s="812"/>
      <c r="O87" s="812"/>
      <c r="P87" s="812"/>
      <c r="Q87" s="812"/>
      <c r="R87" s="812"/>
      <c r="S87" s="812"/>
      <c r="T87" s="812"/>
      <c r="U87" s="812"/>
      <c r="V87" s="812"/>
      <c r="W87" s="812"/>
      <c r="X87" s="812"/>
      <c r="Y87" s="812"/>
      <c r="Z87" s="812"/>
      <c r="AA87" s="812"/>
      <c r="AB87" s="813"/>
    </row>
    <row r="88" spans="2:28">
      <c r="B88" s="808" t="s">
        <v>3034</v>
      </c>
      <c r="C88" s="809">
        <v>468560</v>
      </c>
      <c r="D88" s="809">
        <v>51400570.54</v>
      </c>
      <c r="E88" s="810">
        <v>10860</v>
      </c>
      <c r="F88" s="811"/>
      <c r="G88" s="812"/>
      <c r="H88" s="812"/>
      <c r="I88" s="812"/>
      <c r="J88" s="812"/>
      <c r="K88" s="812"/>
      <c r="L88" s="812"/>
      <c r="M88" s="812"/>
      <c r="N88" s="812"/>
      <c r="O88" s="812"/>
      <c r="P88" s="812"/>
      <c r="Q88" s="812"/>
      <c r="R88" s="812"/>
      <c r="S88" s="812"/>
      <c r="T88" s="812"/>
      <c r="U88" s="812"/>
      <c r="V88" s="812"/>
      <c r="W88" s="812"/>
      <c r="X88" s="812"/>
      <c r="Y88" s="812"/>
      <c r="Z88" s="812"/>
      <c r="AA88" s="812"/>
      <c r="AB88" s="813"/>
    </row>
    <row r="89" spans="2:28">
      <c r="B89" s="808" t="s">
        <v>3035</v>
      </c>
      <c r="C89" s="809">
        <v>254042</v>
      </c>
      <c r="D89" s="809">
        <v>25890816.96</v>
      </c>
      <c r="E89" s="810">
        <v>11330</v>
      </c>
      <c r="F89" s="811"/>
      <c r="G89" s="812"/>
      <c r="H89" s="812"/>
      <c r="I89" s="812"/>
      <c r="J89" s="812"/>
      <c r="K89" s="812"/>
      <c r="L89" s="812"/>
      <c r="M89" s="812"/>
      <c r="N89" s="812"/>
      <c r="O89" s="812"/>
      <c r="P89" s="812"/>
      <c r="Q89" s="812"/>
      <c r="R89" s="812"/>
      <c r="S89" s="812"/>
      <c r="T89" s="812"/>
      <c r="U89" s="812"/>
      <c r="V89" s="812"/>
      <c r="W89" s="812"/>
      <c r="X89" s="812"/>
      <c r="Y89" s="812"/>
      <c r="Z89" s="812"/>
      <c r="AA89" s="812"/>
      <c r="AB89" s="813"/>
    </row>
    <row r="90" spans="2:28">
      <c r="B90" s="808" t="s">
        <v>3036</v>
      </c>
      <c r="C90" s="809">
        <v>205098</v>
      </c>
      <c r="D90" s="809">
        <v>22566710.51</v>
      </c>
      <c r="E90" s="810">
        <v>12579</v>
      </c>
      <c r="F90" s="811"/>
      <c r="G90" s="812"/>
      <c r="H90" s="812"/>
      <c r="I90" s="812"/>
      <c r="J90" s="812"/>
      <c r="K90" s="812"/>
      <c r="L90" s="812"/>
      <c r="M90" s="812"/>
      <c r="N90" s="812"/>
      <c r="O90" s="812"/>
      <c r="P90" s="812"/>
      <c r="Q90" s="812"/>
      <c r="R90" s="812"/>
      <c r="S90" s="812"/>
      <c r="T90" s="812"/>
      <c r="U90" s="812"/>
      <c r="V90" s="812"/>
      <c r="W90" s="812"/>
      <c r="X90" s="812"/>
      <c r="Y90" s="812"/>
      <c r="Z90" s="812"/>
      <c r="AA90" s="812"/>
      <c r="AB90" s="813"/>
    </row>
    <row r="91" spans="2:28">
      <c r="B91" s="808" t="s">
        <v>3037</v>
      </c>
      <c r="C91" s="809">
        <v>309515</v>
      </c>
      <c r="D91" s="809">
        <v>36089782.97</v>
      </c>
      <c r="E91" s="810">
        <v>12732</v>
      </c>
      <c r="F91" s="811"/>
      <c r="G91" s="812"/>
      <c r="H91" s="812"/>
      <c r="I91" s="812"/>
      <c r="J91" s="812"/>
      <c r="K91" s="812"/>
      <c r="L91" s="812"/>
      <c r="M91" s="812"/>
      <c r="N91" s="812"/>
      <c r="O91" s="812"/>
      <c r="P91" s="812"/>
      <c r="Q91" s="812"/>
      <c r="R91" s="812"/>
      <c r="S91" s="812"/>
      <c r="T91" s="812"/>
      <c r="U91" s="812"/>
      <c r="V91" s="812"/>
      <c r="W91" s="812"/>
      <c r="X91" s="812"/>
      <c r="Y91" s="812"/>
      <c r="Z91" s="812"/>
      <c r="AA91" s="812"/>
      <c r="AB91" s="813"/>
    </row>
    <row r="92" spans="2:28">
      <c r="B92" s="808" t="s">
        <v>3038</v>
      </c>
      <c r="C92" s="809">
        <v>356895</v>
      </c>
      <c r="D92" s="809">
        <v>38582968.12</v>
      </c>
      <c r="E92" s="810">
        <v>8428</v>
      </c>
      <c r="F92" s="811"/>
      <c r="G92" s="812"/>
      <c r="H92" s="812"/>
      <c r="I92" s="812"/>
      <c r="J92" s="812"/>
      <c r="K92" s="812"/>
      <c r="L92" s="812"/>
      <c r="M92" s="812"/>
      <c r="N92" s="812"/>
      <c r="O92" s="812"/>
      <c r="P92" s="812"/>
      <c r="Q92" s="812"/>
      <c r="R92" s="812"/>
      <c r="S92" s="812"/>
      <c r="T92" s="812"/>
      <c r="U92" s="812"/>
      <c r="V92" s="812"/>
      <c r="W92" s="812"/>
      <c r="X92" s="812"/>
      <c r="Y92" s="812"/>
      <c r="Z92" s="812"/>
      <c r="AA92" s="812"/>
      <c r="AB92" s="813"/>
    </row>
    <row r="93" spans="2:28">
      <c r="B93" s="808" t="s">
        <v>3039</v>
      </c>
      <c r="C93" s="809">
        <v>634836</v>
      </c>
      <c r="D93" s="809">
        <v>75182275.46</v>
      </c>
      <c r="E93" s="810">
        <v>12976</v>
      </c>
      <c r="F93" s="811"/>
      <c r="G93" s="812"/>
      <c r="H93" s="812"/>
      <c r="I93" s="812"/>
      <c r="J93" s="812"/>
      <c r="K93" s="812"/>
      <c r="L93" s="812"/>
      <c r="M93" s="812"/>
      <c r="N93" s="812"/>
      <c r="O93" s="812"/>
      <c r="P93" s="812"/>
      <c r="Q93" s="812"/>
      <c r="R93" s="812"/>
      <c r="S93" s="812"/>
      <c r="T93" s="812"/>
      <c r="U93" s="812"/>
      <c r="V93" s="812"/>
      <c r="W93" s="812"/>
      <c r="X93" s="812"/>
      <c r="Y93" s="812"/>
      <c r="Z93" s="812"/>
      <c r="AA93" s="812"/>
      <c r="AB93" s="813"/>
    </row>
    <row r="94" spans="2:28">
      <c r="B94" s="808" t="s">
        <v>3094</v>
      </c>
      <c r="C94" s="809">
        <v>289062</v>
      </c>
      <c r="D94" s="809">
        <v>33408219.78</v>
      </c>
      <c r="E94" s="810">
        <v>19372</v>
      </c>
      <c r="F94" s="811"/>
      <c r="G94" s="812"/>
      <c r="H94" s="812"/>
      <c r="I94" s="812"/>
      <c r="J94" s="812"/>
      <c r="K94" s="812"/>
      <c r="L94" s="812"/>
      <c r="M94" s="812"/>
      <c r="N94" s="812"/>
      <c r="O94" s="812"/>
      <c r="P94" s="812"/>
      <c r="Q94" s="812"/>
      <c r="R94" s="812"/>
      <c r="S94" s="812"/>
      <c r="T94" s="812"/>
      <c r="U94" s="812"/>
      <c r="V94" s="812"/>
      <c r="W94" s="812"/>
      <c r="X94" s="812"/>
      <c r="Y94" s="812"/>
      <c r="Z94" s="812"/>
      <c r="AA94" s="812"/>
      <c r="AB94" s="813"/>
    </row>
    <row r="95" spans="2:28">
      <c r="B95" s="808" t="s">
        <v>3095</v>
      </c>
      <c r="C95" s="809">
        <v>300179</v>
      </c>
      <c r="D95" s="809">
        <v>31736154.15</v>
      </c>
      <c r="E95" s="810">
        <v>10092</v>
      </c>
      <c r="F95" s="811"/>
      <c r="G95" s="812"/>
      <c r="H95" s="812"/>
      <c r="I95" s="812"/>
      <c r="J95" s="812"/>
      <c r="K95" s="812"/>
      <c r="L95" s="812"/>
      <c r="M95" s="812"/>
      <c r="N95" s="812"/>
      <c r="O95" s="812"/>
      <c r="P95" s="812"/>
      <c r="Q95" s="812"/>
      <c r="R95" s="812"/>
      <c r="S95" s="812"/>
      <c r="T95" s="812"/>
      <c r="U95" s="812"/>
      <c r="V95" s="812"/>
      <c r="W95" s="812"/>
      <c r="X95" s="812"/>
      <c r="Y95" s="812"/>
      <c r="Z95" s="812"/>
      <c r="AA95" s="812"/>
      <c r="AB95" s="813"/>
    </row>
    <row r="96" spans="2:28">
      <c r="B96" s="808" t="s">
        <v>3096</v>
      </c>
      <c r="C96" s="809">
        <v>303733</v>
      </c>
      <c r="D96" s="809">
        <v>34527024.01</v>
      </c>
      <c r="E96" s="810">
        <v>13190</v>
      </c>
      <c r="F96" s="811"/>
      <c r="G96" s="812"/>
      <c r="H96" s="812"/>
      <c r="I96" s="812"/>
      <c r="J96" s="812"/>
      <c r="K96" s="812"/>
      <c r="L96" s="812"/>
      <c r="M96" s="812"/>
      <c r="N96" s="812"/>
      <c r="O96" s="812"/>
      <c r="P96" s="812"/>
      <c r="Q96" s="812"/>
      <c r="R96" s="812"/>
      <c r="S96" s="812"/>
      <c r="T96" s="812"/>
      <c r="U96" s="812"/>
      <c r="V96" s="812"/>
      <c r="W96" s="812"/>
      <c r="X96" s="812"/>
      <c r="Y96" s="812"/>
      <c r="Z96" s="812"/>
      <c r="AA96" s="812"/>
      <c r="AB96" s="813"/>
    </row>
    <row r="97" spans="1:28">
      <c r="B97" s="814"/>
      <c r="C97" s="815"/>
      <c r="D97" s="815"/>
      <c r="E97" s="816"/>
      <c r="F97" s="811"/>
      <c r="G97" s="812"/>
      <c r="H97" s="812"/>
      <c r="I97" s="812"/>
      <c r="J97" s="812"/>
      <c r="K97" s="812"/>
      <c r="L97" s="812"/>
      <c r="M97" s="812"/>
      <c r="N97" s="812"/>
      <c r="O97" s="812"/>
      <c r="P97" s="812"/>
      <c r="Q97" s="812"/>
      <c r="R97" s="812"/>
      <c r="S97" s="812"/>
      <c r="T97" s="812"/>
      <c r="U97" s="812"/>
      <c r="V97" s="812"/>
      <c r="W97" s="812"/>
      <c r="X97" s="812"/>
      <c r="Y97" s="812"/>
      <c r="Z97" s="812"/>
      <c r="AA97" s="812"/>
      <c r="AB97" s="813"/>
    </row>
    <row r="98" spans="1:28">
      <c r="B98" s="817"/>
      <c r="C98" s="818"/>
      <c r="D98" s="818"/>
      <c r="E98" s="819"/>
      <c r="F98" s="811"/>
      <c r="G98" s="812"/>
      <c r="H98" s="812"/>
      <c r="I98" s="812"/>
      <c r="J98" s="812"/>
      <c r="K98" s="812"/>
      <c r="L98" s="812"/>
      <c r="M98" s="812"/>
      <c r="N98" s="812"/>
      <c r="O98" s="812"/>
      <c r="P98" s="812"/>
      <c r="Q98" s="812"/>
      <c r="R98" s="812"/>
      <c r="S98" s="812"/>
      <c r="T98" s="812"/>
      <c r="U98" s="812"/>
      <c r="V98" s="812"/>
      <c r="W98" s="812"/>
      <c r="X98" s="812"/>
      <c r="Y98" s="812"/>
      <c r="Z98" s="812"/>
      <c r="AA98" s="812"/>
      <c r="AB98" s="813"/>
    </row>
    <row r="99" spans="1:28">
      <c r="B99" s="817"/>
      <c r="C99" s="818"/>
      <c r="D99" s="818"/>
      <c r="E99" s="819"/>
      <c r="F99" s="811"/>
      <c r="G99" s="812"/>
      <c r="H99" s="812"/>
      <c r="I99" s="812"/>
      <c r="J99" s="812"/>
      <c r="K99" s="812"/>
      <c r="L99" s="812"/>
      <c r="M99" s="812"/>
      <c r="N99" s="812"/>
      <c r="O99" s="812"/>
      <c r="P99" s="812"/>
      <c r="Q99" s="812"/>
      <c r="R99" s="812"/>
      <c r="S99" s="812"/>
      <c r="T99" s="812"/>
      <c r="U99" s="812"/>
      <c r="V99" s="812"/>
      <c r="W99" s="812"/>
      <c r="X99" s="812"/>
      <c r="Y99" s="812"/>
      <c r="Z99" s="812"/>
      <c r="AA99" s="812"/>
      <c r="AB99" s="813"/>
    </row>
    <row r="100" spans="1:28">
      <c r="B100" s="820"/>
      <c r="C100" s="821"/>
      <c r="D100" s="821"/>
      <c r="E100" s="822"/>
      <c r="F100" s="823"/>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5"/>
    </row>
    <row r="101" ht="17.25" spans="1:28">
      <c r="B101" s="826"/>
      <c r="C101" s="827"/>
      <c r="D101" s="828"/>
      <c r="E101" s="826"/>
      <c r="F101" s="790"/>
      <c r="G101" s="790"/>
      <c r="H101" s="790"/>
      <c r="J101" s="698"/>
      <c r="M101" s="713"/>
      <c r="N101" s="713"/>
      <c r="O101" s="713"/>
      <c r="P101" s="713"/>
      <c r="Q101" s="713"/>
      <c r="R101" s="713"/>
      <c r="S101" s="713"/>
      <c r="T101" s="713"/>
      <c r="U101" s="713"/>
      <c r="V101" s="713"/>
      <c r="W101" s="713"/>
      <c r="X101" s="713"/>
      <c r="Y101" s="791"/>
    </row>
    <row r="102" ht="17.25" spans="1:28">
      <c r="A102" s="829" t="s">
        <v>3097</v>
      </c>
      <c r="B102" s="830" t="s">
        <v>815</v>
      </c>
      <c r="C102" s="831" t="s">
        <v>3098</v>
      </c>
      <c r="D102" s="832" t="s">
        <v>3099</v>
      </c>
      <c r="E102" s="831" t="s">
        <v>3100</v>
      </c>
      <c r="F102" s="833" t="s">
        <v>3022</v>
      </c>
      <c r="G102" s="833" t="s">
        <v>3023</v>
      </c>
      <c r="H102" s="834" t="s">
        <v>3101</v>
      </c>
      <c r="J102" s="698"/>
      <c r="M102" s="713"/>
      <c r="N102" s="713"/>
      <c r="O102" s="713"/>
      <c r="P102" s="713"/>
      <c r="Q102" s="713"/>
      <c r="R102" s="713"/>
      <c r="S102" s="713"/>
      <c r="T102" s="713"/>
      <c r="U102" s="713"/>
      <c r="V102" s="713"/>
      <c r="W102" s="713"/>
      <c r="X102" s="713"/>
      <c r="Y102" s="791"/>
    </row>
    <row r="103" spans="1:28">
      <c r="B103" s="835" t="s">
        <v>846</v>
      </c>
      <c r="C103" s="697">
        <v>73868</v>
      </c>
      <c r="D103" s="700">
        <v>10891184.26</v>
      </c>
      <c r="E103" s="697">
        <v>9</v>
      </c>
      <c r="F103" s="790">
        <f>C103/$C$150</f>
        <v>0.242877387493136</v>
      </c>
      <c r="G103" s="790">
        <f>D103/$D$150</f>
        <v>0.328163794904071</v>
      </c>
      <c r="H103" s="836">
        <f>E103/$E$150</f>
        <v>0.09</v>
      </c>
      <c r="J103" s="698"/>
      <c r="M103" s="713"/>
      <c r="N103" s="713"/>
      <c r="O103" s="713"/>
      <c r="P103" s="713"/>
      <c r="Q103" s="713"/>
      <c r="R103" s="713"/>
      <c r="S103" s="713"/>
      <c r="T103" s="713"/>
      <c r="U103" s="713"/>
      <c r="V103" s="713"/>
      <c r="W103" s="713"/>
      <c r="X103" s="713"/>
      <c r="Y103" s="791"/>
    </row>
    <row r="104" spans="1:28">
      <c r="B104" s="835" t="s">
        <v>861</v>
      </c>
      <c r="C104" s="697">
        <v>71666</v>
      </c>
      <c r="D104" s="700">
        <v>6591282.01</v>
      </c>
      <c r="E104" s="697">
        <v>8</v>
      </c>
      <c r="F104" s="790">
        <f t="shared" ref="F104:F150" si="15">C104/$C$150</f>
        <v>0.235637229274965</v>
      </c>
      <c r="G104" s="790">
        <f t="shared" ref="G104:G150" si="16">D104/$D$150</f>
        <v>0.198602839328377</v>
      </c>
      <c r="H104" s="836">
        <f t="shared" ref="H104:H150" si="17">E104/$E$150</f>
        <v>0.08</v>
      </c>
      <c r="J104" s="698"/>
      <c r="M104" s="713"/>
      <c r="N104" s="713"/>
      <c r="O104" s="713"/>
      <c r="P104" s="713"/>
      <c r="Q104" s="713"/>
      <c r="R104" s="713"/>
      <c r="S104" s="713"/>
      <c r="T104" s="713"/>
      <c r="U104" s="713"/>
      <c r="V104" s="713"/>
      <c r="W104" s="713"/>
      <c r="X104" s="713"/>
      <c r="Y104" s="791"/>
    </row>
    <row r="105" spans="1:28">
      <c r="B105" s="835" t="s">
        <v>872</v>
      </c>
      <c r="C105" s="697">
        <v>48336</v>
      </c>
      <c r="D105" s="700">
        <v>5146592.7</v>
      </c>
      <c r="E105" s="697">
        <v>4</v>
      </c>
      <c r="F105" s="790">
        <f t="shared" si="15"/>
        <v>0.158928377671904</v>
      </c>
      <c r="G105" s="790">
        <f t="shared" si="16"/>
        <v>0.155072703843649</v>
      </c>
      <c r="H105" s="836">
        <f t="shared" si="17"/>
        <v>0.04</v>
      </c>
      <c r="J105" s="698"/>
      <c r="M105" s="713"/>
      <c r="N105" s="713"/>
      <c r="O105" s="713"/>
      <c r="P105" s="713"/>
      <c r="Q105" s="713"/>
      <c r="R105" s="713"/>
      <c r="S105" s="713"/>
      <c r="T105" s="713"/>
      <c r="U105" s="713"/>
      <c r="V105" s="713"/>
      <c r="W105" s="713"/>
      <c r="X105" s="713"/>
      <c r="Y105" s="791"/>
    </row>
    <row r="106" spans="1:28">
      <c r="B106" s="835" t="s">
        <v>1059</v>
      </c>
      <c r="C106" s="697">
        <v>13516</v>
      </c>
      <c r="D106" s="700">
        <v>1232577.938</v>
      </c>
      <c r="E106" s="697">
        <v>9</v>
      </c>
      <c r="F106" s="790">
        <f t="shared" si="15"/>
        <v>0.0444404988541348</v>
      </c>
      <c r="G106" s="790">
        <f t="shared" si="16"/>
        <v>0.0371389780939318</v>
      </c>
      <c r="H106" s="836">
        <f t="shared" si="17"/>
        <v>0.09</v>
      </c>
      <c r="J106" s="698"/>
      <c r="M106" s="713"/>
      <c r="N106" s="713"/>
      <c r="O106" s="713"/>
      <c r="P106" s="713"/>
      <c r="Q106" s="713"/>
      <c r="R106" s="713"/>
      <c r="S106" s="713"/>
      <c r="T106" s="713"/>
      <c r="U106" s="713"/>
      <c r="V106" s="713"/>
      <c r="W106" s="713"/>
      <c r="X106" s="713"/>
      <c r="Y106" s="791"/>
    </row>
    <row r="107" spans="1:28">
      <c r="B107" s="835" t="s">
        <v>954</v>
      </c>
      <c r="C107" s="697">
        <v>10156</v>
      </c>
      <c r="D107" s="700">
        <v>645445.12</v>
      </c>
      <c r="E107" s="697">
        <v>3</v>
      </c>
      <c r="F107" s="790">
        <f t="shared" si="15"/>
        <v>0.0333928459871703</v>
      </c>
      <c r="G107" s="790">
        <f t="shared" si="16"/>
        <v>0.0194479971071129</v>
      </c>
      <c r="H107" s="836">
        <f t="shared" si="17"/>
        <v>0.03</v>
      </c>
      <c r="J107" s="698"/>
      <c r="M107" s="713"/>
      <c r="N107" s="713"/>
      <c r="O107" s="713"/>
      <c r="P107" s="713"/>
      <c r="Q107" s="713"/>
      <c r="R107" s="713"/>
      <c r="S107" s="713"/>
      <c r="T107" s="713"/>
      <c r="U107" s="713"/>
      <c r="V107" s="713"/>
      <c r="W107" s="713"/>
      <c r="X107" s="713"/>
      <c r="Y107" s="791"/>
    </row>
    <row r="108" spans="1:28">
      <c r="B108" s="835" t="s">
        <v>971</v>
      </c>
      <c r="C108" s="697">
        <v>8893</v>
      </c>
      <c r="D108" s="700">
        <v>889693.66</v>
      </c>
      <c r="E108" s="697">
        <v>4</v>
      </c>
      <c r="F108" s="790">
        <f t="shared" si="15"/>
        <v>0.0292401121862845</v>
      </c>
      <c r="G108" s="790">
        <f t="shared" si="16"/>
        <v>0.0268074839978598</v>
      </c>
      <c r="H108" s="836">
        <f t="shared" si="17"/>
        <v>0.04</v>
      </c>
      <c r="J108" s="698"/>
      <c r="M108" s="713"/>
      <c r="N108" s="713"/>
      <c r="O108" s="713"/>
      <c r="P108" s="713"/>
      <c r="Q108" s="713"/>
      <c r="R108" s="713"/>
      <c r="S108" s="713"/>
      <c r="T108" s="713"/>
      <c r="U108" s="713"/>
      <c r="V108" s="713"/>
      <c r="W108" s="713"/>
      <c r="X108" s="713"/>
      <c r="Y108" s="791"/>
    </row>
    <row r="109" spans="1:28">
      <c r="B109" s="835" t="s">
        <v>931</v>
      </c>
      <c r="C109" s="697">
        <v>8839</v>
      </c>
      <c r="D109" s="700">
        <v>420729.49</v>
      </c>
      <c r="E109" s="697">
        <v>4</v>
      </c>
      <c r="F109" s="790">
        <f t="shared" si="15"/>
        <v>0.0290625606223511</v>
      </c>
      <c r="G109" s="790">
        <f t="shared" si="16"/>
        <v>0.0126770590571621</v>
      </c>
      <c r="H109" s="836">
        <f t="shared" si="17"/>
        <v>0.04</v>
      </c>
      <c r="J109" s="698"/>
      <c r="M109" s="713"/>
      <c r="N109" s="713"/>
      <c r="O109" s="713"/>
      <c r="P109" s="713"/>
      <c r="Q109" s="713"/>
      <c r="R109" s="713"/>
      <c r="S109" s="713"/>
      <c r="T109" s="713"/>
      <c r="U109" s="713"/>
      <c r="V109" s="713"/>
      <c r="W109" s="713"/>
      <c r="X109" s="713"/>
      <c r="Y109" s="791"/>
    </row>
    <row r="110" spans="1:28">
      <c r="B110" s="835" t="s">
        <v>1152</v>
      </c>
      <c r="C110" s="697">
        <v>6105</v>
      </c>
      <c r="D110" s="700">
        <v>453468.865</v>
      </c>
      <c r="E110" s="697">
        <v>3</v>
      </c>
      <c r="F110" s="790">
        <f t="shared" si="15"/>
        <v>0.0200731907002436</v>
      </c>
      <c r="G110" s="790">
        <f t="shared" si="16"/>
        <v>0.0136635337403833</v>
      </c>
      <c r="H110" s="836">
        <f t="shared" si="17"/>
        <v>0.03</v>
      </c>
      <c r="J110" s="698"/>
      <c r="M110" s="713"/>
      <c r="N110" s="713"/>
      <c r="O110" s="713"/>
      <c r="P110" s="713"/>
      <c r="Q110" s="713"/>
      <c r="R110" s="713"/>
      <c r="S110" s="713"/>
      <c r="T110" s="713"/>
      <c r="U110" s="713"/>
      <c r="V110" s="713"/>
      <c r="W110" s="713"/>
      <c r="X110" s="713"/>
      <c r="Y110" s="791"/>
    </row>
    <row r="111" spans="1:28">
      <c r="B111" s="835" t="s">
        <v>1173</v>
      </c>
      <c r="C111" s="697">
        <v>5756</v>
      </c>
      <c r="D111" s="700">
        <v>471566.68</v>
      </c>
      <c r="E111" s="697">
        <v>4</v>
      </c>
      <c r="F111" s="790">
        <f t="shared" si="15"/>
        <v>0.0189256815185262</v>
      </c>
      <c r="G111" s="790">
        <f t="shared" si="16"/>
        <v>0.01420884153319</v>
      </c>
      <c r="H111" s="836">
        <f t="shared" si="17"/>
        <v>0.04</v>
      </c>
      <c r="J111" s="698"/>
      <c r="M111" s="713"/>
      <c r="N111" s="713"/>
      <c r="O111" s="713"/>
      <c r="P111" s="713"/>
      <c r="Q111" s="713"/>
      <c r="R111" s="713"/>
      <c r="S111" s="713"/>
      <c r="T111" s="713"/>
      <c r="U111" s="713"/>
      <c r="V111" s="713"/>
      <c r="W111" s="713"/>
      <c r="X111" s="713"/>
      <c r="Y111" s="791"/>
    </row>
    <row r="112" spans="1:28">
      <c r="B112" s="835" t="s">
        <v>991</v>
      </c>
      <c r="C112" s="697">
        <v>5094</v>
      </c>
      <c r="D112" s="700">
        <v>464519.05</v>
      </c>
      <c r="E112" s="697">
        <v>2</v>
      </c>
      <c r="F112" s="790">
        <f t="shared" si="15"/>
        <v>0.0167490308643802</v>
      </c>
      <c r="G112" s="790">
        <f t="shared" si="16"/>
        <v>0.0139964884088036</v>
      </c>
      <c r="H112" s="836">
        <f t="shared" si="17"/>
        <v>0.02</v>
      </c>
      <c r="J112" s="698"/>
      <c r="M112" s="713"/>
      <c r="N112" s="713"/>
      <c r="O112" s="713"/>
      <c r="P112" s="713"/>
      <c r="Q112" s="713"/>
      <c r="R112" s="713"/>
      <c r="S112" s="713"/>
      <c r="T112" s="713"/>
      <c r="U112" s="713"/>
      <c r="V112" s="713"/>
      <c r="W112" s="713"/>
      <c r="X112" s="713"/>
      <c r="Y112" s="791"/>
    </row>
    <row r="113" spans="2:25">
      <c r="B113" s="835" t="s">
        <v>1868</v>
      </c>
      <c r="C113" s="697">
        <v>3836</v>
      </c>
      <c r="D113" s="700">
        <v>22478.96</v>
      </c>
      <c r="E113" s="697">
        <v>1</v>
      </c>
      <c r="F113" s="790">
        <f t="shared" si="15"/>
        <v>0.0126127370231179</v>
      </c>
      <c r="G113" s="790">
        <f t="shared" si="16"/>
        <v>0.000677316685035757</v>
      </c>
      <c r="H113" s="836">
        <f t="shared" si="17"/>
        <v>0.01</v>
      </c>
      <c r="J113" s="698"/>
      <c r="M113" s="713"/>
      <c r="N113" s="713"/>
      <c r="O113" s="713"/>
      <c r="P113" s="713"/>
      <c r="Q113" s="713"/>
      <c r="R113" s="713"/>
      <c r="S113" s="713"/>
      <c r="T113" s="713"/>
      <c r="U113" s="713"/>
      <c r="V113" s="713"/>
      <c r="W113" s="713"/>
      <c r="X113" s="713"/>
      <c r="Y113" s="791"/>
    </row>
    <row r="114" spans="2:25">
      <c r="B114" s="835" t="s">
        <v>1408</v>
      </c>
      <c r="C114" s="697">
        <v>3638</v>
      </c>
      <c r="D114" s="700">
        <v>403777.198</v>
      </c>
      <c r="E114" s="697">
        <v>6</v>
      </c>
      <c r="F114" s="790">
        <f t="shared" si="15"/>
        <v>0.0119617146220289</v>
      </c>
      <c r="G114" s="790">
        <f t="shared" si="16"/>
        <v>0.0121662671779471</v>
      </c>
      <c r="H114" s="836">
        <f t="shared" si="17"/>
        <v>0.06</v>
      </c>
      <c r="J114" s="698"/>
      <c r="M114" s="713"/>
      <c r="N114" s="713"/>
      <c r="O114" s="713"/>
      <c r="P114" s="713"/>
      <c r="Q114" s="713"/>
      <c r="R114" s="713"/>
      <c r="S114" s="713"/>
      <c r="T114" s="713"/>
      <c r="U114" s="713"/>
      <c r="V114" s="713"/>
      <c r="W114" s="713"/>
      <c r="X114" s="713"/>
      <c r="Y114" s="791"/>
    </row>
    <row r="115" spans="2:25">
      <c r="B115" s="835" t="s">
        <v>1799</v>
      </c>
      <c r="C115" s="697">
        <v>3320</v>
      </c>
      <c r="D115" s="700">
        <v>219757.299</v>
      </c>
      <c r="E115" s="697">
        <v>2</v>
      </c>
      <c r="F115" s="790">
        <f t="shared" si="15"/>
        <v>0.0109161331899769</v>
      </c>
      <c r="G115" s="790">
        <f t="shared" si="16"/>
        <v>0.00662153788569808</v>
      </c>
      <c r="H115" s="836">
        <f t="shared" si="17"/>
        <v>0.02</v>
      </c>
      <c r="J115" s="698"/>
      <c r="M115" s="713"/>
      <c r="N115" s="713"/>
      <c r="O115" s="713"/>
      <c r="P115" s="713"/>
      <c r="Q115" s="713"/>
      <c r="R115" s="713"/>
      <c r="S115" s="713"/>
      <c r="T115" s="713"/>
      <c r="U115" s="713"/>
      <c r="V115" s="713"/>
      <c r="W115" s="713"/>
      <c r="X115" s="713"/>
      <c r="Y115" s="791"/>
    </row>
    <row r="116" spans="2:25">
      <c r="B116" s="835" t="s">
        <v>1069</v>
      </c>
      <c r="C116" s="697">
        <v>3187</v>
      </c>
      <c r="D116" s="700">
        <v>121321.66</v>
      </c>
      <c r="E116" s="697">
        <v>3</v>
      </c>
      <c r="F116" s="790">
        <f t="shared" si="15"/>
        <v>0.0104788302639929</v>
      </c>
      <c r="G116" s="790">
        <f t="shared" si="16"/>
        <v>0.00365555989130437</v>
      </c>
      <c r="H116" s="836">
        <f t="shared" si="17"/>
        <v>0.03</v>
      </c>
      <c r="J116" s="698"/>
      <c r="M116" s="713"/>
      <c r="N116" s="713"/>
      <c r="O116" s="713"/>
      <c r="P116" s="713"/>
      <c r="Q116" s="713"/>
      <c r="R116" s="713"/>
      <c r="S116" s="713"/>
      <c r="T116" s="713"/>
      <c r="U116" s="713"/>
      <c r="V116" s="713"/>
      <c r="W116" s="713"/>
      <c r="X116" s="713"/>
      <c r="Y116" s="791"/>
    </row>
    <row r="117" spans="2:25">
      <c r="B117" s="835" t="s">
        <v>1026</v>
      </c>
      <c r="C117" s="697">
        <v>2970</v>
      </c>
      <c r="D117" s="700">
        <v>858330</v>
      </c>
      <c r="E117" s="697">
        <v>1</v>
      </c>
      <c r="F117" s="790">
        <f t="shared" si="15"/>
        <v>0.00976533601633474</v>
      </c>
      <c r="G117" s="790">
        <f t="shared" si="16"/>
        <v>0.02586246117555</v>
      </c>
      <c r="H117" s="836">
        <f t="shared" si="17"/>
        <v>0.01</v>
      </c>
      <c r="J117" s="698"/>
      <c r="M117" s="713"/>
      <c r="N117" s="713"/>
      <c r="O117" s="713"/>
      <c r="P117" s="713"/>
      <c r="Q117" s="713"/>
      <c r="R117" s="713"/>
      <c r="S117" s="713"/>
      <c r="T117" s="713"/>
      <c r="U117" s="713"/>
      <c r="V117" s="713"/>
      <c r="W117" s="713"/>
      <c r="X117" s="713"/>
      <c r="Y117" s="791"/>
    </row>
    <row r="118" spans="2:25">
      <c r="B118" s="835" t="s">
        <v>1302</v>
      </c>
      <c r="C118" s="697">
        <v>2727</v>
      </c>
      <c r="D118" s="700">
        <v>229572.724</v>
      </c>
      <c r="E118" s="697">
        <v>3</v>
      </c>
      <c r="F118" s="790">
        <f t="shared" si="15"/>
        <v>0.00896635397863463</v>
      </c>
      <c r="G118" s="790">
        <f t="shared" si="16"/>
        <v>0.00691728782800934</v>
      </c>
      <c r="H118" s="836">
        <f t="shared" si="17"/>
        <v>0.03</v>
      </c>
      <c r="J118" s="698"/>
      <c r="M118" s="713"/>
      <c r="N118" s="713"/>
      <c r="O118" s="713"/>
      <c r="P118" s="713"/>
      <c r="Q118" s="713"/>
      <c r="R118" s="713"/>
      <c r="S118" s="713"/>
      <c r="T118" s="713"/>
      <c r="U118" s="713"/>
      <c r="V118" s="713"/>
      <c r="W118" s="713"/>
      <c r="X118" s="713"/>
      <c r="Y118" s="791"/>
    </row>
    <row r="119" spans="2:25">
      <c r="B119" s="835" t="s">
        <v>1132</v>
      </c>
      <c r="C119" s="697">
        <v>2410</v>
      </c>
      <c r="D119" s="700">
        <v>300602.72</v>
      </c>
      <c r="E119" s="697">
        <v>2</v>
      </c>
      <c r="F119" s="790">
        <f t="shared" si="15"/>
        <v>0.00792406053850732</v>
      </c>
      <c r="G119" s="790">
        <f t="shared" si="16"/>
        <v>0.00905750256342517</v>
      </c>
      <c r="H119" s="836">
        <f t="shared" si="17"/>
        <v>0.02</v>
      </c>
      <c r="J119" s="698"/>
      <c r="M119" s="713"/>
      <c r="N119" s="713"/>
      <c r="O119" s="713"/>
      <c r="P119" s="713"/>
      <c r="Q119" s="713"/>
      <c r="R119" s="713"/>
      <c r="S119" s="713"/>
      <c r="T119" s="713"/>
      <c r="U119" s="713"/>
      <c r="V119" s="713"/>
      <c r="W119" s="713"/>
      <c r="X119" s="713"/>
      <c r="Y119" s="791"/>
    </row>
    <row r="120" spans="2:25">
      <c r="B120" s="835" t="s">
        <v>1189</v>
      </c>
      <c r="C120" s="697">
        <v>2305</v>
      </c>
      <c r="D120" s="700">
        <v>161326.94</v>
      </c>
      <c r="E120" s="697">
        <v>1</v>
      </c>
      <c r="F120" s="790">
        <f t="shared" si="15"/>
        <v>0.00757882138641467</v>
      </c>
      <c r="G120" s="790">
        <f t="shared" si="16"/>
        <v>0.00486096457343945</v>
      </c>
      <c r="H120" s="836">
        <f t="shared" si="17"/>
        <v>0.01</v>
      </c>
      <c r="J120" s="698"/>
      <c r="M120" s="713"/>
      <c r="N120" s="713"/>
      <c r="O120" s="713"/>
      <c r="P120" s="713"/>
      <c r="Q120" s="713"/>
      <c r="R120" s="713"/>
      <c r="S120" s="713"/>
      <c r="T120" s="713"/>
      <c r="U120" s="713"/>
      <c r="V120" s="713"/>
      <c r="W120" s="713"/>
      <c r="X120" s="713"/>
      <c r="Y120" s="791"/>
    </row>
    <row r="121" spans="2:25">
      <c r="B121" s="835" t="s">
        <v>1104</v>
      </c>
      <c r="C121" s="697">
        <v>2205</v>
      </c>
      <c r="D121" s="700">
        <v>352777.97</v>
      </c>
      <c r="E121" s="697">
        <v>1</v>
      </c>
      <c r="F121" s="790">
        <f t="shared" si="15"/>
        <v>0.00725002219394549</v>
      </c>
      <c r="G121" s="790">
        <f t="shared" si="16"/>
        <v>0.0106296023122975</v>
      </c>
      <c r="H121" s="836">
        <f t="shared" si="17"/>
        <v>0.01</v>
      </c>
      <c r="J121" s="698"/>
      <c r="M121" s="713"/>
      <c r="N121" s="713"/>
      <c r="O121" s="713"/>
      <c r="P121" s="713"/>
      <c r="Q121" s="713"/>
      <c r="R121" s="713"/>
      <c r="S121" s="713"/>
      <c r="T121" s="713"/>
      <c r="U121" s="713"/>
      <c r="V121" s="713"/>
      <c r="W121" s="713"/>
      <c r="X121" s="713"/>
      <c r="Y121" s="791"/>
    </row>
    <row r="122" spans="2:25">
      <c r="B122" s="835" t="s">
        <v>1094</v>
      </c>
      <c r="C122" s="697">
        <v>2153</v>
      </c>
      <c r="D122" s="700">
        <v>516698.47</v>
      </c>
      <c r="E122" s="697">
        <v>1</v>
      </c>
      <c r="F122" s="790">
        <f t="shared" si="15"/>
        <v>0.00707904661386152</v>
      </c>
      <c r="G122" s="790">
        <f t="shared" si="16"/>
        <v>0.0155687138045287</v>
      </c>
      <c r="H122" s="836">
        <f t="shared" si="17"/>
        <v>0.01</v>
      </c>
      <c r="J122" s="698"/>
      <c r="M122" s="713"/>
      <c r="N122" s="713"/>
      <c r="O122" s="713"/>
      <c r="P122" s="713"/>
      <c r="Q122" s="713"/>
      <c r="R122" s="713"/>
      <c r="S122" s="713"/>
      <c r="T122" s="713"/>
      <c r="U122" s="713"/>
      <c r="V122" s="713"/>
      <c r="W122" s="713"/>
      <c r="X122" s="713"/>
      <c r="Y122" s="791"/>
    </row>
    <row r="123" spans="2:25">
      <c r="B123" s="835" t="s">
        <v>1282</v>
      </c>
      <c r="C123" s="697">
        <v>1962</v>
      </c>
      <c r="D123" s="700">
        <v>88074.18</v>
      </c>
      <c r="E123" s="697">
        <v>1</v>
      </c>
      <c r="F123" s="790">
        <f t="shared" si="15"/>
        <v>0.00645104015624538</v>
      </c>
      <c r="G123" s="790">
        <f t="shared" si="16"/>
        <v>0.00265377542532406</v>
      </c>
      <c r="H123" s="836">
        <f t="shared" si="17"/>
        <v>0.01</v>
      </c>
      <c r="J123" s="698"/>
      <c r="M123" s="713"/>
      <c r="N123" s="713"/>
      <c r="O123" s="713"/>
      <c r="P123" s="713"/>
      <c r="Q123" s="713"/>
      <c r="R123" s="713"/>
      <c r="S123" s="713"/>
      <c r="T123" s="713"/>
      <c r="U123" s="713"/>
      <c r="V123" s="713"/>
      <c r="W123" s="713"/>
      <c r="X123" s="713"/>
      <c r="Y123" s="791"/>
    </row>
    <row r="124" spans="2:25">
      <c r="B124" s="835" t="s">
        <v>1364</v>
      </c>
      <c r="C124" s="697">
        <v>1757</v>
      </c>
      <c r="D124" s="700">
        <v>208081.52</v>
      </c>
      <c r="E124" s="697">
        <v>1</v>
      </c>
      <c r="F124" s="790">
        <f t="shared" si="15"/>
        <v>0.00577700181168355</v>
      </c>
      <c r="G124" s="790">
        <f t="shared" si="16"/>
        <v>0.0062697333570415</v>
      </c>
      <c r="H124" s="836">
        <f t="shared" si="17"/>
        <v>0.01</v>
      </c>
      <c r="J124" s="698"/>
      <c r="M124" s="713"/>
      <c r="N124" s="713"/>
      <c r="O124" s="713"/>
      <c r="P124" s="713"/>
      <c r="Q124" s="713"/>
      <c r="R124" s="713"/>
      <c r="S124" s="713"/>
      <c r="T124" s="713"/>
      <c r="U124" s="713"/>
      <c r="V124" s="713"/>
      <c r="W124" s="713"/>
      <c r="X124" s="713"/>
      <c r="Y124" s="791"/>
    </row>
    <row r="125" spans="2:25">
      <c r="B125" s="835" t="s">
        <v>1479</v>
      </c>
      <c r="C125" s="697">
        <v>1549</v>
      </c>
      <c r="D125" s="700">
        <v>141544.51</v>
      </c>
      <c r="E125" s="697">
        <v>2</v>
      </c>
      <c r="F125" s="790">
        <f t="shared" si="15"/>
        <v>0.00509309949134765</v>
      </c>
      <c r="G125" s="790">
        <f t="shared" si="16"/>
        <v>0.0042648974106547</v>
      </c>
      <c r="H125" s="836">
        <f t="shared" si="17"/>
        <v>0.02</v>
      </c>
      <c r="J125" s="698"/>
      <c r="M125" s="713"/>
      <c r="N125" s="713"/>
      <c r="O125" s="713"/>
      <c r="P125" s="713"/>
      <c r="Q125" s="713"/>
      <c r="R125" s="713"/>
      <c r="S125" s="713"/>
      <c r="T125" s="713"/>
      <c r="U125" s="713"/>
      <c r="V125" s="713"/>
      <c r="W125" s="713"/>
      <c r="X125" s="713"/>
      <c r="Y125" s="791"/>
    </row>
    <row r="126" spans="2:25">
      <c r="B126" s="835" t="s">
        <v>1229</v>
      </c>
      <c r="C126" s="697">
        <v>1381</v>
      </c>
      <c r="D126" s="700">
        <v>170097.77</v>
      </c>
      <c r="E126" s="697">
        <v>1</v>
      </c>
      <c r="F126" s="790">
        <f t="shared" si="15"/>
        <v>0.00454071684799942</v>
      </c>
      <c r="G126" s="790">
        <f t="shared" si="16"/>
        <v>0.00512523967783094</v>
      </c>
      <c r="H126" s="836">
        <f t="shared" si="17"/>
        <v>0.01</v>
      </c>
      <c r="J126" s="698"/>
      <c r="M126" s="713"/>
      <c r="N126" s="713"/>
      <c r="O126" s="713"/>
      <c r="P126" s="713"/>
      <c r="Q126" s="713"/>
      <c r="R126" s="713"/>
      <c r="S126" s="713"/>
      <c r="T126" s="713"/>
      <c r="U126" s="713"/>
      <c r="V126" s="713"/>
      <c r="W126" s="713"/>
      <c r="X126" s="713"/>
      <c r="Y126" s="791"/>
    </row>
    <row r="127" spans="2:25">
      <c r="B127" s="835" t="s">
        <v>1238</v>
      </c>
      <c r="C127" s="697">
        <v>1341</v>
      </c>
      <c r="D127" s="700">
        <v>107266.586</v>
      </c>
      <c r="E127" s="697">
        <v>1</v>
      </c>
      <c r="F127" s="790">
        <f t="shared" si="15"/>
        <v>0.00440919717101175</v>
      </c>
      <c r="G127" s="790">
        <f t="shared" si="16"/>
        <v>0.00323206449251313</v>
      </c>
      <c r="H127" s="836">
        <f t="shared" si="17"/>
        <v>0.01</v>
      </c>
      <c r="J127" s="698"/>
      <c r="M127" s="713"/>
      <c r="N127" s="713"/>
      <c r="O127" s="713"/>
      <c r="P127" s="713"/>
      <c r="Q127" s="713"/>
      <c r="R127" s="713"/>
      <c r="S127" s="713"/>
      <c r="T127" s="713"/>
      <c r="U127" s="713"/>
      <c r="V127" s="713"/>
      <c r="W127" s="713"/>
      <c r="X127" s="713"/>
      <c r="Y127" s="791"/>
    </row>
    <row r="128" spans="2:25">
      <c r="B128" s="835" t="s">
        <v>1631</v>
      </c>
      <c r="C128" s="697">
        <v>1235</v>
      </c>
      <c r="D128" s="700">
        <v>185237.66</v>
      </c>
      <c r="E128" s="697">
        <v>1</v>
      </c>
      <c r="F128" s="790">
        <f t="shared" si="15"/>
        <v>0.00406067002699441</v>
      </c>
      <c r="G128" s="790">
        <f t="shared" si="16"/>
        <v>0.00558142181911355</v>
      </c>
      <c r="H128" s="836">
        <f t="shared" si="17"/>
        <v>0.01</v>
      </c>
      <c r="J128" s="698"/>
      <c r="M128" s="713"/>
      <c r="N128" s="713"/>
      <c r="O128" s="713"/>
      <c r="P128" s="713"/>
      <c r="Q128" s="713"/>
      <c r="R128" s="713"/>
      <c r="S128" s="713"/>
      <c r="T128" s="713"/>
      <c r="U128" s="713"/>
      <c r="V128" s="713"/>
      <c r="W128" s="713"/>
      <c r="X128" s="713"/>
      <c r="Y128" s="791"/>
    </row>
    <row r="129" spans="2:25">
      <c r="B129" s="835" t="s">
        <v>1221</v>
      </c>
      <c r="C129" s="697">
        <v>1154</v>
      </c>
      <c r="D129" s="700">
        <v>68438.183</v>
      </c>
      <c r="E129" s="697">
        <v>2</v>
      </c>
      <c r="F129" s="790">
        <f t="shared" si="15"/>
        <v>0.00379434268109438</v>
      </c>
      <c r="G129" s="790">
        <f t="shared" si="16"/>
        <v>0.00206212045572529</v>
      </c>
      <c r="H129" s="836">
        <f t="shared" si="17"/>
        <v>0.02</v>
      </c>
      <c r="J129" s="698"/>
      <c r="M129" s="713"/>
      <c r="N129" s="713"/>
      <c r="O129" s="713"/>
      <c r="P129" s="713"/>
      <c r="Q129" s="713"/>
      <c r="R129" s="713"/>
      <c r="S129" s="713"/>
      <c r="T129" s="713"/>
      <c r="U129" s="713"/>
      <c r="V129" s="713"/>
      <c r="W129" s="713"/>
      <c r="X129" s="713"/>
      <c r="Y129" s="791"/>
    </row>
    <row r="130" spans="2:25">
      <c r="B130" s="835" t="s">
        <v>1395</v>
      </c>
      <c r="C130" s="697">
        <v>1109</v>
      </c>
      <c r="D130" s="700">
        <v>70920.555</v>
      </c>
      <c r="E130" s="697">
        <v>1</v>
      </c>
      <c r="F130" s="790">
        <f t="shared" si="15"/>
        <v>0.00364638304448324</v>
      </c>
      <c r="G130" s="790">
        <f t="shared" si="16"/>
        <v>0.00213691715335123</v>
      </c>
      <c r="H130" s="836">
        <f t="shared" si="17"/>
        <v>0.01</v>
      </c>
      <c r="J130" s="698"/>
      <c r="M130" s="713"/>
      <c r="N130" s="713"/>
      <c r="O130" s="713"/>
      <c r="P130" s="713"/>
      <c r="Q130" s="713"/>
      <c r="R130" s="713"/>
      <c r="S130" s="713"/>
      <c r="T130" s="713"/>
      <c r="U130" s="713"/>
      <c r="V130" s="713"/>
      <c r="W130" s="713"/>
      <c r="X130" s="713"/>
      <c r="Y130" s="791"/>
    </row>
    <row r="131" spans="2:25">
      <c r="B131" s="835" t="s">
        <v>1141</v>
      </c>
      <c r="C131" s="697">
        <v>1034</v>
      </c>
      <c r="D131" s="700">
        <v>185086</v>
      </c>
      <c r="E131" s="697">
        <v>1</v>
      </c>
      <c r="F131" s="790">
        <f t="shared" si="15"/>
        <v>0.00339978365013136</v>
      </c>
      <c r="G131" s="790">
        <f t="shared" si="16"/>
        <v>0.00557685213046013</v>
      </c>
      <c r="H131" s="836">
        <f t="shared" si="17"/>
        <v>0.01</v>
      </c>
      <c r="J131" s="698"/>
      <c r="M131" s="713"/>
      <c r="N131" s="713"/>
      <c r="O131" s="713"/>
      <c r="P131" s="713"/>
      <c r="Q131" s="713"/>
      <c r="R131" s="713"/>
      <c r="S131" s="713"/>
      <c r="T131" s="713"/>
      <c r="U131" s="713"/>
      <c r="V131" s="713"/>
      <c r="W131" s="713"/>
      <c r="X131" s="713"/>
      <c r="Y131" s="791"/>
    </row>
    <row r="132" spans="2:25">
      <c r="B132" s="835" t="s">
        <v>1247</v>
      </c>
      <c r="C132" s="697">
        <v>985</v>
      </c>
      <c r="D132" s="700">
        <v>196990.16</v>
      </c>
      <c r="E132" s="697">
        <v>1</v>
      </c>
      <c r="F132" s="790">
        <f t="shared" si="15"/>
        <v>0.00323867204582146</v>
      </c>
      <c r="G132" s="790">
        <f t="shared" si="16"/>
        <v>0.00593553803894234</v>
      </c>
      <c r="H132" s="836">
        <f t="shared" si="17"/>
        <v>0.01</v>
      </c>
      <c r="J132" s="698"/>
      <c r="M132" s="713"/>
      <c r="N132" s="713"/>
      <c r="O132" s="713"/>
      <c r="P132" s="713"/>
      <c r="Q132" s="713"/>
      <c r="R132" s="713"/>
      <c r="S132" s="713"/>
      <c r="T132" s="713"/>
      <c r="U132" s="713"/>
      <c r="V132" s="713"/>
      <c r="W132" s="713"/>
      <c r="X132" s="713"/>
      <c r="Y132" s="791"/>
    </row>
    <row r="133" spans="2:25">
      <c r="B133" s="835" t="s">
        <v>1843</v>
      </c>
      <c r="C133" s="697">
        <v>956</v>
      </c>
      <c r="D133" s="700">
        <v>334552.22</v>
      </c>
      <c r="E133" s="697">
        <v>1</v>
      </c>
      <c r="F133" s="790">
        <f t="shared" si="15"/>
        <v>0.00314332028000539</v>
      </c>
      <c r="G133" s="790">
        <f t="shared" si="16"/>
        <v>0.0100804396921278</v>
      </c>
      <c r="H133" s="836">
        <f t="shared" si="17"/>
        <v>0.01</v>
      </c>
      <c r="J133" s="698"/>
      <c r="M133" s="713"/>
      <c r="N133" s="713"/>
      <c r="O133" s="713"/>
      <c r="P133" s="713"/>
      <c r="Q133" s="713"/>
      <c r="R133" s="713"/>
      <c r="S133" s="713"/>
      <c r="T133" s="713"/>
      <c r="U133" s="713"/>
      <c r="V133" s="713"/>
      <c r="W133" s="713"/>
      <c r="X133" s="713"/>
      <c r="Y133" s="791"/>
    </row>
    <row r="134" spans="2:25">
      <c r="B134" s="835" t="s">
        <v>1323</v>
      </c>
      <c r="C134" s="697">
        <v>936</v>
      </c>
      <c r="D134" s="700">
        <v>93590.64</v>
      </c>
      <c r="E134" s="697">
        <v>1</v>
      </c>
      <c r="F134" s="790">
        <f t="shared" si="15"/>
        <v>0.00307756044151156</v>
      </c>
      <c r="G134" s="790">
        <f t="shared" si="16"/>
        <v>0.00281999265247035</v>
      </c>
      <c r="H134" s="836">
        <f t="shared" si="17"/>
        <v>0.01</v>
      </c>
      <c r="J134" s="698"/>
      <c r="M134" s="713"/>
      <c r="N134" s="713"/>
      <c r="O134" s="713"/>
      <c r="P134" s="713"/>
      <c r="Q134" s="713"/>
      <c r="R134" s="713"/>
      <c r="S134" s="713"/>
      <c r="T134" s="713"/>
      <c r="U134" s="713"/>
      <c r="V134" s="713"/>
      <c r="W134" s="713"/>
      <c r="X134" s="713"/>
      <c r="Y134" s="791"/>
    </row>
    <row r="135" spans="2:25">
      <c r="B135" s="835" t="s">
        <v>1430</v>
      </c>
      <c r="C135" s="697">
        <v>872</v>
      </c>
      <c r="D135" s="700">
        <v>113351.28</v>
      </c>
      <c r="E135" s="697">
        <v>1</v>
      </c>
      <c r="F135" s="790">
        <f t="shared" si="15"/>
        <v>0.00286712895833128</v>
      </c>
      <c r="G135" s="790">
        <f t="shared" si="16"/>
        <v>0.0034154032577201</v>
      </c>
      <c r="H135" s="836">
        <f t="shared" si="17"/>
        <v>0.01</v>
      </c>
      <c r="J135" s="698"/>
      <c r="M135" s="713"/>
      <c r="N135" s="713"/>
      <c r="O135" s="713"/>
      <c r="P135" s="713"/>
      <c r="Q135" s="713"/>
      <c r="R135" s="713"/>
      <c r="S135" s="713"/>
      <c r="T135" s="713"/>
      <c r="U135" s="713"/>
      <c r="V135" s="713"/>
      <c r="W135" s="713"/>
      <c r="X135" s="713"/>
      <c r="Y135" s="791"/>
    </row>
    <row r="136" spans="2:25">
      <c r="B136" s="835" t="s">
        <v>1920</v>
      </c>
      <c r="C136" s="697">
        <v>851</v>
      </c>
      <c r="D136" s="700">
        <v>93601.484</v>
      </c>
      <c r="E136" s="697">
        <v>1</v>
      </c>
      <c r="F136" s="790">
        <f t="shared" si="15"/>
        <v>0.00279808112791275</v>
      </c>
      <c r="G136" s="790">
        <f t="shared" si="16"/>
        <v>0.00282031939454972</v>
      </c>
      <c r="H136" s="836">
        <f t="shared" si="17"/>
        <v>0.01</v>
      </c>
      <c r="J136" s="698"/>
      <c r="M136" s="713"/>
      <c r="N136" s="713"/>
      <c r="O136" s="713"/>
      <c r="P136" s="713"/>
      <c r="Q136" s="713"/>
      <c r="R136" s="713"/>
      <c r="S136" s="713"/>
      <c r="T136" s="713"/>
      <c r="U136" s="713"/>
      <c r="V136" s="713"/>
      <c r="W136" s="713"/>
      <c r="X136" s="713"/>
      <c r="Y136" s="791"/>
    </row>
    <row r="137" spans="2:25">
      <c r="B137" s="835" t="s">
        <v>1511</v>
      </c>
      <c r="C137" s="697">
        <v>817</v>
      </c>
      <c r="D137" s="700">
        <v>81691.83</v>
      </c>
      <c r="E137" s="697">
        <v>1</v>
      </c>
      <c r="F137" s="790">
        <f t="shared" si="15"/>
        <v>0.00268628940247323</v>
      </c>
      <c r="G137" s="790">
        <f t="shared" si="16"/>
        <v>0.00246146794558577</v>
      </c>
      <c r="H137" s="836">
        <f t="shared" si="17"/>
        <v>0.01</v>
      </c>
      <c r="J137" s="698"/>
      <c r="M137" s="713"/>
      <c r="N137" s="713"/>
      <c r="O137" s="713"/>
      <c r="P137" s="713"/>
      <c r="Q137" s="713"/>
      <c r="R137" s="713"/>
      <c r="S137" s="713"/>
      <c r="T137" s="713"/>
      <c r="U137" s="713"/>
      <c r="V137" s="713"/>
      <c r="W137" s="713"/>
      <c r="X137" s="713"/>
      <c r="Y137" s="791"/>
    </row>
    <row r="138" spans="2:25">
      <c r="B138" s="835" t="s">
        <v>1640</v>
      </c>
      <c r="C138" s="697">
        <v>666</v>
      </c>
      <c r="D138" s="700">
        <v>126533.34</v>
      </c>
      <c r="E138" s="697">
        <v>1</v>
      </c>
      <c r="F138" s="790">
        <f t="shared" si="15"/>
        <v>0.00218980262184476</v>
      </c>
      <c r="G138" s="790">
        <f t="shared" si="16"/>
        <v>0.0038125937496798</v>
      </c>
      <c r="H138" s="836">
        <f t="shared" si="17"/>
        <v>0.01</v>
      </c>
      <c r="J138" s="698"/>
      <c r="M138" s="713"/>
      <c r="N138" s="713"/>
      <c r="O138" s="713"/>
      <c r="P138" s="713"/>
      <c r="Q138" s="713"/>
      <c r="R138" s="713"/>
      <c r="S138" s="713"/>
      <c r="T138" s="713"/>
      <c r="U138" s="713"/>
      <c r="V138" s="713"/>
      <c r="W138" s="713"/>
      <c r="X138" s="713"/>
      <c r="Y138" s="791"/>
    </row>
    <row r="139" spans="2:25">
      <c r="B139" s="835" t="s">
        <v>1660</v>
      </c>
      <c r="C139" s="697">
        <v>600</v>
      </c>
      <c r="D139" s="700">
        <v>71994</v>
      </c>
      <c r="E139" s="697">
        <v>1</v>
      </c>
      <c r="F139" s="790">
        <f t="shared" si="15"/>
        <v>0.0019727951548151</v>
      </c>
      <c r="G139" s="790">
        <f t="shared" si="16"/>
        <v>0.00216926127465258</v>
      </c>
      <c r="H139" s="836">
        <f t="shared" si="17"/>
        <v>0.01</v>
      </c>
      <c r="J139" s="698"/>
      <c r="M139" s="713"/>
      <c r="N139" s="713"/>
      <c r="O139" s="713"/>
      <c r="P139" s="713"/>
      <c r="Q139" s="713"/>
      <c r="R139" s="713"/>
      <c r="S139" s="713"/>
      <c r="T139" s="713"/>
      <c r="U139" s="713"/>
      <c r="V139" s="713"/>
      <c r="W139" s="713"/>
      <c r="X139" s="713"/>
      <c r="Y139" s="791"/>
    </row>
    <row r="140" spans="2:25">
      <c r="B140" s="835" t="s">
        <v>1942</v>
      </c>
      <c r="C140" s="697">
        <v>578</v>
      </c>
      <c r="D140" s="700">
        <v>35830.223</v>
      </c>
      <c r="E140" s="697">
        <v>1</v>
      </c>
      <c r="F140" s="790">
        <f t="shared" si="15"/>
        <v>0.00190045933247188</v>
      </c>
      <c r="G140" s="790">
        <f t="shared" si="16"/>
        <v>0.00107960545623338</v>
      </c>
      <c r="H140" s="836">
        <f t="shared" si="17"/>
        <v>0.01</v>
      </c>
      <c r="J140" s="698"/>
      <c r="M140" s="713"/>
      <c r="N140" s="713"/>
      <c r="O140" s="713"/>
      <c r="P140" s="713"/>
      <c r="Q140" s="713"/>
      <c r="R140" s="713"/>
      <c r="S140" s="713"/>
      <c r="T140" s="713"/>
      <c r="U140" s="713"/>
      <c r="V140" s="713"/>
      <c r="W140" s="713"/>
      <c r="X140" s="713"/>
      <c r="Y140" s="791"/>
    </row>
    <row r="141" spans="2:25">
      <c r="B141" s="835" t="s">
        <v>1886</v>
      </c>
      <c r="C141" s="697">
        <v>510</v>
      </c>
      <c r="D141" s="700">
        <v>60894</v>
      </c>
      <c r="E141" s="697">
        <v>1</v>
      </c>
      <c r="F141" s="790">
        <f t="shared" si="15"/>
        <v>0.00167687588159283</v>
      </c>
      <c r="G141" s="790">
        <f t="shared" si="16"/>
        <v>0.00183480562350604</v>
      </c>
      <c r="H141" s="836">
        <f t="shared" si="17"/>
        <v>0.01</v>
      </c>
      <c r="J141" s="698"/>
      <c r="M141" s="713"/>
      <c r="N141" s="713"/>
      <c r="O141" s="713"/>
      <c r="P141" s="713"/>
      <c r="Q141" s="713"/>
      <c r="R141" s="713"/>
      <c r="S141" s="713"/>
      <c r="T141" s="713"/>
      <c r="U141" s="713"/>
      <c r="V141" s="713"/>
      <c r="W141" s="713"/>
      <c r="X141" s="713"/>
      <c r="Y141" s="791"/>
    </row>
    <row r="142" spans="2:25">
      <c r="B142" s="835" t="s">
        <v>1989</v>
      </c>
      <c r="C142" s="697">
        <v>490</v>
      </c>
      <c r="D142" s="700">
        <v>112695.1</v>
      </c>
      <c r="E142" s="697">
        <v>1</v>
      </c>
      <c r="F142" s="790">
        <f t="shared" si="15"/>
        <v>0.001611116043099</v>
      </c>
      <c r="G142" s="790">
        <f t="shared" si="16"/>
        <v>0.00339563180644359</v>
      </c>
      <c r="H142" s="836">
        <f t="shared" si="17"/>
        <v>0.01</v>
      </c>
      <c r="J142" s="698"/>
      <c r="M142" s="713"/>
      <c r="N142" s="713"/>
      <c r="O142" s="713"/>
      <c r="P142" s="713"/>
      <c r="Q142" s="713"/>
      <c r="R142" s="713"/>
      <c r="S142" s="713"/>
      <c r="T142" s="713"/>
      <c r="U142" s="713"/>
      <c r="V142" s="713"/>
      <c r="W142" s="713"/>
      <c r="X142" s="713"/>
      <c r="Y142" s="791"/>
    </row>
    <row r="143" spans="2:25">
      <c r="B143" s="835" t="s">
        <v>1418</v>
      </c>
      <c r="C143" s="697">
        <v>452</v>
      </c>
      <c r="D143" s="700">
        <v>24335.68</v>
      </c>
      <c r="E143" s="697">
        <v>1</v>
      </c>
      <c r="F143" s="790">
        <f t="shared" si="15"/>
        <v>0.00148617234996071</v>
      </c>
      <c r="G143" s="790">
        <f t="shared" si="16"/>
        <v>0.000733261774819252</v>
      </c>
      <c r="H143" s="836">
        <f t="shared" si="17"/>
        <v>0.01</v>
      </c>
      <c r="J143" s="698"/>
      <c r="M143" s="713"/>
      <c r="N143" s="713"/>
      <c r="O143" s="713"/>
      <c r="P143" s="713"/>
      <c r="Q143" s="713"/>
      <c r="R143" s="713"/>
      <c r="S143" s="713"/>
      <c r="T143" s="713"/>
      <c r="U143" s="713"/>
      <c r="V143" s="713"/>
      <c r="W143" s="713"/>
      <c r="X143" s="713"/>
      <c r="Y143" s="791"/>
    </row>
    <row r="144" spans="2:25">
      <c r="B144" s="835" t="s">
        <v>1856</v>
      </c>
      <c r="C144" s="697">
        <v>406</v>
      </c>
      <c r="D144" s="700">
        <v>54805.94</v>
      </c>
      <c r="E144" s="697">
        <v>1</v>
      </c>
      <c r="F144" s="790">
        <f t="shared" si="15"/>
        <v>0.00133492472142488</v>
      </c>
      <c r="G144" s="790">
        <f t="shared" si="16"/>
        <v>0.00165136543688269</v>
      </c>
      <c r="H144" s="836">
        <f t="shared" si="17"/>
        <v>0.01</v>
      </c>
      <c r="J144" s="698"/>
      <c r="M144" s="713"/>
      <c r="N144" s="713"/>
      <c r="O144" s="713"/>
      <c r="P144" s="713"/>
      <c r="Q144" s="713"/>
      <c r="R144" s="713"/>
      <c r="S144" s="713"/>
      <c r="T144" s="713"/>
      <c r="U144" s="713"/>
      <c r="V144" s="713"/>
      <c r="W144" s="713"/>
      <c r="X144" s="713"/>
      <c r="Y144" s="791"/>
    </row>
    <row r="145" spans="1:25">
      <c r="B145" s="835" t="s">
        <v>1755</v>
      </c>
      <c r="C145" s="697">
        <v>372</v>
      </c>
      <c r="D145" s="700">
        <v>27505.682</v>
      </c>
      <c r="E145" s="697">
        <v>1</v>
      </c>
      <c r="F145" s="790">
        <f t="shared" si="15"/>
        <v>0.00122313299598536</v>
      </c>
      <c r="G145" s="790">
        <f t="shared" si="16"/>
        <v>0.000828777548066623</v>
      </c>
      <c r="H145" s="836">
        <f t="shared" si="17"/>
        <v>0.01</v>
      </c>
      <c r="J145" s="698"/>
      <c r="M145" s="713"/>
      <c r="N145" s="713"/>
      <c r="O145" s="713"/>
      <c r="P145" s="713"/>
      <c r="Q145" s="713"/>
      <c r="R145" s="713"/>
      <c r="S145" s="713"/>
      <c r="T145" s="713"/>
      <c r="U145" s="713"/>
      <c r="V145" s="713"/>
      <c r="W145" s="713"/>
      <c r="X145" s="713"/>
      <c r="Y145" s="791"/>
    </row>
    <row r="146" spans="1:25">
      <c r="B146" s="835" t="s">
        <v>1999</v>
      </c>
      <c r="C146" s="697">
        <v>363</v>
      </c>
      <c r="D146" s="700">
        <v>65321.848</v>
      </c>
      <c r="E146" s="697">
        <v>1</v>
      </c>
      <c r="F146" s="790">
        <f t="shared" si="15"/>
        <v>0.00119354106866314</v>
      </c>
      <c r="G146" s="790">
        <f t="shared" si="16"/>
        <v>0.0019682217303545</v>
      </c>
      <c r="H146" s="836">
        <f t="shared" si="17"/>
        <v>0.01</v>
      </c>
      <c r="J146" s="698"/>
      <c r="M146" s="713"/>
      <c r="N146" s="713"/>
      <c r="O146" s="713"/>
      <c r="P146" s="713"/>
      <c r="Q146" s="713"/>
      <c r="R146" s="713"/>
      <c r="S146" s="713"/>
      <c r="T146" s="713"/>
      <c r="U146" s="713"/>
      <c r="V146" s="713"/>
      <c r="W146" s="713"/>
      <c r="X146" s="713"/>
      <c r="Y146" s="791"/>
    </row>
    <row r="147" spans="1:25">
      <c r="B147" s="835" t="s">
        <v>1932</v>
      </c>
      <c r="C147" s="697">
        <v>309</v>
      </c>
      <c r="D147" s="700">
        <v>15357.3</v>
      </c>
      <c r="E147" s="697">
        <v>1</v>
      </c>
      <c r="F147" s="790">
        <f t="shared" si="15"/>
        <v>0.00101598950472978</v>
      </c>
      <c r="G147" s="790">
        <f t="shared" si="16"/>
        <v>0.000462732952374115</v>
      </c>
      <c r="H147" s="836">
        <f t="shared" si="17"/>
        <v>0.01</v>
      </c>
      <c r="J147" s="698"/>
      <c r="M147" s="713"/>
      <c r="N147" s="713"/>
      <c r="O147" s="713"/>
      <c r="P147" s="713"/>
      <c r="Q147" s="713"/>
      <c r="R147" s="713"/>
      <c r="S147" s="713"/>
      <c r="T147" s="713"/>
      <c r="U147" s="713"/>
      <c r="V147" s="713"/>
      <c r="W147" s="713"/>
      <c r="X147" s="713"/>
      <c r="Y147" s="791"/>
    </row>
    <row r="148" spans="1:25">
      <c r="B148" s="835" t="s">
        <v>1833</v>
      </c>
      <c r="C148" s="697">
        <v>241</v>
      </c>
      <c r="D148" s="700">
        <v>16867.59</v>
      </c>
      <c r="E148" s="697">
        <v>1</v>
      </c>
      <c r="F148" s="790">
        <f t="shared" si="15"/>
        <v>0.000792406053850732</v>
      </c>
      <c r="G148" s="790">
        <f t="shared" si="16"/>
        <v>0.000508239711416466</v>
      </c>
      <c r="H148" s="836">
        <f t="shared" si="17"/>
        <v>0.01</v>
      </c>
      <c r="J148" s="698"/>
      <c r="M148" s="713"/>
      <c r="N148" s="713"/>
      <c r="O148" s="713"/>
      <c r="P148" s="713"/>
      <c r="Q148" s="713"/>
      <c r="R148" s="713"/>
      <c r="S148" s="713"/>
      <c r="T148" s="713"/>
      <c r="U148" s="713"/>
      <c r="V148" s="713"/>
      <c r="W148" s="713"/>
      <c r="X148" s="713"/>
      <c r="Y148" s="791"/>
    </row>
    <row r="149" spans="1:25">
      <c r="B149" s="835" t="s">
        <v>1715</v>
      </c>
      <c r="C149" s="697">
        <v>231</v>
      </c>
      <c r="D149" s="700">
        <v>43887.69</v>
      </c>
      <c r="E149" s="697">
        <v>1</v>
      </c>
      <c r="F149" s="790">
        <f t="shared" si="15"/>
        <v>0.000759526134603813</v>
      </c>
      <c r="G149" s="790">
        <f t="shared" si="16"/>
        <v>0.00132238612038444</v>
      </c>
      <c r="H149" s="836">
        <f t="shared" si="17"/>
        <v>0.01</v>
      </c>
      <c r="J149" s="698"/>
      <c r="M149" s="713"/>
      <c r="N149" s="713"/>
      <c r="O149" s="713"/>
      <c r="P149" s="713"/>
      <c r="Q149" s="713"/>
      <c r="R149" s="713"/>
      <c r="S149" s="713"/>
      <c r="T149" s="713"/>
      <c r="U149" s="713"/>
      <c r="V149" s="713"/>
      <c r="W149" s="713"/>
      <c r="X149" s="713"/>
      <c r="Y149" s="791"/>
    </row>
    <row r="150" ht="17.25" spans="1:25">
      <c r="B150" s="835" t="s">
        <v>3102</v>
      </c>
      <c r="C150" s="697">
        <v>304137</v>
      </c>
      <c r="D150" s="700">
        <v>33188256.685</v>
      </c>
      <c r="E150" s="697">
        <v>100</v>
      </c>
      <c r="F150" s="790">
        <f t="shared" si="15"/>
        <v>1</v>
      </c>
      <c r="G150" s="790">
        <f t="shared" si="16"/>
        <v>1</v>
      </c>
      <c r="H150" s="836">
        <f t="shared" si="17"/>
        <v>1</v>
      </c>
      <c r="J150" s="698"/>
      <c r="M150" s="713"/>
      <c r="N150" s="713"/>
      <c r="O150" s="713"/>
      <c r="P150" s="713"/>
      <c r="Q150" s="713"/>
      <c r="R150" s="713"/>
      <c r="S150" s="713"/>
      <c r="T150" s="713"/>
      <c r="U150" s="713"/>
      <c r="V150" s="713"/>
      <c r="W150" s="713"/>
      <c r="X150" s="713"/>
      <c r="Y150" s="791"/>
    </row>
    <row r="151" spans="1:25">
      <c r="B151" s="837" t="s">
        <v>3103</v>
      </c>
      <c r="C151" s="838"/>
      <c r="D151" s="839"/>
      <c r="E151" s="840"/>
      <c r="F151" s="840"/>
      <c r="G151" s="840"/>
      <c r="H151" s="841"/>
      <c r="I151" s="842" t="s">
        <v>3104</v>
      </c>
      <c r="J151" s="843" t="s">
        <v>3105</v>
      </c>
    </row>
    <row r="152" ht="17.25" spans="1:25">
      <c r="B152" s="844"/>
      <c r="C152" s="838"/>
      <c r="D152" s="839"/>
      <c r="E152" s="840"/>
      <c r="F152" s="840"/>
      <c r="G152" s="840"/>
      <c r="H152" s="841"/>
      <c r="I152" s="845">
        <f>SUM(④top100打标数据!AJ2:AJ11)</f>
        <v>150779</v>
      </c>
      <c r="J152" s="846">
        <f t="shared" ref="J152:J156" si="18">I152/$C$150</f>
        <v>0.49576013441311</v>
      </c>
    </row>
    <row r="153" spans="1:25">
      <c r="B153" s="844"/>
      <c r="C153" s="838"/>
      <c r="D153" s="839"/>
      <c r="E153" s="840"/>
      <c r="F153" s="840"/>
      <c r="G153" s="840"/>
      <c r="H153" s="841"/>
      <c r="I153" s="842" t="s">
        <v>3106</v>
      </c>
      <c r="J153" s="843" t="s">
        <v>3107</v>
      </c>
    </row>
    <row r="154" ht="17.25" spans="1:25">
      <c r="B154" s="844"/>
      <c r="C154" s="838"/>
      <c r="D154" s="839"/>
      <c r="E154" s="840"/>
      <c r="F154" s="840"/>
      <c r="G154" s="840"/>
      <c r="H154" s="841"/>
      <c r="I154" s="845">
        <f>SUM(④top100打标数据!AJ2:AJ21)</f>
        <v>196547</v>
      </c>
      <c r="J154" s="846">
        <f t="shared" si="18"/>
        <v>0.646244948822406</v>
      </c>
    </row>
    <row r="155" spans="1:25">
      <c r="B155" s="844"/>
      <c r="C155" s="838"/>
      <c r="D155" s="839"/>
      <c r="E155" s="840"/>
      <c r="F155" s="840"/>
      <c r="G155" s="840"/>
      <c r="H155" s="841"/>
      <c r="I155" s="842" t="s">
        <v>3108</v>
      </c>
      <c r="J155" s="843" t="s">
        <v>3109</v>
      </c>
    </row>
    <row r="156" ht="17.25" spans="1:25">
      <c r="B156" s="847"/>
      <c r="C156" s="848"/>
      <c r="D156" s="849"/>
      <c r="E156" s="850"/>
      <c r="F156" s="850"/>
      <c r="G156" s="850"/>
      <c r="H156" s="851"/>
      <c r="I156" s="845">
        <f>SUM(④top100打标数据!AJ2:AJ31)</f>
        <v>237016</v>
      </c>
      <c r="J156" s="846">
        <f t="shared" si="18"/>
        <v>0.779306694022759</v>
      </c>
    </row>
    <row r="158" ht="17.25" spans="1:25">
      <c r="A158" s="829" t="s">
        <v>3110</v>
      </c>
      <c r="B158" s="830" t="s">
        <v>838</v>
      </c>
      <c r="C158" s="831" t="s">
        <v>3098</v>
      </c>
      <c r="D158" s="832" t="s">
        <v>3099</v>
      </c>
      <c r="E158" s="831" t="s">
        <v>3100</v>
      </c>
      <c r="F158" s="833" t="s">
        <v>3022</v>
      </c>
      <c r="G158" s="833" t="s">
        <v>3023</v>
      </c>
      <c r="H158" s="834" t="s">
        <v>3101</v>
      </c>
    </row>
    <row r="159" spans="1:25">
      <c r="B159" s="835" t="s">
        <v>867</v>
      </c>
      <c r="C159" s="697">
        <v>203157</v>
      </c>
      <c r="D159" s="700">
        <v>20979604.91</v>
      </c>
      <c r="E159" s="697">
        <v>51</v>
      </c>
      <c r="F159" s="790">
        <f>C159/$C$150</f>
        <v>0.667978575444619</v>
      </c>
      <c r="G159" s="790">
        <f t="shared" ref="G159:G206" si="19">D159/$D$150</f>
        <v>0.632139407294692</v>
      </c>
      <c r="H159" s="836">
        <f t="shared" ref="H159:H206" si="20">E159/$E$150</f>
        <v>0.51</v>
      </c>
    </row>
    <row r="160" spans="1:25">
      <c r="B160" s="835"/>
      <c r="C160" s="697">
        <v>62301</v>
      </c>
      <c r="D160" s="700">
        <v>7959652.979</v>
      </c>
      <c r="E160" s="697">
        <v>15</v>
      </c>
      <c r="F160" s="790">
        <f t="shared" ref="F159:F206" si="21">C160/$C$150</f>
        <v>0.204845184900226</v>
      </c>
      <c r="G160" s="790">
        <f t="shared" si="19"/>
        <v>0.239833416215486</v>
      </c>
      <c r="H160" s="836">
        <f t="shared" si="20"/>
        <v>0.15</v>
      </c>
    </row>
    <row r="161" spans="2:8">
      <c r="B161" s="835" t="s">
        <v>996</v>
      </c>
      <c r="C161" s="697">
        <v>4279</v>
      </c>
      <c r="D161" s="700">
        <v>342277.2</v>
      </c>
      <c r="E161" s="697">
        <v>1</v>
      </c>
      <c r="F161" s="790">
        <f t="shared" si="21"/>
        <v>0.0140693174457564</v>
      </c>
      <c r="G161" s="790">
        <f t="shared" si="19"/>
        <v>0.0103132021440192</v>
      </c>
      <c r="H161" s="836">
        <f t="shared" si="20"/>
        <v>0.01</v>
      </c>
    </row>
    <row r="162" spans="2:8">
      <c r="B162" s="835" t="s">
        <v>1032</v>
      </c>
      <c r="C162" s="697">
        <v>4142</v>
      </c>
      <c r="D162" s="700">
        <v>969772.238</v>
      </c>
      <c r="E162" s="697">
        <v>4</v>
      </c>
      <c r="F162" s="790">
        <f t="shared" si="21"/>
        <v>0.0136188625520736</v>
      </c>
      <c r="G162" s="790">
        <f t="shared" si="19"/>
        <v>0.029220342821993</v>
      </c>
      <c r="H162" s="836">
        <f t="shared" si="20"/>
        <v>0.04</v>
      </c>
    </row>
    <row r="163" spans="2:8">
      <c r="B163" s="835" t="s">
        <v>1157</v>
      </c>
      <c r="C163" s="697">
        <v>3991</v>
      </c>
      <c r="D163" s="700">
        <v>279330.1</v>
      </c>
      <c r="E163" s="697">
        <v>1</v>
      </c>
      <c r="F163" s="790">
        <f t="shared" si="21"/>
        <v>0.0131223757714451</v>
      </c>
      <c r="G163" s="790">
        <f t="shared" si="19"/>
        <v>0.0084165342775069</v>
      </c>
      <c r="H163" s="836">
        <f t="shared" si="20"/>
        <v>0.01</v>
      </c>
    </row>
    <row r="164" spans="2:8">
      <c r="B164" s="835" t="s">
        <v>1872</v>
      </c>
      <c r="C164" s="697">
        <v>3836</v>
      </c>
      <c r="D164" s="700">
        <v>22478.96</v>
      </c>
      <c r="E164" s="697">
        <v>1</v>
      </c>
      <c r="F164" s="790">
        <f t="shared" si="21"/>
        <v>0.0126127370231179</v>
      </c>
      <c r="G164" s="790">
        <f t="shared" si="19"/>
        <v>0.000677316685035757</v>
      </c>
      <c r="H164" s="836">
        <f t="shared" si="20"/>
        <v>0.01</v>
      </c>
    </row>
    <row r="165" spans="2:8">
      <c r="B165" s="835" t="s">
        <v>1307</v>
      </c>
      <c r="C165" s="697">
        <v>2727</v>
      </c>
      <c r="D165" s="700">
        <v>229572.724</v>
      </c>
      <c r="E165" s="697">
        <v>3</v>
      </c>
      <c r="F165" s="790">
        <f t="shared" si="21"/>
        <v>0.00896635397863463</v>
      </c>
      <c r="G165" s="790">
        <f t="shared" si="19"/>
        <v>0.00691728782800934</v>
      </c>
      <c r="H165" s="836">
        <f t="shared" si="20"/>
        <v>0.03</v>
      </c>
    </row>
    <row r="166" spans="2:8">
      <c r="B166" s="835" t="s">
        <v>1109</v>
      </c>
      <c r="C166" s="697">
        <v>2205</v>
      </c>
      <c r="D166" s="700">
        <v>352777.97</v>
      </c>
      <c r="E166" s="697">
        <v>1</v>
      </c>
      <c r="F166" s="790">
        <f t="shared" si="21"/>
        <v>0.00725002219394549</v>
      </c>
      <c r="G166" s="790">
        <f t="shared" si="19"/>
        <v>0.0106296023122975</v>
      </c>
      <c r="H166" s="836">
        <f t="shared" si="20"/>
        <v>0.01</v>
      </c>
    </row>
    <row r="167" spans="2:8">
      <c r="B167" s="835" t="s">
        <v>1287</v>
      </c>
      <c r="C167" s="697">
        <v>1962</v>
      </c>
      <c r="D167" s="700">
        <v>88074.18</v>
      </c>
      <c r="E167" s="697">
        <v>1</v>
      </c>
      <c r="F167" s="790">
        <f t="shared" si="21"/>
        <v>0.00645104015624538</v>
      </c>
      <c r="G167" s="790">
        <f t="shared" si="19"/>
        <v>0.00265377542532406</v>
      </c>
      <c r="H167" s="836">
        <f t="shared" si="20"/>
        <v>0.01</v>
      </c>
    </row>
    <row r="168" spans="2:8">
      <c r="B168" s="835" t="s">
        <v>1330</v>
      </c>
      <c r="C168" s="697">
        <v>1843</v>
      </c>
      <c r="D168" s="700">
        <v>236991.57</v>
      </c>
      <c r="E168" s="697">
        <v>3</v>
      </c>
      <c r="F168" s="790">
        <f t="shared" si="21"/>
        <v>0.00605976911720705</v>
      </c>
      <c r="G168" s="790">
        <f t="shared" si="19"/>
        <v>0.00714082611356662</v>
      </c>
      <c r="H168" s="836">
        <f t="shared" si="20"/>
        <v>0.03</v>
      </c>
    </row>
    <row r="169" spans="2:8">
      <c r="B169" s="835" t="s">
        <v>1515</v>
      </c>
      <c r="C169" s="697">
        <v>1686</v>
      </c>
      <c r="D169" s="700">
        <v>172067.83</v>
      </c>
      <c r="E169" s="697">
        <v>2</v>
      </c>
      <c r="F169" s="790">
        <f t="shared" si="21"/>
        <v>0.00554355438503043</v>
      </c>
      <c r="G169" s="790">
        <f t="shared" si="19"/>
        <v>0.0051845998309929</v>
      </c>
      <c r="H169" s="836">
        <f t="shared" si="20"/>
        <v>0.02</v>
      </c>
    </row>
    <row r="170" spans="2:8">
      <c r="B170" s="835" t="s">
        <v>1400</v>
      </c>
      <c r="C170" s="697">
        <v>1109</v>
      </c>
      <c r="D170" s="700">
        <v>70920.555</v>
      </c>
      <c r="E170" s="697">
        <v>1</v>
      </c>
      <c r="F170" s="790">
        <f t="shared" si="21"/>
        <v>0.00364638304448324</v>
      </c>
      <c r="G170" s="790">
        <f t="shared" si="19"/>
        <v>0.00213691715335123</v>
      </c>
      <c r="H170" s="836">
        <f t="shared" si="20"/>
        <v>0.01</v>
      </c>
    </row>
    <row r="171" spans="2:8">
      <c r="B171" s="835" t="s">
        <v>1452</v>
      </c>
      <c r="C171" s="697">
        <v>1104</v>
      </c>
      <c r="D171" s="700">
        <v>88308.96</v>
      </c>
      <c r="E171" s="697">
        <v>1</v>
      </c>
      <c r="F171" s="790">
        <f t="shared" si="21"/>
        <v>0.00362994308485978</v>
      </c>
      <c r="G171" s="790">
        <f t="shared" si="19"/>
        <v>0.00266084961431291</v>
      </c>
      <c r="H171" s="836">
        <f t="shared" si="20"/>
        <v>0.01</v>
      </c>
    </row>
    <row r="172" spans="2:8">
      <c r="B172" s="835" t="s">
        <v>1146</v>
      </c>
      <c r="C172" s="697">
        <v>1034</v>
      </c>
      <c r="D172" s="700">
        <v>185086</v>
      </c>
      <c r="E172" s="697">
        <v>1</v>
      </c>
      <c r="F172" s="790">
        <f t="shared" si="21"/>
        <v>0.00339978365013136</v>
      </c>
      <c r="G172" s="790">
        <f t="shared" si="19"/>
        <v>0.00557685213046013</v>
      </c>
      <c r="H172" s="836">
        <f t="shared" si="20"/>
        <v>0.01</v>
      </c>
    </row>
    <row r="173" spans="2:8">
      <c r="B173" s="835" t="s">
        <v>1443</v>
      </c>
      <c r="C173" s="697">
        <v>1006</v>
      </c>
      <c r="D173" s="700">
        <v>48257.82</v>
      </c>
      <c r="E173" s="697">
        <v>1</v>
      </c>
      <c r="F173" s="790">
        <f t="shared" si="21"/>
        <v>0.00330771987623998</v>
      </c>
      <c r="G173" s="790">
        <f t="shared" si="19"/>
        <v>0.00145406311810921</v>
      </c>
      <c r="H173" s="836">
        <f t="shared" si="20"/>
        <v>0.01</v>
      </c>
    </row>
    <row r="174" spans="2:8">
      <c r="B174" s="835" t="s">
        <v>1849</v>
      </c>
      <c r="C174" s="697">
        <v>956</v>
      </c>
      <c r="D174" s="700">
        <v>334552.22</v>
      </c>
      <c r="E174" s="697">
        <v>1</v>
      </c>
      <c r="F174" s="790">
        <f t="shared" si="21"/>
        <v>0.00314332028000539</v>
      </c>
      <c r="G174" s="790">
        <f t="shared" si="19"/>
        <v>0.0100804396921278</v>
      </c>
      <c r="H174" s="836">
        <f t="shared" si="20"/>
        <v>0.01</v>
      </c>
    </row>
    <row r="175" spans="2:8">
      <c r="B175" s="835" t="s">
        <v>1493</v>
      </c>
      <c r="C175" s="697">
        <v>882</v>
      </c>
      <c r="D175" s="700">
        <v>88191.18</v>
      </c>
      <c r="E175" s="697">
        <v>1</v>
      </c>
      <c r="F175" s="790">
        <f t="shared" si="21"/>
        <v>0.0029000088775782</v>
      </c>
      <c r="G175" s="790">
        <f t="shared" si="19"/>
        <v>0.00265730076867398</v>
      </c>
      <c r="H175" s="836">
        <f t="shared" si="20"/>
        <v>0.01</v>
      </c>
    </row>
    <row r="176" spans="2:8">
      <c r="B176" s="835" t="s">
        <v>1925</v>
      </c>
      <c r="C176" s="697">
        <v>851</v>
      </c>
      <c r="D176" s="700">
        <v>93601.484</v>
      </c>
      <c r="E176" s="697">
        <v>1</v>
      </c>
      <c r="F176" s="790">
        <f t="shared" si="21"/>
        <v>0.00279808112791275</v>
      </c>
      <c r="G176" s="790">
        <f t="shared" si="19"/>
        <v>0.00282031939454972</v>
      </c>
      <c r="H176" s="836">
        <f t="shared" si="20"/>
        <v>0.01</v>
      </c>
    </row>
    <row r="177" spans="2:8">
      <c r="B177" s="835" t="s">
        <v>1783</v>
      </c>
      <c r="C177" s="697">
        <v>815</v>
      </c>
      <c r="D177" s="700">
        <v>122241.85</v>
      </c>
      <c r="E177" s="697">
        <v>1</v>
      </c>
      <c r="F177" s="790">
        <f t="shared" si="21"/>
        <v>0.00267971341862384</v>
      </c>
      <c r="G177" s="790">
        <f t="shared" si="19"/>
        <v>0.00368328626478441</v>
      </c>
      <c r="H177" s="836">
        <f t="shared" si="20"/>
        <v>0.01</v>
      </c>
    </row>
    <row r="178" spans="2:8">
      <c r="B178" s="835" t="s">
        <v>1609</v>
      </c>
      <c r="C178" s="697">
        <v>704</v>
      </c>
      <c r="D178" s="700">
        <v>111900.8</v>
      </c>
      <c r="E178" s="697">
        <v>1</v>
      </c>
      <c r="F178" s="790">
        <f t="shared" si="21"/>
        <v>0.00231474631498305</v>
      </c>
      <c r="G178" s="790">
        <f t="shared" si="19"/>
        <v>0.00337169864214578</v>
      </c>
      <c r="H178" s="836">
        <f t="shared" si="20"/>
        <v>0.01</v>
      </c>
    </row>
    <row r="179" spans="2:8">
      <c r="B179" s="835" t="s">
        <v>1665</v>
      </c>
      <c r="C179" s="697">
        <v>600</v>
      </c>
      <c r="D179" s="700">
        <v>71994</v>
      </c>
      <c r="E179" s="697">
        <v>1</v>
      </c>
      <c r="F179" s="790">
        <f t="shared" si="21"/>
        <v>0.0019727951548151</v>
      </c>
      <c r="G179" s="790">
        <f t="shared" si="19"/>
        <v>0.00216926127465258</v>
      </c>
      <c r="H179" s="836">
        <f t="shared" si="20"/>
        <v>0.01</v>
      </c>
    </row>
    <row r="180" spans="2:8">
      <c r="B180" s="835" t="s">
        <v>1947</v>
      </c>
      <c r="C180" s="697">
        <v>578</v>
      </c>
      <c r="D180" s="700">
        <v>35830.223</v>
      </c>
      <c r="E180" s="697">
        <v>1</v>
      </c>
      <c r="F180" s="790">
        <f t="shared" si="21"/>
        <v>0.00190045933247188</v>
      </c>
      <c r="G180" s="790">
        <f t="shared" si="19"/>
        <v>0.00107960545623338</v>
      </c>
      <c r="H180" s="836">
        <f t="shared" si="20"/>
        <v>0.01</v>
      </c>
    </row>
    <row r="181" spans="2:8">
      <c r="B181" s="835" t="s">
        <v>1993</v>
      </c>
      <c r="C181" s="697">
        <v>490</v>
      </c>
      <c r="D181" s="700">
        <v>112695.1</v>
      </c>
      <c r="E181" s="697">
        <v>1</v>
      </c>
      <c r="F181" s="790">
        <f t="shared" si="21"/>
        <v>0.001611116043099</v>
      </c>
      <c r="G181" s="790">
        <f t="shared" si="19"/>
        <v>0.00339563180644359</v>
      </c>
      <c r="H181" s="836">
        <f t="shared" si="20"/>
        <v>0.01</v>
      </c>
    </row>
    <row r="182" spans="2:8">
      <c r="B182" s="835" t="s">
        <v>1423</v>
      </c>
      <c r="C182" s="697">
        <v>452</v>
      </c>
      <c r="D182" s="700">
        <v>24335.68</v>
      </c>
      <c r="E182" s="697">
        <v>1</v>
      </c>
      <c r="F182" s="790">
        <f t="shared" si="21"/>
        <v>0.00148617234996071</v>
      </c>
      <c r="G182" s="790">
        <f t="shared" si="19"/>
        <v>0.000733261774819252</v>
      </c>
      <c r="H182" s="836">
        <f t="shared" si="20"/>
        <v>0.01</v>
      </c>
    </row>
    <row r="183" spans="2:8">
      <c r="B183" s="835" t="s">
        <v>1653</v>
      </c>
      <c r="C183" s="697">
        <v>418</v>
      </c>
      <c r="D183" s="700">
        <v>41540.84</v>
      </c>
      <c r="E183" s="697">
        <v>1</v>
      </c>
      <c r="F183" s="790">
        <f t="shared" si="21"/>
        <v>0.00137438062452119</v>
      </c>
      <c r="G183" s="790">
        <f t="shared" si="19"/>
        <v>0.00125167285507874</v>
      </c>
      <c r="H183" s="836">
        <f t="shared" si="20"/>
        <v>0.01</v>
      </c>
    </row>
    <row r="184" spans="2:8">
      <c r="B184" s="835" t="s">
        <v>1862</v>
      </c>
      <c r="C184" s="697">
        <v>406</v>
      </c>
      <c r="D184" s="700">
        <v>54805.94</v>
      </c>
      <c r="E184" s="697">
        <v>1</v>
      </c>
      <c r="F184" s="790">
        <f t="shared" si="21"/>
        <v>0.00133492472142488</v>
      </c>
      <c r="G184" s="790">
        <f t="shared" si="19"/>
        <v>0.00165136543688269</v>
      </c>
      <c r="H184" s="836">
        <f t="shared" si="20"/>
        <v>0.01</v>
      </c>
    </row>
    <row r="185" spans="2:8">
      <c r="B185" s="835" t="s">
        <v>1760</v>
      </c>
      <c r="C185" s="697">
        <v>372</v>
      </c>
      <c r="D185" s="700">
        <v>27505.682</v>
      </c>
      <c r="E185" s="697">
        <v>1</v>
      </c>
      <c r="F185" s="790">
        <f t="shared" si="21"/>
        <v>0.00122313299598536</v>
      </c>
      <c r="G185" s="790">
        <f t="shared" si="19"/>
        <v>0.000828777548066623</v>
      </c>
      <c r="H185" s="836">
        <f t="shared" si="20"/>
        <v>0.01</v>
      </c>
    </row>
    <row r="186" spans="2:8">
      <c r="B186" s="835" t="s">
        <v>1720</v>
      </c>
      <c r="C186" s="697">
        <v>231</v>
      </c>
      <c r="D186" s="700">
        <v>43887.69</v>
      </c>
      <c r="E186" s="697">
        <v>1</v>
      </c>
      <c r="F186" s="790">
        <f t="shared" si="21"/>
        <v>0.000759526134603813</v>
      </c>
      <c r="G186" s="790">
        <f t="shared" si="19"/>
        <v>0.00132238612038444</v>
      </c>
      <c r="H186" s="836">
        <f t="shared" si="20"/>
        <v>0.01</v>
      </c>
    </row>
    <row r="187" spans="2:8">
      <c r="B187" s="835" t="s">
        <v>3102</v>
      </c>
      <c r="C187" s="697">
        <v>304137</v>
      </c>
      <c r="D187" s="700">
        <v>33188256.685</v>
      </c>
      <c r="E187" s="697">
        <v>100</v>
      </c>
      <c r="F187" s="790">
        <f t="shared" si="21"/>
        <v>1</v>
      </c>
      <c r="G187" s="790">
        <f t="shared" si="19"/>
        <v>1</v>
      </c>
      <c r="H187" s="836">
        <f t="shared" si="20"/>
        <v>1</v>
      </c>
    </row>
    <row r="188" spans="2:8">
      <c r="B188" s="837" t="s">
        <v>3111</v>
      </c>
      <c r="C188" s="838"/>
      <c r="D188" s="839"/>
      <c r="E188" s="840"/>
      <c r="F188" s="840"/>
      <c r="G188" s="840"/>
      <c r="H188" s="841"/>
    </row>
    <row r="189" spans="2:8">
      <c r="B189" s="844"/>
      <c r="C189" s="838"/>
      <c r="D189" s="839"/>
      <c r="E189" s="840"/>
      <c r="F189" s="840"/>
      <c r="G189" s="840"/>
      <c r="H189" s="841"/>
    </row>
    <row r="190" spans="2:8">
      <c r="B190" s="844"/>
      <c r="C190" s="838"/>
      <c r="D190" s="839"/>
      <c r="E190" s="840"/>
      <c r="F190" s="840"/>
      <c r="G190" s="840"/>
      <c r="H190" s="841"/>
    </row>
    <row r="191" spans="2:8">
      <c r="B191" s="844"/>
      <c r="C191" s="838"/>
      <c r="D191" s="839"/>
      <c r="E191" s="840"/>
      <c r="F191" s="840"/>
      <c r="G191" s="840"/>
      <c r="H191" s="841"/>
    </row>
    <row r="192" spans="2:8">
      <c r="B192" s="844"/>
      <c r="C192" s="838"/>
      <c r="D192" s="839"/>
      <c r="E192" s="840"/>
      <c r="F192" s="840"/>
      <c r="G192" s="840"/>
      <c r="H192" s="841"/>
    </row>
    <row r="193" spans="1:8">
      <c r="B193" s="847"/>
      <c r="C193" s="848"/>
      <c r="D193" s="849"/>
      <c r="E193" s="850"/>
      <c r="F193" s="850"/>
      <c r="G193" s="850"/>
      <c r="H193" s="851"/>
    </row>
    <row r="195" ht="17.25" spans="1:8">
      <c r="A195" s="829" t="s">
        <v>3112</v>
      </c>
      <c r="B195" s="830" t="s">
        <v>2790</v>
      </c>
      <c r="C195" s="831" t="s">
        <v>3098</v>
      </c>
      <c r="D195" s="832" t="s">
        <v>3099</v>
      </c>
      <c r="E195" s="831" t="s">
        <v>3100</v>
      </c>
      <c r="F195" s="833" t="s">
        <v>3022</v>
      </c>
      <c r="G195" s="833" t="s">
        <v>3023</v>
      </c>
      <c r="H195" s="834" t="s">
        <v>3101</v>
      </c>
    </row>
    <row r="196" spans="1:8">
      <c r="B196" s="835" t="s">
        <v>2809</v>
      </c>
      <c r="C196" s="697">
        <v>157569</v>
      </c>
      <c r="D196" s="700">
        <v>17133029.327</v>
      </c>
      <c r="E196" s="697">
        <v>57</v>
      </c>
      <c r="F196" s="790">
        <f t="shared" ref="F196:F224" si="22">C196/$C$150</f>
        <v>0.518085599581767</v>
      </c>
      <c r="G196" s="790">
        <f t="shared" ref="G196:G224" si="23">D196/$D$150</f>
        <v>0.516237700871573</v>
      </c>
      <c r="H196" s="836">
        <f t="shared" ref="H196:H224" si="24">E196/$E$150</f>
        <v>0.57</v>
      </c>
    </row>
    <row r="197" spans="1:8">
      <c r="B197" s="835" t="s">
        <v>2852</v>
      </c>
      <c r="C197" s="697">
        <v>48602</v>
      </c>
      <c r="D197" s="700">
        <v>5918984.71</v>
      </c>
      <c r="E197" s="697">
        <v>18</v>
      </c>
      <c r="F197" s="790">
        <f t="shared" si="22"/>
        <v>0.159802983523872</v>
      </c>
      <c r="G197" s="790">
        <f t="shared" si="23"/>
        <v>0.178345755433282</v>
      </c>
      <c r="H197" s="836">
        <f t="shared" si="24"/>
        <v>0.18</v>
      </c>
    </row>
    <row r="198" spans="1:8">
      <c r="B198" s="835" t="s">
        <v>2824</v>
      </c>
      <c r="C198" s="697">
        <v>48288</v>
      </c>
      <c r="D198" s="700">
        <v>3873172.76</v>
      </c>
      <c r="E198" s="697">
        <v>4</v>
      </c>
      <c r="F198" s="790">
        <f t="shared" si="22"/>
        <v>0.158770554059519</v>
      </c>
      <c r="G198" s="790">
        <f t="shared" si="23"/>
        <v>0.116703109680074</v>
      </c>
      <c r="H198" s="836">
        <f t="shared" si="24"/>
        <v>0.04</v>
      </c>
    </row>
    <row r="199" spans="1:8">
      <c r="B199" s="835" t="s">
        <v>2832</v>
      </c>
      <c r="C199" s="697">
        <v>34445</v>
      </c>
      <c r="D199" s="700">
        <v>5402301.428</v>
      </c>
      <c r="E199" s="697">
        <v>11</v>
      </c>
      <c r="F199" s="790">
        <f t="shared" si="22"/>
        <v>0.11325488184601</v>
      </c>
      <c r="G199" s="790">
        <f t="shared" si="23"/>
        <v>0.162777499260504</v>
      </c>
      <c r="H199" s="836">
        <f t="shared" si="24"/>
        <v>0.11</v>
      </c>
    </row>
    <row r="200" spans="1:8">
      <c r="B200" s="835" t="s">
        <v>2881</v>
      </c>
      <c r="C200" s="697">
        <v>6811</v>
      </c>
      <c r="D200" s="700">
        <v>502761.87</v>
      </c>
      <c r="E200" s="697">
        <v>3</v>
      </c>
      <c r="F200" s="790">
        <f t="shared" si="22"/>
        <v>0.0223945129990761</v>
      </c>
      <c r="G200" s="790">
        <f t="shared" si="23"/>
        <v>0.0151487881623873</v>
      </c>
      <c r="H200" s="836">
        <f t="shared" si="24"/>
        <v>0.03</v>
      </c>
    </row>
    <row r="201" spans="1:8">
      <c r="B201" s="835" t="s">
        <v>3005</v>
      </c>
      <c r="C201" s="697">
        <v>4687</v>
      </c>
      <c r="D201" s="700">
        <v>116080.444</v>
      </c>
      <c r="E201" s="697">
        <v>2</v>
      </c>
      <c r="F201" s="790">
        <f t="shared" si="22"/>
        <v>0.0154108181510306</v>
      </c>
      <c r="G201" s="790">
        <f t="shared" si="23"/>
        <v>0.00349763607958548</v>
      </c>
      <c r="H201" s="836">
        <f t="shared" si="24"/>
        <v>0.02</v>
      </c>
    </row>
    <row r="202" spans="1:8">
      <c r="B202" s="835" t="s">
        <v>2986</v>
      </c>
      <c r="C202" s="697">
        <v>1505</v>
      </c>
      <c r="D202" s="700">
        <v>130784.111</v>
      </c>
      <c r="E202" s="697">
        <v>3</v>
      </c>
      <c r="F202" s="790">
        <f t="shared" si="22"/>
        <v>0.00494842784666121</v>
      </c>
      <c r="G202" s="790">
        <f t="shared" si="23"/>
        <v>0.003940674324696</v>
      </c>
      <c r="H202" s="836">
        <f t="shared" si="24"/>
        <v>0.03</v>
      </c>
    </row>
    <row r="203" spans="1:8">
      <c r="B203" s="835" t="s">
        <v>2963</v>
      </c>
      <c r="C203" s="697">
        <v>1121</v>
      </c>
      <c r="D203" s="700">
        <v>40221.48</v>
      </c>
      <c r="E203" s="697">
        <v>1</v>
      </c>
      <c r="F203" s="790">
        <f t="shared" si="22"/>
        <v>0.00368583894757954</v>
      </c>
      <c r="G203" s="790">
        <f t="shared" si="23"/>
        <v>0.00121191903454751</v>
      </c>
      <c r="H203" s="836">
        <f t="shared" si="24"/>
        <v>0.01</v>
      </c>
    </row>
    <row r="204" spans="1:8">
      <c r="B204" s="835" t="s">
        <v>2958</v>
      </c>
      <c r="C204" s="697">
        <v>1109</v>
      </c>
      <c r="D204" s="700">
        <v>70920.555</v>
      </c>
      <c r="E204" s="697">
        <v>1</v>
      </c>
      <c r="F204" s="790">
        <f t="shared" si="22"/>
        <v>0.00364638304448324</v>
      </c>
      <c r="G204" s="790">
        <f t="shared" si="23"/>
        <v>0.00213691715335123</v>
      </c>
      <c r="H204" s="836">
        <f t="shared" si="24"/>
        <v>0.01</v>
      </c>
    </row>
    <row r="205" spans="1:8">
      <c r="B205" s="835" t="s">
        <v>3102</v>
      </c>
      <c r="C205" s="697">
        <v>304137</v>
      </c>
      <c r="D205" s="700">
        <v>33188256.685</v>
      </c>
      <c r="E205" s="697">
        <v>100</v>
      </c>
      <c r="F205" s="790">
        <f t="shared" si="22"/>
        <v>1</v>
      </c>
      <c r="G205" s="790">
        <f t="shared" si="23"/>
        <v>1</v>
      </c>
      <c r="H205" s="836">
        <f t="shared" si="24"/>
        <v>1</v>
      </c>
    </row>
    <row r="206" spans="1:8">
      <c r="B206" s="837" t="s">
        <v>3113</v>
      </c>
      <c r="C206" s="838"/>
      <c r="D206" s="839"/>
      <c r="E206" s="840"/>
      <c r="F206" s="840"/>
      <c r="G206" s="840"/>
      <c r="H206" s="841"/>
    </row>
    <row r="207" spans="1:8">
      <c r="B207" s="844"/>
      <c r="C207" s="838"/>
      <c r="D207" s="839"/>
      <c r="E207" s="840"/>
      <c r="F207" s="840"/>
      <c r="G207" s="840"/>
      <c r="H207" s="841"/>
    </row>
    <row r="208" spans="1:8">
      <c r="B208" s="844"/>
      <c r="C208" s="838"/>
      <c r="D208" s="839"/>
      <c r="E208" s="840"/>
      <c r="F208" s="840"/>
      <c r="G208" s="840"/>
      <c r="H208" s="841"/>
    </row>
    <row r="209" spans="1:16">
      <c r="B209" s="844"/>
      <c r="C209" s="838"/>
      <c r="D209" s="839"/>
      <c r="E209" s="840"/>
      <c r="F209" s="840"/>
      <c r="G209" s="840"/>
      <c r="H209" s="841"/>
    </row>
    <row r="210" spans="1:16">
      <c r="B210" s="844"/>
      <c r="C210" s="838"/>
      <c r="D210" s="839"/>
      <c r="E210" s="840"/>
      <c r="F210" s="840"/>
      <c r="G210" s="840"/>
      <c r="H210" s="841"/>
    </row>
    <row r="211" spans="1:16">
      <c r="B211" s="847"/>
      <c r="C211" s="848"/>
      <c r="D211" s="849"/>
      <c r="E211" s="850"/>
      <c r="F211" s="850"/>
      <c r="G211" s="850"/>
      <c r="H211" s="851"/>
    </row>
    <row r="213" ht="17.25" spans="1:16">
      <c r="A213" s="829" t="s">
        <v>3114</v>
      </c>
      <c r="B213" s="830" t="s">
        <v>2792</v>
      </c>
      <c r="C213" s="831" t="s">
        <v>3098</v>
      </c>
      <c r="D213" s="831" t="s">
        <v>3099</v>
      </c>
      <c r="E213" s="831" t="s">
        <v>3100</v>
      </c>
      <c r="F213" s="833" t="s">
        <v>3022</v>
      </c>
      <c r="G213" s="833" t="s">
        <v>3023</v>
      </c>
      <c r="H213" s="834" t="s">
        <v>3101</v>
      </c>
      <c r="J213" s="830" t="s">
        <v>2794</v>
      </c>
      <c r="K213" s="831" t="s">
        <v>3098</v>
      </c>
      <c r="L213" s="831" t="s">
        <v>3099</v>
      </c>
      <c r="M213" s="831" t="s">
        <v>3100</v>
      </c>
      <c r="N213" s="833" t="s">
        <v>3022</v>
      </c>
      <c r="O213" s="833" t="s">
        <v>3023</v>
      </c>
      <c r="P213" s="834" t="s">
        <v>3101</v>
      </c>
    </row>
    <row r="214" spans="1:16">
      <c r="B214" s="835" t="s">
        <v>2810</v>
      </c>
      <c r="C214" s="697">
        <v>58043</v>
      </c>
      <c r="D214" s="697">
        <v>5179218.5</v>
      </c>
      <c r="E214" s="697">
        <v>3</v>
      </c>
      <c r="F214" s="790">
        <f t="shared" ref="F214:F223" si="25">C214/$C$150</f>
        <v>0.190844915284888</v>
      </c>
      <c r="G214" s="790">
        <f t="shared" ref="G214:G223" si="26">D214/$D$150</f>
        <v>0.156055756382674</v>
      </c>
      <c r="H214" s="836">
        <f t="shared" ref="H214:H223" si="27">E214/$E$150</f>
        <v>0.03</v>
      </c>
      <c r="J214" s="835" t="s">
        <v>2811</v>
      </c>
      <c r="K214" s="787">
        <v>58043</v>
      </c>
      <c r="L214" s="787">
        <v>5179218.5</v>
      </c>
      <c r="M214" s="787">
        <v>3</v>
      </c>
      <c r="N214" s="852">
        <f t="shared" ref="N214:N258" si="28">K214/$C$150</f>
        <v>0.190844915284888</v>
      </c>
      <c r="O214" s="852">
        <f t="shared" ref="O214:O258" si="29">L214/$D$150</f>
        <v>0.156055756382674</v>
      </c>
      <c r="P214" s="836">
        <f t="shared" ref="P214:P258" si="30">M214/$E$150</f>
        <v>0.03</v>
      </c>
    </row>
    <row r="215" spans="1:16">
      <c r="B215" s="835" t="s">
        <v>2847</v>
      </c>
      <c r="C215" s="697">
        <v>49144</v>
      </c>
      <c r="D215" s="697">
        <v>4538783.73</v>
      </c>
      <c r="E215" s="697">
        <v>6</v>
      </c>
      <c r="F215" s="790">
        <f t="shared" si="25"/>
        <v>0.161585075147055</v>
      </c>
      <c r="G215" s="790">
        <f t="shared" si="26"/>
        <v>0.136758726831572</v>
      </c>
      <c r="H215" s="836">
        <f t="shared" si="27"/>
        <v>0.06</v>
      </c>
      <c r="J215" s="835" t="s">
        <v>2848</v>
      </c>
      <c r="K215" s="787">
        <v>49144</v>
      </c>
      <c r="L215" s="787">
        <v>4538783.73</v>
      </c>
      <c r="M215" s="787">
        <v>6</v>
      </c>
      <c r="N215" s="852">
        <f t="shared" si="28"/>
        <v>0.161585075147055</v>
      </c>
      <c r="O215" s="852">
        <f t="shared" si="29"/>
        <v>0.136758726831572</v>
      </c>
      <c r="P215" s="836">
        <f t="shared" si="30"/>
        <v>0.06</v>
      </c>
    </row>
    <row r="216" spans="1:16">
      <c r="B216" s="835" t="s">
        <v>2833</v>
      </c>
      <c r="C216" s="697">
        <v>29928</v>
      </c>
      <c r="D216" s="697">
        <v>4494584.85</v>
      </c>
      <c r="E216" s="697">
        <v>7</v>
      </c>
      <c r="F216" s="790">
        <f t="shared" si="25"/>
        <v>0.0984030223221772</v>
      </c>
      <c r="G216" s="790">
        <f t="shared" si="26"/>
        <v>0.135426964201811</v>
      </c>
      <c r="H216" s="836">
        <f t="shared" si="27"/>
        <v>0.07</v>
      </c>
      <c r="J216" s="835" t="s">
        <v>2834</v>
      </c>
      <c r="K216" s="787">
        <v>29928</v>
      </c>
      <c r="L216" s="787">
        <v>4494584.85</v>
      </c>
      <c r="M216" s="787">
        <v>7</v>
      </c>
      <c r="N216" s="852">
        <f t="shared" si="28"/>
        <v>0.0984030223221772</v>
      </c>
      <c r="O216" s="852">
        <f t="shared" si="29"/>
        <v>0.135426964201811</v>
      </c>
      <c r="P216" s="836">
        <f t="shared" si="30"/>
        <v>0.07</v>
      </c>
    </row>
    <row r="217" spans="1:16">
      <c r="B217" s="835" t="s">
        <v>2841</v>
      </c>
      <c r="C217" s="697">
        <v>25527</v>
      </c>
      <c r="D217" s="697">
        <v>2588962.788</v>
      </c>
      <c r="E217" s="697">
        <v>7</v>
      </c>
      <c r="F217" s="790">
        <f t="shared" si="25"/>
        <v>0.0839325698616084</v>
      </c>
      <c r="G217" s="790">
        <f t="shared" si="26"/>
        <v>0.0780083995544763</v>
      </c>
      <c r="H217" s="836">
        <f t="shared" si="27"/>
        <v>0.07</v>
      </c>
      <c r="J217" s="835" t="s">
        <v>2842</v>
      </c>
      <c r="K217" s="787">
        <v>25527</v>
      </c>
      <c r="L217" s="787">
        <v>2588962.788</v>
      </c>
      <c r="M217" s="787">
        <v>7</v>
      </c>
      <c r="N217" s="852">
        <f t="shared" si="28"/>
        <v>0.0839325698616084</v>
      </c>
      <c r="O217" s="852">
        <f t="shared" si="29"/>
        <v>0.0780083995544763</v>
      </c>
      <c r="P217" s="836">
        <f t="shared" si="30"/>
        <v>0.07</v>
      </c>
    </row>
    <row r="218" spans="1:16">
      <c r="B218" s="835" t="s">
        <v>2901</v>
      </c>
      <c r="C218" s="697">
        <v>19006</v>
      </c>
      <c r="D218" s="697">
        <v>933834.8</v>
      </c>
      <c r="E218" s="697">
        <v>2</v>
      </c>
      <c r="F218" s="790">
        <f t="shared" si="25"/>
        <v>0.062491574520693</v>
      </c>
      <c r="G218" s="790">
        <f t="shared" si="26"/>
        <v>0.0281375068556121</v>
      </c>
      <c r="H218" s="836">
        <f t="shared" si="27"/>
        <v>0.02</v>
      </c>
      <c r="J218" s="835" t="s">
        <v>2902</v>
      </c>
      <c r="K218" s="787">
        <v>19006</v>
      </c>
      <c r="L218" s="787">
        <v>933834.8</v>
      </c>
      <c r="M218" s="787">
        <v>2</v>
      </c>
      <c r="N218" s="852">
        <f t="shared" si="28"/>
        <v>0.062491574520693</v>
      </c>
      <c r="O218" s="852">
        <f t="shared" si="29"/>
        <v>0.0281375068556121</v>
      </c>
      <c r="P218" s="836">
        <f t="shared" si="30"/>
        <v>0.02</v>
      </c>
    </row>
    <row r="219" spans="1:16">
      <c r="B219" s="835" t="s">
        <v>2869</v>
      </c>
      <c r="C219" s="697">
        <v>14822</v>
      </c>
      <c r="D219" s="697">
        <v>2504066.02</v>
      </c>
      <c r="E219" s="697">
        <v>5</v>
      </c>
      <c r="F219" s="790">
        <f t="shared" si="25"/>
        <v>0.0487346163077823</v>
      </c>
      <c r="G219" s="790">
        <f t="shared" si="26"/>
        <v>0.0754503631741451</v>
      </c>
      <c r="H219" s="836">
        <f t="shared" si="27"/>
        <v>0.05</v>
      </c>
      <c r="J219" s="835" t="s">
        <v>2870</v>
      </c>
      <c r="K219" s="787">
        <v>14822</v>
      </c>
      <c r="L219" s="787">
        <v>2504066.02</v>
      </c>
      <c r="M219" s="787">
        <v>5</v>
      </c>
      <c r="N219" s="852">
        <f t="shared" si="28"/>
        <v>0.0487346163077823</v>
      </c>
      <c r="O219" s="852">
        <f t="shared" si="29"/>
        <v>0.0754503631741451</v>
      </c>
      <c r="P219" s="836">
        <f t="shared" si="30"/>
        <v>0.05</v>
      </c>
    </row>
    <row r="220" spans="1:16">
      <c r="B220" s="835" t="s">
        <v>2875</v>
      </c>
      <c r="C220" s="697">
        <v>14554</v>
      </c>
      <c r="D220" s="697">
        <v>2356484.566</v>
      </c>
      <c r="E220" s="697">
        <v>4</v>
      </c>
      <c r="F220" s="790">
        <f t="shared" si="25"/>
        <v>0.0478534344719649</v>
      </c>
      <c r="G220" s="790">
        <f t="shared" si="26"/>
        <v>0.0710035657602062</v>
      </c>
      <c r="H220" s="836">
        <f t="shared" si="27"/>
        <v>0.04</v>
      </c>
      <c r="J220" s="835" t="s">
        <v>2876</v>
      </c>
      <c r="K220" s="787">
        <v>14554</v>
      </c>
      <c r="L220" s="787">
        <v>2356484.566</v>
      </c>
      <c r="M220" s="787">
        <v>4</v>
      </c>
      <c r="N220" s="852">
        <f t="shared" si="28"/>
        <v>0.0478534344719649</v>
      </c>
      <c r="O220" s="852">
        <f t="shared" si="29"/>
        <v>0.0710035657602062</v>
      </c>
      <c r="P220" s="836">
        <f t="shared" si="30"/>
        <v>0.04</v>
      </c>
    </row>
    <row r="221" spans="1:16">
      <c r="B221" s="835" t="s">
        <v>2859</v>
      </c>
      <c r="C221" s="697">
        <v>11169</v>
      </c>
      <c r="D221" s="697">
        <v>366525.63</v>
      </c>
      <c r="E221" s="697">
        <v>3</v>
      </c>
      <c r="F221" s="790">
        <f t="shared" si="25"/>
        <v>0.0367235818068831</v>
      </c>
      <c r="G221" s="790">
        <f t="shared" si="26"/>
        <v>0.0110438349768958</v>
      </c>
      <c r="H221" s="836">
        <f t="shared" si="27"/>
        <v>0.03</v>
      </c>
      <c r="J221" s="835" t="s">
        <v>2860</v>
      </c>
      <c r="K221" s="787">
        <v>11169</v>
      </c>
      <c r="L221" s="787">
        <v>366525.63</v>
      </c>
      <c r="M221" s="787">
        <v>3</v>
      </c>
      <c r="N221" s="852">
        <f t="shared" si="28"/>
        <v>0.0367235818068831</v>
      </c>
      <c r="O221" s="852">
        <f t="shared" si="29"/>
        <v>0.0110438349768958</v>
      </c>
      <c r="P221" s="836">
        <f t="shared" si="30"/>
        <v>0.03</v>
      </c>
    </row>
    <row r="222" spans="1:16">
      <c r="B222" s="835" t="s">
        <v>2891</v>
      </c>
      <c r="C222" s="697">
        <v>10391</v>
      </c>
      <c r="D222" s="697">
        <v>2207929.09</v>
      </c>
      <c r="E222" s="697">
        <v>7</v>
      </c>
      <c r="F222" s="790">
        <f t="shared" si="25"/>
        <v>0.0341655240894728</v>
      </c>
      <c r="G222" s="790">
        <f t="shared" si="26"/>
        <v>0.0665274199532725</v>
      </c>
      <c r="H222" s="836">
        <f t="shared" si="27"/>
        <v>0.07</v>
      </c>
      <c r="J222" s="835" t="s">
        <v>2892</v>
      </c>
      <c r="K222" s="787">
        <v>10391</v>
      </c>
      <c r="L222" s="787">
        <v>2207929.09</v>
      </c>
      <c r="M222" s="787">
        <v>7</v>
      </c>
      <c r="N222" s="852">
        <f t="shared" si="28"/>
        <v>0.0341655240894728</v>
      </c>
      <c r="O222" s="852">
        <f t="shared" si="29"/>
        <v>0.0665274199532725</v>
      </c>
      <c r="P222" s="836">
        <f t="shared" si="30"/>
        <v>0.07</v>
      </c>
    </row>
    <row r="223" spans="1:16">
      <c r="B223" s="835" t="s">
        <v>2941</v>
      </c>
      <c r="C223" s="697">
        <v>8184</v>
      </c>
      <c r="D223" s="697">
        <v>875277.759</v>
      </c>
      <c r="E223" s="697">
        <v>9</v>
      </c>
      <c r="F223" s="790">
        <f t="shared" si="25"/>
        <v>0.026908925911678</v>
      </c>
      <c r="G223" s="790">
        <f t="shared" si="26"/>
        <v>0.0263731164703085</v>
      </c>
      <c r="H223" s="836">
        <f t="shared" si="27"/>
        <v>0.09</v>
      </c>
      <c r="J223" s="835" t="s">
        <v>2942</v>
      </c>
      <c r="K223" s="787">
        <v>8184</v>
      </c>
      <c r="L223" s="787">
        <v>875277.759</v>
      </c>
      <c r="M223" s="787">
        <v>9</v>
      </c>
      <c r="N223" s="852">
        <f t="shared" si="28"/>
        <v>0.026908925911678</v>
      </c>
      <c r="O223" s="852">
        <f t="shared" si="29"/>
        <v>0.0263731164703085</v>
      </c>
      <c r="P223" s="836">
        <f t="shared" si="30"/>
        <v>0.09</v>
      </c>
    </row>
    <row r="224" spans="1:16">
      <c r="B224" s="835" t="s">
        <v>2885</v>
      </c>
      <c r="C224" s="697">
        <v>7579</v>
      </c>
      <c r="D224" s="697">
        <v>1136774.2</v>
      </c>
      <c r="E224" s="697">
        <v>1</v>
      </c>
      <c r="F224" s="790">
        <f t="shared" ref="F224:F258" si="31">C224/$C$150</f>
        <v>0.0249196907972394</v>
      </c>
      <c r="G224" s="790">
        <f t="shared" ref="G224:G258" si="32">D224/$D$150</f>
        <v>0.0342523022763586</v>
      </c>
      <c r="H224" s="836">
        <f t="shared" ref="H224:H258" si="33">E224/$E$150</f>
        <v>0.01</v>
      </c>
      <c r="J224" s="835" t="s">
        <v>2886</v>
      </c>
      <c r="K224" s="787">
        <v>7579</v>
      </c>
      <c r="L224" s="787">
        <v>1136774.2</v>
      </c>
      <c r="M224" s="787">
        <v>1</v>
      </c>
      <c r="N224" s="852">
        <f t="shared" si="28"/>
        <v>0.0249196907972394</v>
      </c>
      <c r="O224" s="852">
        <f t="shared" si="29"/>
        <v>0.0342523022763586</v>
      </c>
      <c r="P224" s="836">
        <f t="shared" si="30"/>
        <v>0.01</v>
      </c>
    </row>
    <row r="225" spans="2:16">
      <c r="B225" s="835" t="s">
        <v>2897</v>
      </c>
      <c r="C225" s="697">
        <v>6074</v>
      </c>
      <c r="D225" s="697">
        <v>953279.3</v>
      </c>
      <c r="E225" s="697">
        <v>2</v>
      </c>
      <c r="F225" s="790">
        <f t="shared" si="31"/>
        <v>0.0199712629505782</v>
      </c>
      <c r="G225" s="790">
        <f t="shared" si="32"/>
        <v>0.0287233918023435</v>
      </c>
      <c r="H225" s="836">
        <f t="shared" si="33"/>
        <v>0.02</v>
      </c>
      <c r="J225" s="835" t="s">
        <v>2898</v>
      </c>
      <c r="K225" s="787">
        <v>6074</v>
      </c>
      <c r="L225" s="787">
        <v>953279.3</v>
      </c>
      <c r="M225" s="787">
        <v>2</v>
      </c>
      <c r="N225" s="852">
        <f t="shared" si="28"/>
        <v>0.0199712629505782</v>
      </c>
      <c r="O225" s="852">
        <f t="shared" si="29"/>
        <v>0.0287233918023435</v>
      </c>
      <c r="P225" s="836">
        <f t="shared" si="30"/>
        <v>0.02</v>
      </c>
    </row>
    <row r="226" spans="2:16">
      <c r="B226" s="835" t="s">
        <v>2926</v>
      </c>
      <c r="C226" s="697">
        <v>5953</v>
      </c>
      <c r="D226" s="697">
        <v>367404.28</v>
      </c>
      <c r="E226" s="697">
        <v>2</v>
      </c>
      <c r="F226" s="790">
        <f t="shared" si="31"/>
        <v>0.0195734159276905</v>
      </c>
      <c r="G226" s="790">
        <f t="shared" si="32"/>
        <v>0.011070309702831</v>
      </c>
      <c r="H226" s="836">
        <f t="shared" si="33"/>
        <v>0.02</v>
      </c>
      <c r="J226" s="835" t="s">
        <v>2927</v>
      </c>
      <c r="K226" s="787">
        <v>5953</v>
      </c>
      <c r="L226" s="787">
        <v>367404.28</v>
      </c>
      <c r="M226" s="787">
        <v>2</v>
      </c>
      <c r="N226" s="852">
        <f t="shared" si="28"/>
        <v>0.0195734159276905</v>
      </c>
      <c r="O226" s="852">
        <f t="shared" si="29"/>
        <v>0.011070309702831</v>
      </c>
      <c r="P226" s="836">
        <f t="shared" si="30"/>
        <v>0.02</v>
      </c>
    </row>
    <row r="227" spans="2:16">
      <c r="B227" s="835" t="s">
        <v>2872</v>
      </c>
      <c r="C227" s="697">
        <v>5498</v>
      </c>
      <c r="D227" s="697">
        <v>489816.8</v>
      </c>
      <c r="E227" s="697">
        <v>1</v>
      </c>
      <c r="F227" s="790">
        <f t="shared" si="31"/>
        <v>0.0180773796019557</v>
      </c>
      <c r="G227" s="790">
        <f t="shared" si="32"/>
        <v>0.0147587384492353</v>
      </c>
      <c r="H227" s="836">
        <f t="shared" si="33"/>
        <v>0.01</v>
      </c>
      <c r="J227" s="835" t="s">
        <v>2873</v>
      </c>
      <c r="K227" s="787">
        <v>5498</v>
      </c>
      <c r="L227" s="787">
        <v>489816.8</v>
      </c>
      <c r="M227" s="787">
        <v>1</v>
      </c>
      <c r="N227" s="852">
        <f t="shared" si="28"/>
        <v>0.0180773796019557</v>
      </c>
      <c r="O227" s="852">
        <f t="shared" si="29"/>
        <v>0.0147587384492353</v>
      </c>
      <c r="P227" s="836">
        <f t="shared" si="30"/>
        <v>0.01</v>
      </c>
    </row>
    <row r="228" spans="2:16">
      <c r="B228" s="835" t="s">
        <v>2914</v>
      </c>
      <c r="C228" s="697">
        <v>5399</v>
      </c>
      <c r="D228" s="697">
        <v>237206.993</v>
      </c>
      <c r="E228" s="697">
        <v>4</v>
      </c>
      <c r="F228" s="790">
        <f t="shared" si="31"/>
        <v>0.0177518684014112</v>
      </c>
      <c r="G228" s="790">
        <f t="shared" si="32"/>
        <v>0.00714731705408346</v>
      </c>
      <c r="H228" s="836">
        <f t="shared" si="33"/>
        <v>0.04</v>
      </c>
      <c r="J228" s="835" t="s">
        <v>2915</v>
      </c>
      <c r="K228" s="787">
        <v>5399</v>
      </c>
      <c r="L228" s="787">
        <v>237206.993</v>
      </c>
      <c r="M228" s="787">
        <v>4</v>
      </c>
      <c r="N228" s="852">
        <f t="shared" si="28"/>
        <v>0.0177518684014112</v>
      </c>
      <c r="O228" s="852">
        <f t="shared" si="29"/>
        <v>0.00714731705408346</v>
      </c>
      <c r="P228" s="836">
        <f t="shared" si="30"/>
        <v>0.04</v>
      </c>
    </row>
    <row r="229" spans="2:16">
      <c r="B229" s="835" t="s">
        <v>2999</v>
      </c>
      <c r="C229" s="697">
        <v>3104</v>
      </c>
      <c r="D229" s="697">
        <v>207129.94</v>
      </c>
      <c r="E229" s="697">
        <v>1</v>
      </c>
      <c r="F229" s="790">
        <f t="shared" si="31"/>
        <v>0.0102059269342434</v>
      </c>
      <c r="G229" s="790">
        <f t="shared" si="32"/>
        <v>0.00624106116708492</v>
      </c>
      <c r="H229" s="836">
        <f t="shared" si="33"/>
        <v>0.01</v>
      </c>
      <c r="J229" s="835" t="s">
        <v>3000</v>
      </c>
      <c r="K229" s="787">
        <v>3104</v>
      </c>
      <c r="L229" s="787">
        <v>207129.94</v>
      </c>
      <c r="M229" s="787">
        <v>1</v>
      </c>
      <c r="N229" s="852">
        <f t="shared" si="28"/>
        <v>0.0102059269342434</v>
      </c>
      <c r="O229" s="852">
        <f t="shared" si="29"/>
        <v>0.00624106116708492</v>
      </c>
      <c r="P229" s="836">
        <f t="shared" si="30"/>
        <v>0.01</v>
      </c>
    </row>
    <row r="230" spans="2:16">
      <c r="B230" s="835" t="s">
        <v>2959</v>
      </c>
      <c r="C230" s="697">
        <v>2323</v>
      </c>
      <c r="D230" s="697">
        <v>229843.887</v>
      </c>
      <c r="E230" s="697">
        <v>3</v>
      </c>
      <c r="F230" s="790">
        <f t="shared" si="31"/>
        <v>0.00763800524105913</v>
      </c>
      <c r="G230" s="790">
        <f t="shared" si="32"/>
        <v>0.00692545827825545</v>
      </c>
      <c r="H230" s="836">
        <f t="shared" si="33"/>
        <v>0.03</v>
      </c>
      <c r="J230" s="835" t="s">
        <v>2960</v>
      </c>
      <c r="K230" s="787">
        <v>2323</v>
      </c>
      <c r="L230" s="787">
        <v>229843.887</v>
      </c>
      <c r="M230" s="787">
        <v>3</v>
      </c>
      <c r="N230" s="852">
        <f t="shared" si="28"/>
        <v>0.00763800524105913</v>
      </c>
      <c r="O230" s="852">
        <f t="shared" si="29"/>
        <v>0.00692545827825545</v>
      </c>
      <c r="P230" s="836">
        <f t="shared" si="30"/>
        <v>0.03</v>
      </c>
    </row>
    <row r="231" spans="2:16">
      <c r="B231" s="835" t="s">
        <v>2969</v>
      </c>
      <c r="C231" s="697">
        <v>2117</v>
      </c>
      <c r="D231" s="697">
        <v>273428.84</v>
      </c>
      <c r="E231" s="697">
        <v>2</v>
      </c>
      <c r="F231" s="790">
        <f t="shared" si="31"/>
        <v>0.00696067890457261</v>
      </c>
      <c r="G231" s="790">
        <f t="shared" si="32"/>
        <v>0.00823872258778753</v>
      </c>
      <c r="H231" s="836">
        <f t="shared" si="33"/>
        <v>0.02</v>
      </c>
      <c r="J231" s="835" t="s">
        <v>2970</v>
      </c>
      <c r="K231" s="787">
        <v>2117</v>
      </c>
      <c r="L231" s="787">
        <v>273428.84</v>
      </c>
      <c r="M231" s="787">
        <v>2</v>
      </c>
      <c r="N231" s="852">
        <f t="shared" si="28"/>
        <v>0.00696067890457261</v>
      </c>
      <c r="O231" s="852">
        <f t="shared" si="29"/>
        <v>0.00823872258778753</v>
      </c>
      <c r="P231" s="836">
        <f t="shared" si="30"/>
        <v>0.02</v>
      </c>
    </row>
    <row r="232" spans="2:16">
      <c r="B232" s="835" t="s">
        <v>2952</v>
      </c>
      <c r="C232" s="697">
        <v>1895</v>
      </c>
      <c r="D232" s="697">
        <v>360031.06</v>
      </c>
      <c r="E232" s="697">
        <v>1</v>
      </c>
      <c r="F232" s="790">
        <f t="shared" si="31"/>
        <v>0.00623074469729102</v>
      </c>
      <c r="G232" s="790">
        <f t="shared" si="32"/>
        <v>0.0108481461806556</v>
      </c>
      <c r="H232" s="836">
        <f t="shared" si="33"/>
        <v>0.01</v>
      </c>
      <c r="J232" s="835" t="s">
        <v>2953</v>
      </c>
      <c r="K232" s="787">
        <v>1895</v>
      </c>
      <c r="L232" s="787">
        <v>360031.06</v>
      </c>
      <c r="M232" s="787">
        <v>1</v>
      </c>
      <c r="N232" s="852">
        <f t="shared" si="28"/>
        <v>0.00623074469729102</v>
      </c>
      <c r="O232" s="852">
        <f t="shared" si="29"/>
        <v>0.0108481461806556</v>
      </c>
      <c r="P232" s="836">
        <f t="shared" si="30"/>
        <v>0.01</v>
      </c>
    </row>
    <row r="233" spans="2:16">
      <c r="B233" s="835" t="s">
        <v>2945</v>
      </c>
      <c r="C233" s="697">
        <v>1815</v>
      </c>
      <c r="D233" s="697">
        <v>326681.88</v>
      </c>
      <c r="E233" s="697">
        <v>1</v>
      </c>
      <c r="F233" s="790">
        <f t="shared" si="31"/>
        <v>0.00596770534331568</v>
      </c>
      <c r="G233" s="790">
        <f t="shared" si="32"/>
        <v>0.00984329737776343</v>
      </c>
      <c r="H233" s="836">
        <f t="shared" si="33"/>
        <v>0.01</v>
      </c>
      <c r="J233" s="835" t="s">
        <v>2946</v>
      </c>
      <c r="K233" s="787">
        <v>1815</v>
      </c>
      <c r="L233" s="787">
        <v>326681.88</v>
      </c>
      <c r="M233" s="787">
        <v>1</v>
      </c>
      <c r="N233" s="852">
        <f t="shared" si="28"/>
        <v>0.00596770534331568</v>
      </c>
      <c r="O233" s="852">
        <f t="shared" si="29"/>
        <v>0.00984329737776343</v>
      </c>
      <c r="P233" s="836">
        <f t="shared" si="30"/>
        <v>0.01</v>
      </c>
    </row>
    <row r="234" spans="2:16">
      <c r="B234" s="835" t="s">
        <v>2973</v>
      </c>
      <c r="C234" s="697">
        <v>1778</v>
      </c>
      <c r="D234" s="697">
        <v>186442.22</v>
      </c>
      <c r="E234" s="697">
        <v>3</v>
      </c>
      <c r="F234" s="790">
        <f t="shared" si="31"/>
        <v>0.00584604964210208</v>
      </c>
      <c r="G234" s="790">
        <f t="shared" si="32"/>
        <v>0.00561771658480229</v>
      </c>
      <c r="H234" s="836">
        <f t="shared" si="33"/>
        <v>0.03</v>
      </c>
      <c r="J234" s="835" t="s">
        <v>2974</v>
      </c>
      <c r="K234" s="787">
        <v>1778</v>
      </c>
      <c r="L234" s="787">
        <v>186442.22</v>
      </c>
      <c r="M234" s="787">
        <v>3</v>
      </c>
      <c r="N234" s="852">
        <f t="shared" si="28"/>
        <v>0.00584604964210208</v>
      </c>
      <c r="O234" s="852">
        <f t="shared" si="29"/>
        <v>0.00561771658480229</v>
      </c>
      <c r="P234" s="836">
        <f t="shared" si="30"/>
        <v>0.03</v>
      </c>
    </row>
    <row r="235" spans="2:16">
      <c r="B235" s="835" t="s">
        <v>2954</v>
      </c>
      <c r="C235" s="697">
        <v>1757</v>
      </c>
      <c r="D235" s="697">
        <v>208081.52</v>
      </c>
      <c r="E235" s="697">
        <v>1</v>
      </c>
      <c r="F235" s="790">
        <f t="shared" si="31"/>
        <v>0.00577700181168355</v>
      </c>
      <c r="G235" s="790">
        <f t="shared" si="32"/>
        <v>0.0062697333570415</v>
      </c>
      <c r="H235" s="836">
        <f t="shared" si="33"/>
        <v>0.01</v>
      </c>
      <c r="J235" s="835" t="s">
        <v>2955</v>
      </c>
      <c r="K235" s="787">
        <v>1757</v>
      </c>
      <c r="L235" s="787">
        <v>208081.52</v>
      </c>
      <c r="M235" s="787">
        <v>1</v>
      </c>
      <c r="N235" s="852">
        <f t="shared" si="28"/>
        <v>0.00577700181168355</v>
      </c>
      <c r="O235" s="852">
        <f t="shared" si="29"/>
        <v>0.0062697333570415</v>
      </c>
      <c r="P235" s="836">
        <f t="shared" si="30"/>
        <v>0.01</v>
      </c>
    </row>
    <row r="236" spans="2:16">
      <c r="B236" s="835" t="s">
        <v>2964</v>
      </c>
      <c r="C236" s="697">
        <v>1613</v>
      </c>
      <c r="D236" s="697">
        <v>58912.56</v>
      </c>
      <c r="E236" s="697">
        <v>2</v>
      </c>
      <c r="F236" s="790">
        <f t="shared" si="31"/>
        <v>0.00530353097452793</v>
      </c>
      <c r="G236" s="790">
        <f t="shared" si="32"/>
        <v>0.00177510257797381</v>
      </c>
      <c r="H236" s="836">
        <f t="shared" si="33"/>
        <v>0.02</v>
      </c>
      <c r="J236" s="835" t="s">
        <v>2965</v>
      </c>
      <c r="K236" s="787">
        <v>1613</v>
      </c>
      <c r="L236" s="787">
        <v>58912.56</v>
      </c>
      <c r="M236" s="787">
        <v>2</v>
      </c>
      <c r="N236" s="852">
        <f t="shared" si="28"/>
        <v>0.00530353097452793</v>
      </c>
      <c r="O236" s="852">
        <f t="shared" si="29"/>
        <v>0.00177510257797381</v>
      </c>
      <c r="P236" s="836">
        <f t="shared" si="30"/>
        <v>0.02</v>
      </c>
    </row>
    <row r="237" spans="2:16">
      <c r="B237" s="835" t="s">
        <v>2918</v>
      </c>
      <c r="C237" s="697">
        <v>1488</v>
      </c>
      <c r="D237" s="697">
        <v>133905.11</v>
      </c>
      <c r="E237" s="697">
        <v>1</v>
      </c>
      <c r="F237" s="790">
        <f t="shared" si="31"/>
        <v>0.00489253198394145</v>
      </c>
      <c r="G237" s="790">
        <f t="shared" si="32"/>
        <v>0.00403471358170255</v>
      </c>
      <c r="H237" s="836">
        <f t="shared" si="33"/>
        <v>0.01</v>
      </c>
      <c r="J237" s="835" t="s">
        <v>2919</v>
      </c>
      <c r="K237" s="787">
        <v>1488</v>
      </c>
      <c r="L237" s="787">
        <v>133905.11</v>
      </c>
      <c r="M237" s="787">
        <v>1</v>
      </c>
      <c r="N237" s="852">
        <f t="shared" si="28"/>
        <v>0.00489253198394145</v>
      </c>
      <c r="O237" s="852">
        <f t="shared" si="29"/>
        <v>0.00403471358170255</v>
      </c>
      <c r="P237" s="836">
        <f t="shared" si="30"/>
        <v>0.01</v>
      </c>
    </row>
    <row r="238" spans="2:16">
      <c r="B238" s="835" t="s">
        <v>2961</v>
      </c>
      <c r="C238" s="697">
        <v>1457</v>
      </c>
      <c r="D238" s="697">
        <v>189395.44</v>
      </c>
      <c r="E238" s="697">
        <v>2</v>
      </c>
      <c r="F238" s="790">
        <f t="shared" si="31"/>
        <v>0.004790604234276</v>
      </c>
      <c r="G238" s="790">
        <f t="shared" si="32"/>
        <v>0.00570670046931391</v>
      </c>
      <c r="H238" s="836">
        <f t="shared" si="33"/>
        <v>0.02</v>
      </c>
      <c r="J238" s="835" t="s">
        <v>2962</v>
      </c>
      <c r="K238" s="787">
        <v>1457</v>
      </c>
      <c r="L238" s="787">
        <v>189395.44</v>
      </c>
      <c r="M238" s="787">
        <v>2</v>
      </c>
      <c r="N238" s="852">
        <f t="shared" si="28"/>
        <v>0.004790604234276</v>
      </c>
      <c r="O238" s="852">
        <f t="shared" si="29"/>
        <v>0.00570670046931391</v>
      </c>
      <c r="P238" s="836">
        <f t="shared" si="30"/>
        <v>0.02</v>
      </c>
    </row>
    <row r="239" spans="2:16">
      <c r="B239" s="835" t="s">
        <v>2935</v>
      </c>
      <c r="C239" s="697">
        <v>1381</v>
      </c>
      <c r="D239" s="697">
        <v>170097.77</v>
      </c>
      <c r="E239" s="697">
        <v>1</v>
      </c>
      <c r="F239" s="790">
        <f t="shared" si="31"/>
        <v>0.00454071684799942</v>
      </c>
      <c r="G239" s="790">
        <f t="shared" si="32"/>
        <v>0.00512523967783094</v>
      </c>
      <c r="H239" s="836">
        <f t="shared" si="33"/>
        <v>0.01</v>
      </c>
      <c r="J239" s="835" t="s">
        <v>2936</v>
      </c>
      <c r="K239" s="787">
        <v>1381</v>
      </c>
      <c r="L239" s="787">
        <v>170097.77</v>
      </c>
      <c r="M239" s="787">
        <v>1</v>
      </c>
      <c r="N239" s="852">
        <f t="shared" si="28"/>
        <v>0.00454071684799942</v>
      </c>
      <c r="O239" s="852">
        <f t="shared" si="29"/>
        <v>0.00512523967783094</v>
      </c>
      <c r="P239" s="836">
        <f t="shared" si="30"/>
        <v>0.01</v>
      </c>
    </row>
    <row r="240" spans="2:16">
      <c r="B240" s="835" t="s">
        <v>2931</v>
      </c>
      <c r="C240" s="697">
        <v>1199</v>
      </c>
      <c r="D240" s="697">
        <v>69093.8</v>
      </c>
      <c r="E240" s="697">
        <v>2</v>
      </c>
      <c r="F240" s="790">
        <f t="shared" si="31"/>
        <v>0.00394230231770551</v>
      </c>
      <c r="G240" s="790">
        <f t="shared" si="32"/>
        <v>0.00208187494317013</v>
      </c>
      <c r="H240" s="836">
        <f t="shared" si="33"/>
        <v>0.02</v>
      </c>
      <c r="J240" s="835" t="s">
        <v>2932</v>
      </c>
      <c r="K240" s="787">
        <v>1199</v>
      </c>
      <c r="L240" s="787">
        <v>69093.8</v>
      </c>
      <c r="M240" s="787">
        <v>2</v>
      </c>
      <c r="N240" s="852">
        <f t="shared" si="28"/>
        <v>0.00394230231770551</v>
      </c>
      <c r="O240" s="852">
        <f t="shared" si="29"/>
        <v>0.00208187494317013</v>
      </c>
      <c r="P240" s="836">
        <f t="shared" si="30"/>
        <v>0.02</v>
      </c>
    </row>
    <row r="241" spans="2:16">
      <c r="B241" s="835" t="s">
        <v>2825</v>
      </c>
      <c r="C241" s="697">
        <v>1180</v>
      </c>
      <c r="D241" s="697">
        <v>117988.195</v>
      </c>
      <c r="E241" s="697">
        <v>1</v>
      </c>
      <c r="F241" s="790">
        <f t="shared" si="31"/>
        <v>0.00387983047113636</v>
      </c>
      <c r="G241" s="790">
        <f t="shared" si="32"/>
        <v>0.0035551187915612</v>
      </c>
      <c r="H241" s="836">
        <f t="shared" si="33"/>
        <v>0.01</v>
      </c>
      <c r="J241" s="835" t="s">
        <v>2826</v>
      </c>
      <c r="K241" s="787">
        <v>1180</v>
      </c>
      <c r="L241" s="787">
        <v>117988.195</v>
      </c>
      <c r="M241" s="787">
        <v>1</v>
      </c>
      <c r="N241" s="852">
        <f t="shared" si="28"/>
        <v>0.00387983047113636</v>
      </c>
      <c r="O241" s="852">
        <f t="shared" si="29"/>
        <v>0.0035551187915612</v>
      </c>
      <c r="P241" s="836">
        <f t="shared" si="30"/>
        <v>0.01</v>
      </c>
    </row>
    <row r="242" spans="2:16">
      <c r="B242" s="835" t="s">
        <v>2994</v>
      </c>
      <c r="C242" s="697">
        <v>1010</v>
      </c>
      <c r="D242" s="697">
        <v>85829.805</v>
      </c>
      <c r="E242" s="697">
        <v>1</v>
      </c>
      <c r="F242" s="790">
        <f t="shared" si="31"/>
        <v>0.00332087184393875</v>
      </c>
      <c r="G242" s="790">
        <f t="shared" si="32"/>
        <v>0.00258614984856352</v>
      </c>
      <c r="H242" s="836">
        <f t="shared" si="33"/>
        <v>0.01</v>
      </c>
      <c r="J242" s="835" t="s">
        <v>2995</v>
      </c>
      <c r="K242" s="787">
        <v>1010</v>
      </c>
      <c r="L242" s="787">
        <v>85829.805</v>
      </c>
      <c r="M242" s="787">
        <v>1</v>
      </c>
      <c r="N242" s="852">
        <f t="shared" si="28"/>
        <v>0.00332087184393875</v>
      </c>
      <c r="O242" s="852">
        <f t="shared" si="29"/>
        <v>0.00258614984856352</v>
      </c>
      <c r="P242" s="836">
        <f t="shared" si="30"/>
        <v>0.01</v>
      </c>
    </row>
    <row r="243" spans="2:16">
      <c r="B243" s="835" t="s">
        <v>3003</v>
      </c>
      <c r="C243" s="697">
        <v>956</v>
      </c>
      <c r="D243" s="697">
        <v>334552.22</v>
      </c>
      <c r="E243" s="697">
        <v>1</v>
      </c>
      <c r="F243" s="790">
        <f t="shared" si="31"/>
        <v>0.00314332028000539</v>
      </c>
      <c r="G243" s="790">
        <f t="shared" si="32"/>
        <v>0.0100804396921278</v>
      </c>
      <c r="H243" s="836">
        <f t="shared" si="33"/>
        <v>0.01</v>
      </c>
      <c r="J243" s="835" t="s">
        <v>3004</v>
      </c>
      <c r="K243" s="787">
        <v>956</v>
      </c>
      <c r="L243" s="787">
        <v>334552.22</v>
      </c>
      <c r="M243" s="787">
        <v>1</v>
      </c>
      <c r="N243" s="852">
        <f t="shared" si="28"/>
        <v>0.00314332028000539</v>
      </c>
      <c r="O243" s="852">
        <f t="shared" si="29"/>
        <v>0.0100804396921278</v>
      </c>
      <c r="P243" s="836">
        <f t="shared" si="30"/>
        <v>0.01</v>
      </c>
    </row>
    <row r="244" spans="2:16">
      <c r="B244" s="835" t="s">
        <v>2975</v>
      </c>
      <c r="C244" s="697">
        <v>949</v>
      </c>
      <c r="D244" s="697">
        <v>81272.36</v>
      </c>
      <c r="E244" s="697">
        <v>1</v>
      </c>
      <c r="F244" s="790">
        <f t="shared" si="31"/>
        <v>0.00312030433653255</v>
      </c>
      <c r="G244" s="790">
        <f t="shared" si="32"/>
        <v>0.0024488288363978</v>
      </c>
      <c r="H244" s="836">
        <f t="shared" si="33"/>
        <v>0.01</v>
      </c>
      <c r="J244" s="835" t="s">
        <v>2976</v>
      </c>
      <c r="K244" s="787">
        <v>949</v>
      </c>
      <c r="L244" s="787">
        <v>81272.36</v>
      </c>
      <c r="M244" s="787">
        <v>1</v>
      </c>
      <c r="N244" s="852">
        <f t="shared" si="28"/>
        <v>0.00312030433653255</v>
      </c>
      <c r="O244" s="852">
        <f t="shared" si="29"/>
        <v>0.0024488288363978</v>
      </c>
      <c r="P244" s="836">
        <f t="shared" si="30"/>
        <v>0.01</v>
      </c>
    </row>
    <row r="245" spans="2:16">
      <c r="B245" s="835" t="s">
        <v>2980</v>
      </c>
      <c r="C245" s="697">
        <v>814</v>
      </c>
      <c r="D245" s="697">
        <v>131452.86</v>
      </c>
      <c r="E245" s="697">
        <v>1</v>
      </c>
      <c r="F245" s="790">
        <f t="shared" si="31"/>
        <v>0.00267642542669915</v>
      </c>
      <c r="G245" s="790">
        <f t="shared" si="32"/>
        <v>0.00396082449426795</v>
      </c>
      <c r="H245" s="836">
        <f t="shared" si="33"/>
        <v>0.01</v>
      </c>
      <c r="J245" s="835" t="s">
        <v>2981</v>
      </c>
      <c r="K245" s="787">
        <v>814</v>
      </c>
      <c r="L245" s="787">
        <v>131452.86</v>
      </c>
      <c r="M245" s="787">
        <v>1</v>
      </c>
      <c r="N245" s="852">
        <f t="shared" si="28"/>
        <v>0.00267642542669915</v>
      </c>
      <c r="O245" s="852">
        <f t="shared" si="29"/>
        <v>0.00396082449426795</v>
      </c>
      <c r="P245" s="836">
        <f t="shared" si="30"/>
        <v>0.01</v>
      </c>
    </row>
    <row r="246" spans="2:16">
      <c r="B246" s="835" t="s">
        <v>2982</v>
      </c>
      <c r="C246" s="697">
        <v>768</v>
      </c>
      <c r="D246" s="697">
        <v>107512.33</v>
      </c>
      <c r="E246" s="697">
        <v>1</v>
      </c>
      <c r="F246" s="790">
        <f t="shared" si="31"/>
        <v>0.00252517779816333</v>
      </c>
      <c r="G246" s="790">
        <f t="shared" si="32"/>
        <v>0.00323946903931812</v>
      </c>
      <c r="H246" s="836">
        <f t="shared" si="33"/>
        <v>0.01</v>
      </c>
      <c r="J246" s="835" t="s">
        <v>2983</v>
      </c>
      <c r="K246" s="787">
        <v>768</v>
      </c>
      <c r="L246" s="787">
        <v>107512.33</v>
      </c>
      <c r="M246" s="787">
        <v>1</v>
      </c>
      <c r="N246" s="852">
        <f t="shared" si="28"/>
        <v>0.00252517779816333</v>
      </c>
      <c r="O246" s="852">
        <f t="shared" si="29"/>
        <v>0.00323946903931812</v>
      </c>
      <c r="P246" s="836">
        <f t="shared" si="30"/>
        <v>0.01</v>
      </c>
    </row>
    <row r="247" spans="2:16">
      <c r="B247" s="835" t="s">
        <v>2956</v>
      </c>
      <c r="C247" s="697">
        <v>702</v>
      </c>
      <c r="D247" s="697">
        <v>161452.98</v>
      </c>
      <c r="E247" s="697">
        <v>1</v>
      </c>
      <c r="F247" s="790">
        <f t="shared" si="31"/>
        <v>0.00230817033113367</v>
      </c>
      <c r="G247" s="790">
        <f t="shared" si="32"/>
        <v>0.00486476230229265</v>
      </c>
      <c r="H247" s="836">
        <f t="shared" si="33"/>
        <v>0.01</v>
      </c>
      <c r="J247" s="835" t="s">
        <v>2957</v>
      </c>
      <c r="K247" s="787">
        <v>702</v>
      </c>
      <c r="L247" s="787">
        <v>161452.98</v>
      </c>
      <c r="M247" s="787">
        <v>1</v>
      </c>
      <c r="N247" s="852">
        <f t="shared" si="28"/>
        <v>0.00230817033113367</v>
      </c>
      <c r="O247" s="852">
        <f t="shared" si="29"/>
        <v>0.00486476230229265</v>
      </c>
      <c r="P247" s="836">
        <f t="shared" si="30"/>
        <v>0.01</v>
      </c>
    </row>
    <row r="248" spans="2:16">
      <c r="B248" s="835" t="s">
        <v>2967</v>
      </c>
      <c r="C248" s="697">
        <v>667</v>
      </c>
      <c r="D248" s="697">
        <v>53353.33</v>
      </c>
      <c r="E248" s="697">
        <v>1</v>
      </c>
      <c r="F248" s="790">
        <f t="shared" si="31"/>
        <v>0.00219309061376945</v>
      </c>
      <c r="G248" s="790">
        <f t="shared" si="32"/>
        <v>0.00160759664198071</v>
      </c>
      <c r="H248" s="836">
        <f t="shared" si="33"/>
        <v>0.01</v>
      </c>
      <c r="J248" s="835" t="s">
        <v>2968</v>
      </c>
      <c r="K248" s="787">
        <v>667</v>
      </c>
      <c r="L248" s="787">
        <v>53353.33</v>
      </c>
      <c r="M248" s="787">
        <v>1</v>
      </c>
      <c r="N248" s="852">
        <f t="shared" si="28"/>
        <v>0.00219309061376945</v>
      </c>
      <c r="O248" s="852">
        <f t="shared" si="29"/>
        <v>0.00160759664198071</v>
      </c>
      <c r="P248" s="836">
        <f t="shared" si="30"/>
        <v>0.01</v>
      </c>
    </row>
    <row r="249" spans="2:16">
      <c r="B249" s="835" t="s">
        <v>2991</v>
      </c>
      <c r="C249" s="697">
        <v>600</v>
      </c>
      <c r="D249" s="697">
        <v>71994</v>
      </c>
      <c r="E249" s="697">
        <v>1</v>
      </c>
      <c r="F249" s="790">
        <f t="shared" si="31"/>
        <v>0.0019727951548151</v>
      </c>
      <c r="G249" s="790">
        <f t="shared" si="32"/>
        <v>0.00216926127465258</v>
      </c>
      <c r="H249" s="836">
        <f t="shared" si="33"/>
        <v>0.01</v>
      </c>
      <c r="J249" s="835" t="s">
        <v>2992</v>
      </c>
      <c r="K249" s="787">
        <v>600</v>
      </c>
      <c r="L249" s="787">
        <v>71994</v>
      </c>
      <c r="M249" s="787">
        <v>1</v>
      </c>
      <c r="N249" s="852">
        <f t="shared" si="28"/>
        <v>0.0019727951548151</v>
      </c>
      <c r="O249" s="852">
        <f t="shared" si="29"/>
        <v>0.00216926127465258</v>
      </c>
      <c r="P249" s="836">
        <f t="shared" si="30"/>
        <v>0.01</v>
      </c>
    </row>
    <row r="250" spans="2:16">
      <c r="B250" s="835" t="s">
        <v>3008</v>
      </c>
      <c r="C250" s="697">
        <v>589</v>
      </c>
      <c r="D250" s="697">
        <v>53004.11</v>
      </c>
      <c r="E250" s="697">
        <v>1</v>
      </c>
      <c r="F250" s="790">
        <f t="shared" si="31"/>
        <v>0.00193662724364349</v>
      </c>
      <c r="G250" s="790">
        <f t="shared" si="32"/>
        <v>0.00159707424535969</v>
      </c>
      <c r="H250" s="836">
        <f t="shared" si="33"/>
        <v>0.01</v>
      </c>
      <c r="J250" s="835" t="s">
        <v>3009</v>
      </c>
      <c r="K250" s="787">
        <v>589</v>
      </c>
      <c r="L250" s="787">
        <v>53004.11</v>
      </c>
      <c r="M250" s="787">
        <v>1</v>
      </c>
      <c r="N250" s="852">
        <f t="shared" si="28"/>
        <v>0.00193662724364349</v>
      </c>
      <c r="O250" s="852">
        <f t="shared" si="29"/>
        <v>0.00159707424535969</v>
      </c>
      <c r="P250" s="836">
        <f t="shared" si="30"/>
        <v>0.01</v>
      </c>
    </row>
    <row r="251" spans="2:16">
      <c r="B251" s="835" t="s">
        <v>3001</v>
      </c>
      <c r="C251" s="697">
        <v>561</v>
      </c>
      <c r="D251" s="697">
        <v>72369</v>
      </c>
      <c r="E251" s="697">
        <v>1</v>
      </c>
      <c r="F251" s="790">
        <f t="shared" si="31"/>
        <v>0.00184456346975212</v>
      </c>
      <c r="G251" s="790">
        <f t="shared" si="32"/>
        <v>0.00218056045205618</v>
      </c>
      <c r="H251" s="836">
        <f t="shared" si="33"/>
        <v>0.01</v>
      </c>
      <c r="J251" s="835" t="s">
        <v>3002</v>
      </c>
      <c r="K251" s="787">
        <v>561</v>
      </c>
      <c r="L251" s="787">
        <v>72369</v>
      </c>
      <c r="M251" s="787">
        <v>1</v>
      </c>
      <c r="N251" s="852">
        <f t="shared" si="28"/>
        <v>0.00184456346975212</v>
      </c>
      <c r="O251" s="852">
        <f t="shared" si="29"/>
        <v>0.00218056045205618</v>
      </c>
      <c r="P251" s="836">
        <f t="shared" si="30"/>
        <v>0.01</v>
      </c>
    </row>
    <row r="252" spans="2:16">
      <c r="B252" s="835" t="s">
        <v>2987</v>
      </c>
      <c r="C252" s="697">
        <v>532</v>
      </c>
      <c r="D252" s="697">
        <v>34968.363</v>
      </c>
      <c r="E252" s="697">
        <v>1</v>
      </c>
      <c r="F252" s="790">
        <f t="shared" si="31"/>
        <v>0.00174921170393606</v>
      </c>
      <c r="G252" s="790">
        <f t="shared" si="32"/>
        <v>0.00105363663213454</v>
      </c>
      <c r="H252" s="836">
        <f t="shared" si="33"/>
        <v>0.01</v>
      </c>
      <c r="J252" s="835" t="s">
        <v>2988</v>
      </c>
      <c r="K252" s="787">
        <v>532</v>
      </c>
      <c r="L252" s="787">
        <v>34968.363</v>
      </c>
      <c r="M252" s="787">
        <v>1</v>
      </c>
      <c r="N252" s="852">
        <f t="shared" si="28"/>
        <v>0.00174921170393606</v>
      </c>
      <c r="O252" s="852">
        <f t="shared" si="29"/>
        <v>0.00105363663213454</v>
      </c>
      <c r="P252" s="836">
        <f t="shared" si="30"/>
        <v>0.01</v>
      </c>
    </row>
    <row r="253" spans="2:16">
      <c r="B253" s="835" t="s">
        <v>3016</v>
      </c>
      <c r="C253" s="697">
        <v>490</v>
      </c>
      <c r="D253" s="697">
        <v>112695.1</v>
      </c>
      <c r="E253" s="697">
        <v>1</v>
      </c>
      <c r="F253" s="790">
        <f t="shared" si="31"/>
        <v>0.001611116043099</v>
      </c>
      <c r="G253" s="790">
        <f t="shared" si="32"/>
        <v>0.00339563180644359</v>
      </c>
      <c r="H253" s="836">
        <f t="shared" si="33"/>
        <v>0.01</v>
      </c>
      <c r="J253" s="835" t="s">
        <v>3017</v>
      </c>
      <c r="K253" s="787">
        <v>490</v>
      </c>
      <c r="L253" s="787">
        <v>112695.1</v>
      </c>
      <c r="M253" s="787">
        <v>1</v>
      </c>
      <c r="N253" s="852">
        <f t="shared" si="28"/>
        <v>0.001611116043099</v>
      </c>
      <c r="O253" s="852">
        <f t="shared" si="29"/>
        <v>0.00339563180644359</v>
      </c>
      <c r="P253" s="836">
        <f t="shared" si="30"/>
        <v>0.01</v>
      </c>
    </row>
    <row r="254" spans="2:16">
      <c r="B254" s="835" t="s">
        <v>3012</v>
      </c>
      <c r="C254" s="697">
        <v>365</v>
      </c>
      <c r="D254" s="697">
        <v>54746.35</v>
      </c>
      <c r="E254" s="697">
        <v>1</v>
      </c>
      <c r="F254" s="790">
        <f t="shared" si="31"/>
        <v>0.00120011705251252</v>
      </c>
      <c r="G254" s="790">
        <f t="shared" si="32"/>
        <v>0.00164956992226541</v>
      </c>
      <c r="H254" s="836">
        <f t="shared" si="33"/>
        <v>0.01</v>
      </c>
      <c r="J254" s="835" t="s">
        <v>3013</v>
      </c>
      <c r="K254" s="787">
        <v>365</v>
      </c>
      <c r="L254" s="787">
        <v>54746.35</v>
      </c>
      <c r="M254" s="787">
        <v>1</v>
      </c>
      <c r="N254" s="852">
        <f t="shared" si="28"/>
        <v>0.00120011705251252</v>
      </c>
      <c r="O254" s="852">
        <f t="shared" si="29"/>
        <v>0.00164956992226541</v>
      </c>
      <c r="P254" s="836">
        <f t="shared" si="30"/>
        <v>0.01</v>
      </c>
    </row>
    <row r="255" spans="2:16">
      <c r="B255" s="835" t="s">
        <v>3010</v>
      </c>
      <c r="C255" s="697">
        <v>309</v>
      </c>
      <c r="D255" s="697">
        <v>15357.3</v>
      </c>
      <c r="E255" s="697">
        <v>1</v>
      </c>
      <c r="F255" s="790">
        <f t="shared" si="31"/>
        <v>0.00101598950472978</v>
      </c>
      <c r="G255" s="790">
        <f t="shared" si="32"/>
        <v>0.000462732952374115</v>
      </c>
      <c r="H255" s="836">
        <f t="shared" si="33"/>
        <v>0.01</v>
      </c>
      <c r="J255" s="835" t="s">
        <v>3011</v>
      </c>
      <c r="K255" s="787">
        <v>309</v>
      </c>
      <c r="L255" s="787">
        <v>15357.3</v>
      </c>
      <c r="M255" s="787">
        <v>1</v>
      </c>
      <c r="N255" s="852">
        <f t="shared" si="28"/>
        <v>0.00101598950472978</v>
      </c>
      <c r="O255" s="852">
        <f t="shared" si="29"/>
        <v>0.000462732952374115</v>
      </c>
      <c r="P255" s="836">
        <f t="shared" si="30"/>
        <v>0.01</v>
      </c>
    </row>
    <row r="256" spans="2:16">
      <c r="B256" s="835" t="s">
        <v>2996</v>
      </c>
      <c r="C256" s="697">
        <v>231</v>
      </c>
      <c r="D256" s="697">
        <v>43887.69</v>
      </c>
      <c r="E256" s="697">
        <v>1</v>
      </c>
      <c r="F256" s="790">
        <f t="shared" si="31"/>
        <v>0.000759526134603813</v>
      </c>
      <c r="G256" s="790">
        <f t="shared" si="32"/>
        <v>0.00132238612038444</v>
      </c>
      <c r="H256" s="836">
        <f t="shared" si="33"/>
        <v>0.01</v>
      </c>
      <c r="J256" s="835" t="s">
        <v>2997</v>
      </c>
      <c r="K256" s="787">
        <v>231</v>
      </c>
      <c r="L256" s="787">
        <v>43887.69</v>
      </c>
      <c r="M256" s="787">
        <v>1</v>
      </c>
      <c r="N256" s="852">
        <f t="shared" si="28"/>
        <v>0.000759526134603813</v>
      </c>
      <c r="O256" s="852">
        <f t="shared" si="29"/>
        <v>0.00132238612038444</v>
      </c>
      <c r="P256" s="836">
        <f t="shared" si="30"/>
        <v>0.01</v>
      </c>
    </row>
    <row r="257" spans="1:16">
      <c r="B257" s="835" t="s">
        <v>3014</v>
      </c>
      <c r="C257" s="697">
        <v>216</v>
      </c>
      <c r="D257" s="697">
        <v>12627.359</v>
      </c>
      <c r="E257" s="697">
        <v>1</v>
      </c>
      <c r="F257" s="790">
        <f t="shared" si="31"/>
        <v>0.000710206255733436</v>
      </c>
      <c r="G257" s="790">
        <f t="shared" si="32"/>
        <v>0.000380476718613158</v>
      </c>
      <c r="H257" s="836">
        <f t="shared" si="33"/>
        <v>0.01</v>
      </c>
      <c r="J257" s="835" t="s">
        <v>3015</v>
      </c>
      <c r="K257" s="787">
        <v>216</v>
      </c>
      <c r="L257" s="787">
        <v>12627.359</v>
      </c>
      <c r="M257" s="787">
        <v>1</v>
      </c>
      <c r="N257" s="852">
        <f t="shared" si="28"/>
        <v>0.000710206255733436</v>
      </c>
      <c r="O257" s="852">
        <f t="shared" si="29"/>
        <v>0.000380476718613158</v>
      </c>
      <c r="P257" s="836">
        <f t="shared" si="30"/>
        <v>0.01</v>
      </c>
    </row>
    <row r="258" spans="1:16">
      <c r="B258" s="835" t="s">
        <v>3102</v>
      </c>
      <c r="C258" s="697">
        <v>304137</v>
      </c>
      <c r="D258" s="697">
        <v>33188256.685</v>
      </c>
      <c r="E258" s="697">
        <v>100</v>
      </c>
      <c r="F258" s="790">
        <f t="shared" si="31"/>
        <v>1</v>
      </c>
      <c r="G258" s="790">
        <f t="shared" si="32"/>
        <v>1</v>
      </c>
      <c r="H258" s="836">
        <f t="shared" si="33"/>
        <v>1</v>
      </c>
      <c r="J258" s="835" t="s">
        <v>3102</v>
      </c>
      <c r="K258" s="787">
        <v>304137</v>
      </c>
      <c r="L258" s="787">
        <v>33188256.685</v>
      </c>
      <c r="M258" s="787">
        <v>100</v>
      </c>
      <c r="N258" s="852">
        <f t="shared" si="28"/>
        <v>1</v>
      </c>
      <c r="O258" s="852">
        <f t="shared" si="29"/>
        <v>1</v>
      </c>
      <c r="P258" s="836">
        <f t="shared" si="30"/>
        <v>1</v>
      </c>
    </row>
    <row r="259" spans="1:16">
      <c r="B259" s="837" t="s">
        <v>3115</v>
      </c>
      <c r="C259" s="838"/>
      <c r="D259" s="839"/>
      <c r="E259" s="840"/>
      <c r="F259" s="840"/>
      <c r="G259" s="840"/>
      <c r="H259" s="841"/>
      <c r="J259" s="837" t="s">
        <v>3115</v>
      </c>
      <c r="K259" s="838"/>
      <c r="L259" s="839"/>
      <c r="M259" s="840"/>
      <c r="N259" s="840"/>
      <c r="O259" s="840"/>
      <c r="P259" s="841"/>
    </row>
    <row r="260" spans="1:16">
      <c r="B260" s="844"/>
      <c r="C260" s="838"/>
      <c r="D260" s="839"/>
      <c r="E260" s="840"/>
      <c r="F260" s="840"/>
      <c r="G260" s="840"/>
      <c r="H260" s="841"/>
      <c r="J260" s="844"/>
      <c r="K260" s="838"/>
      <c r="L260" s="839"/>
      <c r="M260" s="840"/>
      <c r="N260" s="840"/>
      <c r="O260" s="840"/>
      <c r="P260" s="841"/>
    </row>
    <row r="261" spans="1:16">
      <c r="B261" s="844"/>
      <c r="C261" s="838"/>
      <c r="D261" s="839"/>
      <c r="E261" s="840"/>
      <c r="F261" s="840"/>
      <c r="G261" s="840"/>
      <c r="H261" s="841"/>
      <c r="J261" s="844"/>
      <c r="K261" s="838"/>
      <c r="L261" s="839"/>
      <c r="M261" s="840"/>
      <c r="N261" s="840"/>
      <c r="O261" s="840"/>
      <c r="P261" s="841"/>
    </row>
    <row r="262" spans="1:16">
      <c r="B262" s="844"/>
      <c r="C262" s="838"/>
      <c r="D262" s="839"/>
      <c r="E262" s="840"/>
      <c r="F262" s="840"/>
      <c r="G262" s="840"/>
      <c r="H262" s="841"/>
      <c r="J262" s="844"/>
      <c r="K262" s="838"/>
      <c r="L262" s="839"/>
      <c r="M262" s="840"/>
      <c r="N262" s="840"/>
      <c r="O262" s="840"/>
      <c r="P262" s="841"/>
    </row>
    <row r="263" spans="1:16">
      <c r="B263" s="844"/>
      <c r="C263" s="838"/>
      <c r="D263" s="839"/>
      <c r="E263" s="840"/>
      <c r="F263" s="840"/>
      <c r="G263" s="840"/>
      <c r="H263" s="841"/>
      <c r="J263" s="844"/>
      <c r="K263" s="838"/>
      <c r="L263" s="839"/>
      <c r="M263" s="840"/>
      <c r="N263" s="840"/>
      <c r="O263" s="840"/>
      <c r="P263" s="841"/>
    </row>
    <row r="264" spans="1:16">
      <c r="B264" s="847"/>
      <c r="C264" s="848"/>
      <c r="D264" s="849"/>
      <c r="E264" s="850"/>
      <c r="F264" s="850"/>
      <c r="G264" s="850"/>
      <c r="H264" s="851"/>
      <c r="J264" s="847"/>
      <c r="K264" s="848"/>
      <c r="L264" s="849"/>
      <c r="M264" s="850"/>
      <c r="N264" s="850"/>
      <c r="O264" s="850"/>
      <c r="P264" s="851"/>
    </row>
    <row r="266" ht="17.25" spans="1:16">
      <c r="A266" s="829" t="s">
        <v>3116</v>
      </c>
      <c r="B266" s="830" t="s">
        <v>2795</v>
      </c>
      <c r="C266" s="831" t="s">
        <v>3098</v>
      </c>
      <c r="D266" s="831" t="s">
        <v>3099</v>
      </c>
      <c r="E266" s="831" t="s">
        <v>3100</v>
      </c>
      <c r="F266" s="833" t="s">
        <v>3022</v>
      </c>
      <c r="G266" s="833" t="s">
        <v>3023</v>
      </c>
      <c r="H266" s="834" t="s">
        <v>3101</v>
      </c>
    </row>
    <row r="267" spans="1:16">
      <c r="B267" s="835" t="s">
        <v>64</v>
      </c>
      <c r="C267" s="697">
        <v>242236</v>
      </c>
      <c r="D267" s="697">
        <v>23298163.116</v>
      </c>
      <c r="E267" s="697">
        <v>61</v>
      </c>
      <c r="F267" s="790">
        <f t="shared" ref="F267:F311" si="34">C267/$C$150</f>
        <v>0.796470011869651</v>
      </c>
      <c r="G267" s="790">
        <f t="shared" ref="G267:G311" si="35">D267/$D$150</f>
        <v>0.702000208601798</v>
      </c>
      <c r="H267" s="836">
        <f t="shared" ref="H267:H311" si="36">E267/$E$150</f>
        <v>0.61</v>
      </c>
    </row>
    <row r="268" spans="1:16">
      <c r="B268" s="835" t="s">
        <v>2877</v>
      </c>
      <c r="C268" s="697">
        <v>37135</v>
      </c>
      <c r="D268" s="697">
        <v>6798170.955</v>
      </c>
      <c r="E268" s="697">
        <v>29</v>
      </c>
      <c r="F268" s="790">
        <f t="shared" si="34"/>
        <v>0.122099580123431</v>
      </c>
      <c r="G268" s="790">
        <f t="shared" si="35"/>
        <v>0.20483663904144</v>
      </c>
      <c r="H268" s="836">
        <f t="shared" si="36"/>
        <v>0.29</v>
      </c>
    </row>
    <row r="269" spans="1:16">
      <c r="B269" s="835" t="s">
        <v>2835</v>
      </c>
      <c r="C269" s="697">
        <v>18733</v>
      </c>
      <c r="D269" s="697">
        <v>1954356.156</v>
      </c>
      <c r="E269" s="697">
        <v>6</v>
      </c>
      <c r="F269" s="790">
        <f t="shared" si="34"/>
        <v>0.0615939527252521</v>
      </c>
      <c r="G269" s="790">
        <f t="shared" si="35"/>
        <v>0.0588869784438935</v>
      </c>
      <c r="H269" s="836">
        <f t="shared" si="36"/>
        <v>0.06</v>
      </c>
    </row>
    <row r="270" spans="1:16">
      <c r="B270" s="835" t="s">
        <v>2907</v>
      </c>
      <c r="C270" s="697">
        <v>5635</v>
      </c>
      <c r="D270" s="697">
        <v>1103732.478</v>
      </c>
      <c r="E270" s="697">
        <v>3</v>
      </c>
      <c r="F270" s="790">
        <f t="shared" si="34"/>
        <v>0.0185278344956385</v>
      </c>
      <c r="G270" s="790">
        <f t="shared" si="35"/>
        <v>0.0332567175334295</v>
      </c>
      <c r="H270" s="836">
        <f t="shared" si="36"/>
        <v>0.03</v>
      </c>
    </row>
    <row r="271" spans="1:16">
      <c r="B271" s="835" t="s">
        <v>2972</v>
      </c>
      <c r="C271" s="697">
        <v>398</v>
      </c>
      <c r="D271" s="697">
        <v>33833.98</v>
      </c>
      <c r="E271" s="697">
        <v>1</v>
      </c>
      <c r="F271" s="790">
        <f t="shared" si="34"/>
        <v>0.00130862078602735</v>
      </c>
      <c r="G271" s="790">
        <f t="shared" si="35"/>
        <v>0.00101945637943953</v>
      </c>
      <c r="H271" s="836">
        <f t="shared" si="36"/>
        <v>0.01</v>
      </c>
    </row>
    <row r="272" spans="1:16">
      <c r="B272" s="835" t="s">
        <v>3102</v>
      </c>
      <c r="C272" s="697">
        <v>304137</v>
      </c>
      <c r="D272" s="697">
        <v>33188256.685</v>
      </c>
      <c r="E272" s="697">
        <v>100</v>
      </c>
      <c r="F272" s="790">
        <f t="shared" si="34"/>
        <v>1</v>
      </c>
      <c r="G272" s="790">
        <f t="shared" si="35"/>
        <v>1</v>
      </c>
      <c r="H272" s="836">
        <f t="shared" si="36"/>
        <v>1</v>
      </c>
    </row>
    <row r="273" spans="1:8">
      <c r="B273" s="853" t="s">
        <v>3117</v>
      </c>
      <c r="C273" s="838"/>
      <c r="D273" s="839"/>
      <c r="E273" s="840"/>
      <c r="F273" s="840"/>
      <c r="G273" s="840"/>
      <c r="H273" s="841"/>
    </row>
    <row r="274" spans="1:8">
      <c r="B274" s="844"/>
      <c r="C274" s="838"/>
      <c r="D274" s="839"/>
      <c r="E274" s="840"/>
      <c r="F274" s="840"/>
      <c r="G274" s="840"/>
      <c r="H274" s="841"/>
    </row>
    <row r="275" spans="1:8">
      <c r="B275" s="844"/>
      <c r="C275" s="838"/>
      <c r="D275" s="839"/>
      <c r="E275" s="840"/>
      <c r="F275" s="840"/>
      <c r="G275" s="840"/>
      <c r="H275" s="841"/>
    </row>
    <row r="276" spans="1:8">
      <c r="B276" s="844"/>
      <c r="C276" s="838"/>
      <c r="D276" s="839"/>
      <c r="E276" s="840"/>
      <c r="F276" s="840"/>
      <c r="G276" s="840"/>
      <c r="H276" s="841"/>
    </row>
    <row r="277" spans="1:8">
      <c r="B277" s="844"/>
      <c r="C277" s="838"/>
      <c r="D277" s="839"/>
      <c r="E277" s="840"/>
      <c r="F277" s="840"/>
      <c r="G277" s="840"/>
      <c r="H277" s="841"/>
    </row>
    <row r="278" spans="1:8">
      <c r="B278" s="847"/>
      <c r="C278" s="848"/>
      <c r="D278" s="849"/>
      <c r="E278" s="850"/>
      <c r="F278" s="850"/>
      <c r="G278" s="850"/>
      <c r="H278" s="851"/>
    </row>
    <row r="280" ht="17.25" spans="1:8">
      <c r="A280" s="829" t="s">
        <v>3118</v>
      </c>
      <c r="B280" s="830" t="s">
        <v>2796</v>
      </c>
      <c r="C280" s="831" t="s">
        <v>3098</v>
      </c>
      <c r="D280" s="831" t="s">
        <v>3099</v>
      </c>
      <c r="E280" s="831" t="s">
        <v>3100</v>
      </c>
      <c r="F280" s="833" t="s">
        <v>3022</v>
      </c>
      <c r="G280" s="833" t="s">
        <v>3023</v>
      </c>
      <c r="H280" s="834" t="s">
        <v>3101</v>
      </c>
    </row>
    <row r="281" spans="1:8">
      <c r="B281" s="835" t="s">
        <v>2812</v>
      </c>
      <c r="C281" s="697">
        <v>231782</v>
      </c>
      <c r="D281" s="697">
        <v>21726611.124</v>
      </c>
      <c r="E281" s="697">
        <v>62</v>
      </c>
      <c r="F281" s="790">
        <f t="shared" ref="F281:F287" si="37">C281/$C$150</f>
        <v>0.762097344288922</v>
      </c>
      <c r="G281" s="790">
        <f t="shared" ref="G281:G287" si="38">D281/$D$150</f>
        <v>0.654647555917564</v>
      </c>
      <c r="H281" s="836">
        <f t="shared" ref="H281:H287" si="39">E281/$E$150</f>
        <v>0.62</v>
      </c>
    </row>
    <row r="282" spans="1:8">
      <c r="B282" s="835" t="s">
        <v>2836</v>
      </c>
      <c r="C282" s="697">
        <v>43213</v>
      </c>
      <c r="D282" s="697">
        <v>6026954.816</v>
      </c>
      <c r="E282" s="697">
        <v>27</v>
      </c>
      <c r="F282" s="790">
        <f t="shared" si="37"/>
        <v>0.142083995041708</v>
      </c>
      <c r="G282" s="790">
        <f t="shared" si="38"/>
        <v>0.181599017785227</v>
      </c>
      <c r="H282" s="836">
        <f t="shared" si="39"/>
        <v>0.27</v>
      </c>
    </row>
    <row r="283" spans="1:8">
      <c r="B283" s="835" t="s">
        <v>2855</v>
      </c>
      <c r="C283" s="697">
        <v>18561</v>
      </c>
      <c r="D283" s="697">
        <v>3665681.53</v>
      </c>
      <c r="E283" s="697">
        <v>3</v>
      </c>
      <c r="F283" s="790">
        <f t="shared" si="37"/>
        <v>0.0610284181142051</v>
      </c>
      <c r="G283" s="790">
        <f t="shared" si="38"/>
        <v>0.110451162433511</v>
      </c>
      <c r="H283" s="836">
        <f t="shared" si="39"/>
        <v>0.03</v>
      </c>
    </row>
    <row r="284" spans="1:8">
      <c r="B284" s="835" t="s">
        <v>2904</v>
      </c>
      <c r="C284" s="697">
        <v>6577</v>
      </c>
      <c r="D284" s="697">
        <v>725593.215</v>
      </c>
      <c r="E284" s="697">
        <v>6</v>
      </c>
      <c r="F284" s="790">
        <f t="shared" si="37"/>
        <v>0.0216251228886982</v>
      </c>
      <c r="G284" s="790">
        <f t="shared" si="38"/>
        <v>0.0218629505576876</v>
      </c>
      <c r="H284" s="836">
        <f t="shared" si="39"/>
        <v>0.06</v>
      </c>
    </row>
    <row r="285" spans="1:8">
      <c r="B285" s="835" t="s">
        <v>2893</v>
      </c>
      <c r="C285" s="697">
        <v>2970</v>
      </c>
      <c r="D285" s="697">
        <v>858330</v>
      </c>
      <c r="E285" s="697">
        <v>1</v>
      </c>
      <c r="F285" s="790">
        <f t="shared" si="37"/>
        <v>0.00976533601633474</v>
      </c>
      <c r="G285" s="790">
        <f t="shared" si="38"/>
        <v>0.02586246117555</v>
      </c>
      <c r="H285" s="836">
        <f t="shared" si="39"/>
        <v>0.01</v>
      </c>
    </row>
    <row r="286" spans="1:8">
      <c r="B286" s="835" t="s">
        <v>2923</v>
      </c>
      <c r="C286" s="697">
        <v>1034</v>
      </c>
      <c r="D286" s="697">
        <v>185086</v>
      </c>
      <c r="E286" s="697">
        <v>1</v>
      </c>
      <c r="F286" s="790">
        <f t="shared" si="37"/>
        <v>0.00339978365013136</v>
      </c>
      <c r="G286" s="790">
        <f t="shared" si="38"/>
        <v>0.00557685213046013</v>
      </c>
      <c r="H286" s="836">
        <f t="shared" si="39"/>
        <v>0.01</v>
      </c>
    </row>
    <row r="287" spans="1:8">
      <c r="B287" s="835" t="s">
        <v>3102</v>
      </c>
      <c r="C287" s="697">
        <v>304137</v>
      </c>
      <c r="D287" s="697">
        <v>33188256.685</v>
      </c>
      <c r="E287" s="697">
        <v>100</v>
      </c>
      <c r="F287" s="790">
        <f t="shared" si="37"/>
        <v>1</v>
      </c>
      <c r="G287" s="790">
        <f t="shared" si="38"/>
        <v>1</v>
      </c>
      <c r="H287" s="836">
        <f t="shared" si="39"/>
        <v>1</v>
      </c>
    </row>
    <row r="288" spans="1:8">
      <c r="B288" s="853" t="s">
        <v>3119</v>
      </c>
      <c r="C288" s="838"/>
      <c r="D288" s="839"/>
      <c r="E288" s="840"/>
      <c r="F288" s="840"/>
      <c r="G288" s="840"/>
      <c r="H288" s="841"/>
    </row>
    <row r="289" spans="1:8">
      <c r="B289" s="844"/>
      <c r="C289" s="838"/>
      <c r="D289" s="839"/>
      <c r="E289" s="840"/>
      <c r="F289" s="840"/>
      <c r="G289" s="840"/>
      <c r="H289" s="841"/>
    </row>
    <row r="290" spans="1:8">
      <c r="B290" s="844"/>
      <c r="C290" s="838"/>
      <c r="D290" s="839"/>
      <c r="E290" s="840"/>
      <c r="F290" s="840"/>
      <c r="G290" s="840"/>
      <c r="H290" s="841"/>
    </row>
    <row r="291" spans="1:8">
      <c r="B291" s="844"/>
      <c r="C291" s="838"/>
      <c r="D291" s="839"/>
      <c r="E291" s="840"/>
      <c r="F291" s="840"/>
      <c r="G291" s="840"/>
      <c r="H291" s="841"/>
    </row>
    <row r="292" spans="1:8">
      <c r="B292" s="844"/>
      <c r="C292" s="838"/>
      <c r="D292" s="839"/>
      <c r="E292" s="840"/>
      <c r="F292" s="840"/>
      <c r="G292" s="840"/>
      <c r="H292" s="841"/>
    </row>
    <row r="293" spans="1:8">
      <c r="B293" s="844"/>
      <c r="C293" s="838"/>
      <c r="D293" s="839"/>
      <c r="E293" s="840"/>
      <c r="F293" s="840"/>
      <c r="G293" s="840"/>
      <c r="H293" s="841"/>
    </row>
    <row r="294" spans="1:8">
      <c r="B294" s="847"/>
      <c r="C294" s="848"/>
      <c r="D294" s="849"/>
      <c r="E294" s="850"/>
      <c r="F294" s="850"/>
      <c r="G294" s="850"/>
      <c r="H294" s="851"/>
    </row>
    <row r="296" ht="17.25" spans="1:8">
      <c r="A296" s="829" t="s">
        <v>3120</v>
      </c>
      <c r="B296" s="830" t="s">
        <v>2797</v>
      </c>
      <c r="C296" s="831" t="s">
        <v>3098</v>
      </c>
      <c r="D296" s="831" t="s">
        <v>3099</v>
      </c>
      <c r="E296" s="831" t="s">
        <v>3100</v>
      </c>
      <c r="F296" s="833" t="s">
        <v>3022</v>
      </c>
      <c r="G296" s="833" t="s">
        <v>3023</v>
      </c>
      <c r="H296" s="834" t="s">
        <v>3101</v>
      </c>
    </row>
    <row r="297" spans="1:8">
      <c r="B297" s="835" t="s">
        <v>2843</v>
      </c>
      <c r="C297" s="697">
        <v>61619</v>
      </c>
      <c r="D297" s="697">
        <v>8255424.702</v>
      </c>
      <c r="E297" s="697">
        <v>10</v>
      </c>
      <c r="F297" s="790">
        <f t="shared" ref="F297:F303" si="40">C297/$C$150</f>
        <v>0.202602774407586</v>
      </c>
      <c r="G297" s="790">
        <f t="shared" ref="G297:G303" si="41">D297/$D$150</f>
        <v>0.248745355333207</v>
      </c>
      <c r="H297" s="836">
        <f t="shared" ref="H297:H303" si="42">E297/$E$150</f>
        <v>0.1</v>
      </c>
    </row>
    <row r="298" spans="1:8">
      <c r="B298" s="835" t="s">
        <v>2813</v>
      </c>
      <c r="C298" s="697">
        <v>54981</v>
      </c>
      <c r="D298" s="697">
        <v>4228059.23</v>
      </c>
      <c r="E298" s="697">
        <v>5</v>
      </c>
      <c r="F298" s="790">
        <f t="shared" si="40"/>
        <v>0.180777084011482</v>
      </c>
      <c r="G298" s="790">
        <f t="shared" si="41"/>
        <v>0.127396243500519</v>
      </c>
      <c r="H298" s="836">
        <f t="shared" si="42"/>
        <v>0.05</v>
      </c>
    </row>
    <row r="299" spans="1:8">
      <c r="B299" s="835" t="s">
        <v>2849</v>
      </c>
      <c r="C299" s="697">
        <v>47837</v>
      </c>
      <c r="D299" s="697">
        <v>5695409.872</v>
      </c>
      <c r="E299" s="697">
        <v>12</v>
      </c>
      <c r="F299" s="790">
        <f t="shared" si="40"/>
        <v>0.157287669701483</v>
      </c>
      <c r="G299" s="790">
        <f t="shared" si="41"/>
        <v>0.171609190746501</v>
      </c>
      <c r="H299" s="836">
        <f t="shared" si="42"/>
        <v>0.12</v>
      </c>
    </row>
    <row r="300" spans="1:8">
      <c r="B300" s="835" t="s">
        <v>2837</v>
      </c>
      <c r="C300" s="697">
        <v>28428</v>
      </c>
      <c r="D300" s="697">
        <v>3337768.51</v>
      </c>
      <c r="E300" s="697">
        <v>7</v>
      </c>
      <c r="F300" s="790">
        <f t="shared" si="40"/>
        <v>0.0934710344351394</v>
      </c>
      <c r="G300" s="790">
        <f t="shared" si="41"/>
        <v>0.100570769404365</v>
      </c>
      <c r="H300" s="836">
        <f t="shared" si="42"/>
        <v>0.07</v>
      </c>
    </row>
    <row r="301" spans="1:8">
      <c r="B301" s="854" t="s">
        <v>2861</v>
      </c>
      <c r="C301" s="855">
        <v>27898</v>
      </c>
      <c r="D301" s="855">
        <v>1416159.235</v>
      </c>
      <c r="E301" s="855">
        <v>16</v>
      </c>
      <c r="F301" s="790">
        <f t="shared" si="40"/>
        <v>0.0917283987150528</v>
      </c>
      <c r="G301" s="790">
        <f t="shared" si="41"/>
        <v>0.0426704918080273</v>
      </c>
      <c r="H301" s="836">
        <f t="shared" si="42"/>
        <v>0.16</v>
      </c>
    </row>
    <row r="302" spans="1:8">
      <c r="B302" s="835" t="s">
        <v>2827</v>
      </c>
      <c r="C302" s="697">
        <v>27687</v>
      </c>
      <c r="D302" s="697">
        <v>2240002.75</v>
      </c>
      <c r="E302" s="697">
        <v>3</v>
      </c>
      <c r="F302" s="790">
        <f t="shared" si="40"/>
        <v>0.0910346324189428</v>
      </c>
      <c r="G302" s="790">
        <f t="shared" si="41"/>
        <v>0.0674938358847998</v>
      </c>
      <c r="H302" s="836">
        <f t="shared" si="42"/>
        <v>0.03</v>
      </c>
    </row>
    <row r="303" spans="1:8">
      <c r="B303" s="835" t="s">
        <v>2878</v>
      </c>
      <c r="C303" s="697">
        <v>22816</v>
      </c>
      <c r="D303" s="697">
        <v>3233884.557</v>
      </c>
      <c r="E303" s="697">
        <v>14</v>
      </c>
      <c r="F303" s="790">
        <f t="shared" si="40"/>
        <v>0.0750188237537689</v>
      </c>
      <c r="G303" s="790">
        <f t="shared" si="41"/>
        <v>0.0974406274994736</v>
      </c>
      <c r="H303" s="836">
        <f t="shared" si="42"/>
        <v>0.14</v>
      </c>
    </row>
    <row r="304" spans="1:8">
      <c r="B304" s="854" t="s">
        <v>2894</v>
      </c>
      <c r="C304" s="855">
        <v>13516</v>
      </c>
      <c r="D304" s="855">
        <v>2085754.98</v>
      </c>
      <c r="E304" s="855">
        <v>15</v>
      </c>
      <c r="F304" s="790">
        <f t="shared" ref="F304:F312" si="43">C304/$C$150</f>
        <v>0.0444404988541348</v>
      </c>
      <c r="G304" s="790">
        <f t="shared" ref="G304:G312" si="44">D304/$D$150</f>
        <v>0.0628461747718943</v>
      </c>
      <c r="H304" s="836">
        <f t="shared" ref="H304:H312" si="45">E304/$E$150</f>
        <v>0.15</v>
      </c>
    </row>
    <row r="305" spans="2:8">
      <c r="B305" s="835" t="s">
        <v>2947</v>
      </c>
      <c r="C305" s="697">
        <v>4528</v>
      </c>
      <c r="D305" s="697">
        <v>869315.62</v>
      </c>
      <c r="E305" s="697">
        <v>3</v>
      </c>
      <c r="F305" s="790">
        <f t="shared" si="43"/>
        <v>0.0148880274350046</v>
      </c>
      <c r="G305" s="790">
        <f t="shared" si="44"/>
        <v>0.0261934704269327</v>
      </c>
      <c r="H305" s="836">
        <f t="shared" si="45"/>
        <v>0.03</v>
      </c>
    </row>
    <row r="306" spans="2:8">
      <c r="B306" s="835" t="s">
        <v>2938</v>
      </c>
      <c r="C306" s="697">
        <v>4385</v>
      </c>
      <c r="D306" s="697">
        <v>544657.546</v>
      </c>
      <c r="E306" s="697">
        <v>5</v>
      </c>
      <c r="F306" s="790">
        <f t="shared" si="43"/>
        <v>0.0144178445897737</v>
      </c>
      <c r="G306" s="790">
        <f t="shared" si="44"/>
        <v>0.0164111526305679</v>
      </c>
      <c r="H306" s="836">
        <f t="shared" si="45"/>
        <v>0.05</v>
      </c>
    </row>
    <row r="307" spans="2:8">
      <c r="B307" s="835" t="s">
        <v>2920</v>
      </c>
      <c r="C307" s="697">
        <v>3577</v>
      </c>
      <c r="D307" s="697">
        <v>467874.22</v>
      </c>
      <c r="E307" s="697">
        <v>4</v>
      </c>
      <c r="F307" s="790">
        <f t="shared" si="43"/>
        <v>0.0117611471146227</v>
      </c>
      <c r="G307" s="790">
        <f t="shared" si="44"/>
        <v>0.0140975835049349</v>
      </c>
      <c r="H307" s="836">
        <f t="shared" si="45"/>
        <v>0.04</v>
      </c>
    </row>
    <row r="308" spans="2:8">
      <c r="B308" s="835" t="s">
        <v>2905</v>
      </c>
      <c r="C308" s="697">
        <v>3245</v>
      </c>
      <c r="D308" s="697">
        <v>389367.53</v>
      </c>
      <c r="E308" s="697">
        <v>1</v>
      </c>
      <c r="F308" s="790">
        <f t="shared" si="43"/>
        <v>0.010669533795625</v>
      </c>
      <c r="G308" s="790">
        <f t="shared" si="44"/>
        <v>0.0117320874577899</v>
      </c>
      <c r="H308" s="836">
        <f t="shared" si="45"/>
        <v>0.01</v>
      </c>
    </row>
    <row r="309" spans="2:8">
      <c r="B309" s="835" t="s">
        <v>2888</v>
      </c>
      <c r="C309" s="697">
        <v>1950</v>
      </c>
      <c r="D309" s="697">
        <v>186722.783</v>
      </c>
      <c r="E309" s="697">
        <v>2</v>
      </c>
      <c r="F309" s="790">
        <f t="shared" si="43"/>
        <v>0.00641158425314907</v>
      </c>
      <c r="G309" s="790">
        <f t="shared" si="44"/>
        <v>0.00562617026776199</v>
      </c>
      <c r="H309" s="836">
        <f t="shared" si="45"/>
        <v>0.02</v>
      </c>
    </row>
    <row r="310" spans="2:8">
      <c r="B310" s="835" t="s">
        <v>2977</v>
      </c>
      <c r="C310" s="697">
        <v>949</v>
      </c>
      <c r="D310" s="697">
        <v>81272.36</v>
      </c>
      <c r="E310" s="697">
        <v>1</v>
      </c>
      <c r="F310" s="790">
        <f t="shared" si="43"/>
        <v>0.00312030433653255</v>
      </c>
      <c r="G310" s="790">
        <f t="shared" si="44"/>
        <v>0.0024488288363978</v>
      </c>
      <c r="H310" s="836">
        <f t="shared" si="45"/>
        <v>0.01</v>
      </c>
    </row>
    <row r="311" spans="2:8">
      <c r="B311" s="835" t="s">
        <v>2998</v>
      </c>
      <c r="C311" s="697">
        <v>721</v>
      </c>
      <c r="D311" s="697">
        <v>156582.79</v>
      </c>
      <c r="E311" s="697">
        <v>2</v>
      </c>
      <c r="F311" s="790">
        <f t="shared" si="43"/>
        <v>0.00237064217770281</v>
      </c>
      <c r="G311" s="790">
        <f t="shared" si="44"/>
        <v>0.00471801792682802</v>
      </c>
      <c r="H311" s="836">
        <f t="shared" si="45"/>
        <v>0.02</v>
      </c>
    </row>
    <row r="312" spans="2:8">
      <c r="B312" s="835" t="s">
        <v>3102</v>
      </c>
      <c r="C312" s="697">
        <v>304137</v>
      </c>
      <c r="D312" s="697">
        <v>33188256.685</v>
      </c>
      <c r="E312" s="697">
        <v>100</v>
      </c>
      <c r="F312" s="790">
        <f t="shared" si="43"/>
        <v>1</v>
      </c>
      <c r="G312" s="790">
        <f t="shared" si="44"/>
        <v>1</v>
      </c>
      <c r="H312" s="836">
        <f t="shared" si="45"/>
        <v>1</v>
      </c>
    </row>
    <row r="313" spans="2:8">
      <c r="B313" s="853" t="s">
        <v>3121</v>
      </c>
      <c r="C313" s="838"/>
      <c r="D313" s="839"/>
      <c r="E313" s="840"/>
      <c r="F313" s="840"/>
      <c r="G313" s="840"/>
      <c r="H313" s="841"/>
    </row>
    <row r="314" spans="2:8">
      <c r="B314" s="844"/>
      <c r="C314" s="838"/>
      <c r="D314" s="839"/>
      <c r="E314" s="840"/>
      <c r="F314" s="840"/>
      <c r="G314" s="840"/>
      <c r="H314" s="841"/>
    </row>
    <row r="315" spans="2:8">
      <c r="B315" s="844"/>
      <c r="C315" s="838"/>
      <c r="D315" s="839"/>
      <c r="E315" s="840"/>
      <c r="F315" s="840"/>
      <c r="G315" s="840"/>
      <c r="H315" s="841"/>
    </row>
    <row r="316" spans="2:8">
      <c r="B316" s="844"/>
      <c r="C316" s="838"/>
      <c r="D316" s="839"/>
      <c r="E316" s="840"/>
      <c r="F316" s="840"/>
      <c r="G316" s="840"/>
      <c r="H316" s="841"/>
    </row>
    <row r="317" spans="2:8">
      <c r="B317" s="844"/>
      <c r="C317" s="838"/>
      <c r="D317" s="839"/>
      <c r="E317" s="840"/>
      <c r="F317" s="840"/>
      <c r="G317" s="840"/>
      <c r="H317" s="841"/>
    </row>
    <row r="318" spans="2:8">
      <c r="B318" s="844"/>
      <c r="C318" s="838"/>
      <c r="D318" s="839"/>
      <c r="E318" s="840"/>
      <c r="F318" s="840"/>
      <c r="G318" s="840"/>
      <c r="H318" s="841"/>
    </row>
    <row r="319" spans="2:8">
      <c r="B319" s="847"/>
      <c r="C319" s="848"/>
      <c r="D319" s="849"/>
      <c r="E319" s="850"/>
      <c r="F319" s="850"/>
      <c r="G319" s="850"/>
      <c r="H319" s="851"/>
    </row>
    <row r="321" ht="17.25" spans="1:8">
      <c r="A321" s="829" t="s">
        <v>3122</v>
      </c>
      <c r="B321" s="830" t="s">
        <v>2798</v>
      </c>
      <c r="C321" s="831" t="s">
        <v>3098</v>
      </c>
      <c r="D321" s="831" t="s">
        <v>3099</v>
      </c>
      <c r="E321" s="831" t="s">
        <v>3100</v>
      </c>
      <c r="F321" s="833" t="s">
        <v>3022</v>
      </c>
      <c r="G321" s="833" t="s">
        <v>3023</v>
      </c>
      <c r="H321" s="834" t="s">
        <v>3101</v>
      </c>
    </row>
    <row r="322" spans="1:8">
      <c r="B322" s="835" t="s">
        <v>2844</v>
      </c>
      <c r="C322" s="697">
        <v>64774</v>
      </c>
      <c r="D322" s="697">
        <v>7169862.21</v>
      </c>
      <c r="E322" s="697">
        <v>28</v>
      </c>
      <c r="F322" s="790">
        <f t="shared" ref="F322:F339" si="46">C322/$C$150</f>
        <v>0.212976388929989</v>
      </c>
      <c r="G322" s="790">
        <f t="shared" ref="G322:G339" si="47">D322/$D$150</f>
        <v>0.21603612018707</v>
      </c>
      <c r="H322" s="836">
        <f t="shared" ref="H322:H339" si="48">E322/$E$150</f>
        <v>0.28</v>
      </c>
    </row>
    <row r="323" spans="1:8">
      <c r="B323" s="835" t="s">
        <v>2828</v>
      </c>
      <c r="C323" s="697">
        <v>48401</v>
      </c>
      <c r="D323" s="697">
        <v>4032438.089</v>
      </c>
      <c r="E323" s="697">
        <v>15</v>
      </c>
      <c r="F323" s="790">
        <f t="shared" si="46"/>
        <v>0.159142097147009</v>
      </c>
      <c r="G323" s="790">
        <f t="shared" si="47"/>
        <v>0.121501955564377</v>
      </c>
      <c r="H323" s="836">
        <f t="shared" si="48"/>
        <v>0.15</v>
      </c>
    </row>
    <row r="324" spans="1:8">
      <c r="B324" s="835" t="s">
        <v>2814</v>
      </c>
      <c r="C324" s="697">
        <v>37397</v>
      </c>
      <c r="D324" s="697">
        <v>3328305.048</v>
      </c>
      <c r="E324" s="697">
        <v>4</v>
      </c>
      <c r="F324" s="790">
        <f t="shared" si="46"/>
        <v>0.1229610340077</v>
      </c>
      <c r="G324" s="790">
        <f t="shared" si="47"/>
        <v>0.100285624508391</v>
      </c>
      <c r="H324" s="836">
        <f t="shared" si="48"/>
        <v>0.04</v>
      </c>
    </row>
    <row r="325" spans="1:8">
      <c r="B325" s="835" t="s">
        <v>2874</v>
      </c>
      <c r="C325" s="697">
        <v>28799</v>
      </c>
      <c r="D325" s="697">
        <v>4502840.242</v>
      </c>
      <c r="E325" s="697">
        <v>20</v>
      </c>
      <c r="F325" s="790">
        <f t="shared" si="46"/>
        <v>0.0946908794392001</v>
      </c>
      <c r="G325" s="790">
        <f t="shared" si="47"/>
        <v>0.135675708571795</v>
      </c>
      <c r="H325" s="836">
        <f t="shared" si="48"/>
        <v>0.2</v>
      </c>
    </row>
    <row r="326" spans="1:8">
      <c r="B326" s="835" t="s">
        <v>2853</v>
      </c>
      <c r="C326" s="697">
        <v>22690</v>
      </c>
      <c r="D326" s="697">
        <v>2037744.86</v>
      </c>
      <c r="E326" s="697">
        <v>2</v>
      </c>
      <c r="F326" s="790">
        <f t="shared" si="46"/>
        <v>0.0746045367712577</v>
      </c>
      <c r="G326" s="790">
        <f t="shared" si="47"/>
        <v>0.0613995751370994</v>
      </c>
      <c r="H326" s="836">
        <f t="shared" si="48"/>
        <v>0.02</v>
      </c>
    </row>
    <row r="327" spans="1:8">
      <c r="B327" s="835" t="s">
        <v>2910</v>
      </c>
      <c r="C327" s="697">
        <v>19585</v>
      </c>
      <c r="D327" s="697">
        <v>1388124.17</v>
      </c>
      <c r="E327" s="697">
        <v>2</v>
      </c>
      <c r="F327" s="790">
        <f t="shared" si="46"/>
        <v>0.0643953218450895</v>
      </c>
      <c r="G327" s="790">
        <f t="shared" si="47"/>
        <v>0.0418257633468102</v>
      </c>
      <c r="H327" s="836">
        <f t="shared" si="48"/>
        <v>0.02</v>
      </c>
    </row>
    <row r="328" spans="1:8">
      <c r="B328" s="835" t="s">
        <v>2856</v>
      </c>
      <c r="C328" s="697">
        <v>17793</v>
      </c>
      <c r="D328" s="697">
        <v>3558169.2</v>
      </c>
      <c r="E328" s="697">
        <v>2</v>
      </c>
      <c r="F328" s="790">
        <f t="shared" si="46"/>
        <v>0.0585032403160418</v>
      </c>
      <c r="G328" s="790">
        <f t="shared" si="47"/>
        <v>0.107211693394193</v>
      </c>
      <c r="H328" s="836">
        <f t="shared" si="48"/>
        <v>0.02</v>
      </c>
    </row>
    <row r="329" spans="1:8">
      <c r="B329" s="835" t="s">
        <v>2879</v>
      </c>
      <c r="C329" s="697">
        <v>17551</v>
      </c>
      <c r="D329" s="697">
        <v>3131074.6</v>
      </c>
      <c r="E329" s="697">
        <v>2</v>
      </c>
      <c r="F329" s="790">
        <f t="shared" si="46"/>
        <v>0.0577075462702664</v>
      </c>
      <c r="G329" s="790">
        <f t="shared" si="47"/>
        <v>0.0943428463181419</v>
      </c>
      <c r="H329" s="836">
        <f t="shared" si="48"/>
        <v>0.02</v>
      </c>
    </row>
    <row r="330" spans="1:8">
      <c r="B330" s="835" t="s">
        <v>2862</v>
      </c>
      <c r="C330" s="697">
        <v>14798</v>
      </c>
      <c r="D330" s="697">
        <v>662353.843</v>
      </c>
      <c r="E330" s="697">
        <v>8</v>
      </c>
      <c r="F330" s="790">
        <f t="shared" si="46"/>
        <v>0.0486557045015897</v>
      </c>
      <c r="G330" s="790">
        <f t="shared" si="47"/>
        <v>0.0199574762027004</v>
      </c>
      <c r="H330" s="836">
        <f t="shared" si="48"/>
        <v>0.08</v>
      </c>
    </row>
    <row r="331" spans="1:8">
      <c r="B331" s="835" t="s">
        <v>2838</v>
      </c>
      <c r="C331" s="697">
        <v>11952</v>
      </c>
      <c r="D331" s="697">
        <v>1314122.4</v>
      </c>
      <c r="E331" s="697">
        <v>1</v>
      </c>
      <c r="F331" s="790">
        <f t="shared" si="46"/>
        <v>0.0392980794839168</v>
      </c>
      <c r="G331" s="790">
        <f t="shared" si="47"/>
        <v>0.0395960056737159</v>
      </c>
      <c r="H331" s="836">
        <f t="shared" si="48"/>
        <v>0.01</v>
      </c>
    </row>
    <row r="332" spans="1:8">
      <c r="B332" s="835" t="s">
        <v>2921</v>
      </c>
      <c r="C332" s="697">
        <v>5090</v>
      </c>
      <c r="D332" s="697">
        <v>486266.925</v>
      </c>
      <c r="E332" s="697">
        <v>6</v>
      </c>
      <c r="F332" s="790">
        <f t="shared" si="46"/>
        <v>0.0167358788966814</v>
      </c>
      <c r="G332" s="790">
        <f t="shared" si="47"/>
        <v>0.0146517766695404</v>
      </c>
      <c r="H332" s="836">
        <f t="shared" si="48"/>
        <v>0.06</v>
      </c>
    </row>
    <row r="333" spans="1:8">
      <c r="B333" s="835" t="s">
        <v>2989</v>
      </c>
      <c r="C333" s="697">
        <v>4786</v>
      </c>
      <c r="D333" s="697">
        <v>98988.163</v>
      </c>
      <c r="E333" s="697">
        <v>3</v>
      </c>
      <c r="F333" s="790">
        <f t="shared" si="46"/>
        <v>0.0157363293515751</v>
      </c>
      <c r="G333" s="790">
        <f t="shared" si="47"/>
        <v>0.00298262617224904</v>
      </c>
      <c r="H333" s="836">
        <f t="shared" si="48"/>
        <v>0.03</v>
      </c>
    </row>
    <row r="334" spans="1:8">
      <c r="B334" s="835" t="s">
        <v>2908</v>
      </c>
      <c r="C334" s="697">
        <v>3521</v>
      </c>
      <c r="D334" s="697">
        <v>738303.59</v>
      </c>
      <c r="E334" s="697">
        <v>2</v>
      </c>
      <c r="F334" s="790">
        <f t="shared" si="46"/>
        <v>0.0115770195668399</v>
      </c>
      <c r="G334" s="790">
        <f t="shared" si="47"/>
        <v>0.0222459286429977</v>
      </c>
      <c r="H334" s="836">
        <f t="shared" si="48"/>
        <v>0.02</v>
      </c>
    </row>
    <row r="335" spans="1:8">
      <c r="B335" s="835" t="s">
        <v>2950</v>
      </c>
      <c r="C335" s="697">
        <v>3142</v>
      </c>
      <c r="D335" s="697">
        <v>206062.375</v>
      </c>
      <c r="E335" s="697">
        <v>2</v>
      </c>
      <c r="F335" s="790">
        <f t="shared" si="46"/>
        <v>0.0103308706273817</v>
      </c>
      <c r="G335" s="790">
        <f t="shared" si="47"/>
        <v>0.00620889421688526</v>
      </c>
      <c r="H335" s="836">
        <f t="shared" si="48"/>
        <v>0.02</v>
      </c>
    </row>
    <row r="336" spans="1:8">
      <c r="B336" s="835" t="s">
        <v>2948</v>
      </c>
      <c r="C336" s="697">
        <v>1815</v>
      </c>
      <c r="D336" s="697">
        <v>326681.88</v>
      </c>
      <c r="E336" s="697">
        <v>1</v>
      </c>
      <c r="F336" s="790">
        <f t="shared" si="46"/>
        <v>0.00596770534331568</v>
      </c>
      <c r="G336" s="790">
        <f t="shared" si="47"/>
        <v>0.00984329737776343</v>
      </c>
      <c r="H336" s="836">
        <f t="shared" si="48"/>
        <v>0.01</v>
      </c>
    </row>
    <row r="337" spans="1:8">
      <c r="B337" s="835" t="s">
        <v>2966</v>
      </c>
      <c r="C337" s="697">
        <v>1121</v>
      </c>
      <c r="D337" s="697">
        <v>40221.48</v>
      </c>
      <c r="E337" s="697">
        <v>1</v>
      </c>
      <c r="F337" s="790">
        <f t="shared" si="46"/>
        <v>0.00368583894757954</v>
      </c>
      <c r="G337" s="790">
        <f t="shared" si="47"/>
        <v>0.00121191903454751</v>
      </c>
      <c r="H337" s="836">
        <f t="shared" si="48"/>
        <v>0.01</v>
      </c>
    </row>
    <row r="338" spans="1:8">
      <c r="B338" s="835" t="s">
        <v>2943</v>
      </c>
      <c r="C338" s="697">
        <v>922</v>
      </c>
      <c r="D338" s="697">
        <v>166697.61</v>
      </c>
      <c r="E338" s="697">
        <v>1</v>
      </c>
      <c r="F338" s="790">
        <f t="shared" si="46"/>
        <v>0.00303152855456587</v>
      </c>
      <c r="G338" s="790">
        <f t="shared" si="47"/>
        <v>0.00502278898172262</v>
      </c>
      <c r="H338" s="836">
        <f t="shared" si="48"/>
        <v>0.01</v>
      </c>
    </row>
    <row r="339" spans="1:8">
      <c r="B339" s="835" t="s">
        <v>3102</v>
      </c>
      <c r="C339" s="697">
        <v>304137</v>
      </c>
      <c r="D339" s="697">
        <v>33188256.685</v>
      </c>
      <c r="E339" s="697">
        <v>100</v>
      </c>
      <c r="F339" s="790">
        <f t="shared" si="46"/>
        <v>1</v>
      </c>
      <c r="G339" s="790">
        <f t="shared" si="47"/>
        <v>1</v>
      </c>
      <c r="H339" s="836">
        <f t="shared" si="48"/>
        <v>1</v>
      </c>
    </row>
    <row r="340" spans="1:8">
      <c r="B340" s="853" t="s">
        <v>3123</v>
      </c>
      <c r="C340" s="838"/>
      <c r="D340" s="839"/>
      <c r="E340" s="840"/>
      <c r="F340" s="840"/>
      <c r="G340" s="840"/>
      <c r="H340" s="841"/>
    </row>
    <row r="341" spans="1:8">
      <c r="B341" s="844"/>
      <c r="C341" s="838"/>
      <c r="D341" s="839"/>
      <c r="E341" s="840"/>
      <c r="F341" s="840"/>
      <c r="G341" s="840"/>
      <c r="H341" s="841"/>
    </row>
    <row r="342" spans="1:8">
      <c r="B342" s="844"/>
      <c r="C342" s="838"/>
      <c r="D342" s="839"/>
      <c r="E342" s="840"/>
      <c r="F342" s="840"/>
      <c r="G342" s="840"/>
      <c r="H342" s="841"/>
    </row>
    <row r="343" spans="1:8">
      <c r="B343" s="844"/>
      <c r="C343" s="838"/>
      <c r="D343" s="839"/>
      <c r="E343" s="840"/>
      <c r="F343" s="840"/>
      <c r="G343" s="840"/>
      <c r="H343" s="841"/>
    </row>
    <row r="344" spans="1:8">
      <c r="B344" s="844"/>
      <c r="C344" s="838"/>
      <c r="D344" s="839"/>
      <c r="E344" s="840"/>
      <c r="F344" s="840"/>
      <c r="G344" s="840"/>
      <c r="H344" s="841"/>
    </row>
    <row r="345" spans="1:8">
      <c r="B345" s="844"/>
      <c r="C345" s="838"/>
      <c r="D345" s="839"/>
      <c r="E345" s="840"/>
      <c r="F345" s="840"/>
      <c r="G345" s="840"/>
      <c r="H345" s="841"/>
    </row>
    <row r="346" spans="1:8">
      <c r="B346" s="847"/>
      <c r="C346" s="848"/>
      <c r="D346" s="849"/>
      <c r="E346" s="850"/>
      <c r="F346" s="850"/>
      <c r="G346" s="850"/>
      <c r="H346" s="851"/>
    </row>
    <row r="348" ht="17.25" spans="1:8">
      <c r="A348" s="829" t="s">
        <v>3124</v>
      </c>
      <c r="B348" s="830" t="s">
        <v>2799</v>
      </c>
      <c r="C348" s="831" t="s">
        <v>3098</v>
      </c>
      <c r="D348" s="831" t="s">
        <v>3099</v>
      </c>
      <c r="E348" s="831" t="s">
        <v>3100</v>
      </c>
      <c r="F348" s="833" t="s">
        <v>3022</v>
      </c>
      <c r="G348" s="833" t="s">
        <v>3023</v>
      </c>
      <c r="H348" s="834" t="s">
        <v>3101</v>
      </c>
    </row>
    <row r="349" spans="1:8">
      <c r="B349" s="835" t="s">
        <v>2815</v>
      </c>
      <c r="C349" s="697">
        <v>178170</v>
      </c>
      <c r="D349" s="697">
        <v>15855012.466</v>
      </c>
      <c r="E349" s="697">
        <v>54</v>
      </c>
      <c r="F349" s="790">
        <f t="shared" ref="F349:F366" si="49">C349/$C$150</f>
        <v>0.585821521222344</v>
      </c>
      <c r="G349" s="790">
        <f t="shared" ref="G349:G366" si="50">D349/$D$150</f>
        <v>0.47772959623896</v>
      </c>
      <c r="H349" s="836">
        <f t="shared" ref="H349:H366" si="51">E349/$E$150</f>
        <v>0.54</v>
      </c>
    </row>
    <row r="350" spans="1:8">
      <c r="B350" s="835" t="s">
        <v>2829</v>
      </c>
      <c r="C350" s="697">
        <v>106316</v>
      </c>
      <c r="D350" s="697">
        <v>14997817.415</v>
      </c>
      <c r="E350" s="697">
        <v>31</v>
      </c>
      <c r="F350" s="790">
        <f t="shared" si="49"/>
        <v>0.349566149465537</v>
      </c>
      <c r="G350" s="790">
        <f t="shared" si="50"/>
        <v>0.45190133237033</v>
      </c>
      <c r="H350" s="836">
        <f t="shared" si="51"/>
        <v>0.31</v>
      </c>
    </row>
    <row r="351" spans="1:8">
      <c r="B351" s="835" t="s">
        <v>2903</v>
      </c>
      <c r="C351" s="697">
        <v>10890</v>
      </c>
      <c r="D351" s="697">
        <v>566637.97</v>
      </c>
      <c r="E351" s="697">
        <v>6</v>
      </c>
      <c r="F351" s="790">
        <f t="shared" si="49"/>
        <v>0.0358062320598941</v>
      </c>
      <c r="G351" s="790">
        <f t="shared" si="50"/>
        <v>0.0170734478577208</v>
      </c>
      <c r="H351" s="836">
        <f t="shared" si="51"/>
        <v>0.06</v>
      </c>
    </row>
    <row r="352" spans="1:8">
      <c r="B352" s="835" t="s">
        <v>2895</v>
      </c>
      <c r="C352" s="697">
        <v>6443</v>
      </c>
      <c r="D352" s="697">
        <v>1611903.388</v>
      </c>
      <c r="E352" s="697">
        <v>6</v>
      </c>
      <c r="F352" s="790">
        <f t="shared" si="49"/>
        <v>0.0211845319707895</v>
      </c>
      <c r="G352" s="790">
        <f t="shared" si="50"/>
        <v>0.048568486235932</v>
      </c>
      <c r="H352" s="836">
        <f t="shared" si="51"/>
        <v>0.06</v>
      </c>
    </row>
    <row r="353" spans="1:8">
      <c r="B353" s="835" t="s">
        <v>2978</v>
      </c>
      <c r="C353" s="697">
        <v>949</v>
      </c>
      <c r="D353" s="697">
        <v>81272.36</v>
      </c>
      <c r="E353" s="697">
        <v>1</v>
      </c>
      <c r="F353" s="790">
        <f t="shared" si="49"/>
        <v>0.00312030433653255</v>
      </c>
      <c r="G353" s="790">
        <f t="shared" si="50"/>
        <v>0.0024488288363978</v>
      </c>
      <c r="H353" s="836">
        <f t="shared" si="51"/>
        <v>0.01</v>
      </c>
    </row>
    <row r="354" spans="1:8">
      <c r="B354" s="835" t="s">
        <v>2949</v>
      </c>
      <c r="C354" s="697">
        <v>837</v>
      </c>
      <c r="D354" s="697">
        <v>40644.723</v>
      </c>
      <c r="E354" s="697">
        <v>1</v>
      </c>
      <c r="F354" s="790">
        <f t="shared" si="49"/>
        <v>0.00275204924096706</v>
      </c>
      <c r="G354" s="790">
        <f t="shared" si="50"/>
        <v>0.00122467182852572</v>
      </c>
      <c r="H354" s="836">
        <f t="shared" si="51"/>
        <v>0.01</v>
      </c>
    </row>
    <row r="355" spans="1:8">
      <c r="B355" s="835" t="s">
        <v>2990</v>
      </c>
      <c r="C355" s="697">
        <v>532</v>
      </c>
      <c r="D355" s="697">
        <v>34968.363</v>
      </c>
      <c r="E355" s="697">
        <v>1</v>
      </c>
      <c r="F355" s="790">
        <f t="shared" si="49"/>
        <v>0.00174921170393606</v>
      </c>
      <c r="G355" s="790">
        <f t="shared" si="50"/>
        <v>0.00105363663213454</v>
      </c>
      <c r="H355" s="836">
        <f t="shared" si="51"/>
        <v>0.01</v>
      </c>
    </row>
    <row r="356" spans="1:8">
      <c r="B356" s="835" t="s">
        <v>3102</v>
      </c>
      <c r="C356" s="697">
        <v>304137</v>
      </c>
      <c r="D356" s="697">
        <v>33188256.685</v>
      </c>
      <c r="E356" s="697">
        <v>100</v>
      </c>
      <c r="F356" s="790">
        <f t="shared" si="49"/>
        <v>1</v>
      </c>
      <c r="G356" s="790">
        <f t="shared" si="50"/>
        <v>1</v>
      </c>
      <c r="H356" s="836">
        <f t="shared" si="51"/>
        <v>1</v>
      </c>
    </row>
    <row r="357" spans="1:8">
      <c r="B357" s="853" t="s">
        <v>3125</v>
      </c>
      <c r="C357" s="856"/>
      <c r="D357" s="857"/>
      <c r="E357" s="858"/>
      <c r="F357" s="858"/>
      <c r="G357" s="858"/>
      <c r="H357" s="859"/>
    </row>
    <row r="358" spans="1:8">
      <c r="B358" s="853"/>
      <c r="C358" s="856"/>
      <c r="D358" s="857"/>
      <c r="E358" s="858"/>
      <c r="F358" s="858"/>
      <c r="G358" s="858"/>
      <c r="H358" s="859"/>
    </row>
    <row r="359" spans="1:8">
      <c r="B359" s="853"/>
      <c r="C359" s="856"/>
      <c r="D359" s="857"/>
      <c r="E359" s="858"/>
      <c r="F359" s="858"/>
      <c r="G359" s="858"/>
      <c r="H359" s="859"/>
    </row>
    <row r="360" spans="1:8">
      <c r="B360" s="853"/>
      <c r="C360" s="856"/>
      <c r="D360" s="857"/>
      <c r="E360" s="858"/>
      <c r="F360" s="858"/>
      <c r="G360" s="858"/>
      <c r="H360" s="859"/>
    </row>
    <row r="361" spans="1:8">
      <c r="B361" s="853"/>
      <c r="C361" s="856"/>
      <c r="D361" s="857"/>
      <c r="E361" s="858"/>
      <c r="F361" s="858"/>
      <c r="G361" s="858"/>
      <c r="H361" s="859"/>
    </row>
    <row r="362" spans="1:8">
      <c r="B362" s="853"/>
      <c r="C362" s="856"/>
      <c r="D362" s="857"/>
      <c r="E362" s="858"/>
      <c r="F362" s="858"/>
      <c r="G362" s="858"/>
      <c r="H362" s="859"/>
    </row>
    <row r="363" spans="1:8">
      <c r="B363" s="860"/>
      <c r="C363" s="861"/>
      <c r="D363" s="862"/>
      <c r="E363" s="863"/>
      <c r="F363" s="863"/>
      <c r="G363" s="863"/>
      <c r="H363" s="864"/>
    </row>
    <row r="365" ht="17.25" spans="1:8">
      <c r="A365" s="829" t="s">
        <v>3126</v>
      </c>
      <c r="B365" s="830" t="s">
        <v>2800</v>
      </c>
      <c r="C365" s="831" t="s">
        <v>3098</v>
      </c>
      <c r="D365" s="831" t="s">
        <v>3099</v>
      </c>
      <c r="E365" s="831" t="s">
        <v>3100</v>
      </c>
      <c r="F365" s="833" t="s">
        <v>3022</v>
      </c>
      <c r="G365" s="833" t="s">
        <v>3023</v>
      </c>
      <c r="H365" s="834" t="s">
        <v>3101</v>
      </c>
    </row>
    <row r="366" spans="1:8">
      <c r="B366" s="835" t="s">
        <v>2816</v>
      </c>
      <c r="C366" s="697">
        <v>210988</v>
      </c>
      <c r="D366" s="697">
        <v>20206737.408</v>
      </c>
      <c r="E366" s="697">
        <v>56</v>
      </c>
      <c r="F366" s="790">
        <f>C366/$C$150</f>
        <v>0.69372684020688</v>
      </c>
      <c r="G366" s="790">
        <f>D366/$D$150</f>
        <v>0.60885202858916</v>
      </c>
      <c r="H366" s="836">
        <f>E366/$E$150</f>
        <v>0.56</v>
      </c>
    </row>
    <row r="367" spans="1:8">
      <c r="B367" s="835" t="s">
        <v>2817</v>
      </c>
      <c r="C367" s="697">
        <v>93149</v>
      </c>
      <c r="D367" s="697">
        <v>12981519.277</v>
      </c>
      <c r="E367" s="697">
        <v>44</v>
      </c>
      <c r="F367" s="790">
        <f>C367/$C$150</f>
        <v>0.30627315979312</v>
      </c>
      <c r="G367" s="790">
        <f>D367/$D$150</f>
        <v>0.39114797141084</v>
      </c>
      <c r="H367" s="836">
        <f>E367/$E$150</f>
        <v>0.44</v>
      </c>
    </row>
    <row r="368" spans="1:8">
      <c r="B368" s="835" t="s">
        <v>3102</v>
      </c>
      <c r="C368" s="697">
        <v>304137</v>
      </c>
      <c r="D368" s="697">
        <v>33188256.685</v>
      </c>
      <c r="E368" s="697">
        <v>100</v>
      </c>
      <c r="F368" s="790">
        <f>C368/$C$150</f>
        <v>1</v>
      </c>
      <c r="G368" s="790">
        <f>D368/$D$150</f>
        <v>1</v>
      </c>
      <c r="H368" s="836">
        <f>E368/$E$150</f>
        <v>1</v>
      </c>
    </row>
    <row r="369" spans="1:8">
      <c r="B369" s="853" t="s">
        <v>3127</v>
      </c>
      <c r="C369" s="838"/>
      <c r="D369" s="839"/>
      <c r="E369" s="840"/>
      <c r="F369" s="840"/>
      <c r="G369" s="840"/>
      <c r="H369" s="841"/>
    </row>
    <row r="370" spans="1:8">
      <c r="B370" s="844"/>
      <c r="C370" s="838"/>
      <c r="D370" s="839"/>
      <c r="E370" s="840"/>
      <c r="F370" s="840"/>
      <c r="G370" s="840"/>
      <c r="H370" s="841"/>
    </row>
    <row r="371" spans="1:8">
      <c r="B371" s="844"/>
      <c r="C371" s="838"/>
      <c r="D371" s="839"/>
      <c r="E371" s="840"/>
      <c r="F371" s="840"/>
      <c r="G371" s="840"/>
      <c r="H371" s="841"/>
    </row>
    <row r="372" spans="1:8">
      <c r="B372" s="844"/>
      <c r="C372" s="838"/>
      <c r="D372" s="839"/>
      <c r="E372" s="840"/>
      <c r="F372" s="840"/>
      <c r="G372" s="840"/>
      <c r="H372" s="841"/>
    </row>
    <row r="373" spans="1:8">
      <c r="B373" s="844"/>
      <c r="C373" s="838"/>
      <c r="D373" s="839"/>
      <c r="E373" s="840"/>
      <c r="F373" s="840"/>
      <c r="G373" s="840"/>
      <c r="H373" s="841"/>
    </row>
    <row r="374" spans="1:8">
      <c r="B374" s="847"/>
      <c r="C374" s="848"/>
      <c r="D374" s="849"/>
      <c r="E374" s="850"/>
      <c r="F374" s="850"/>
      <c r="G374" s="850"/>
      <c r="H374" s="851"/>
    </row>
    <row r="376" spans="1:8">
      <c r="A376" s="829" t="s">
        <v>3128</v>
      </c>
      <c r="B376" s="865" t="s">
        <v>2801</v>
      </c>
      <c r="C376" s="866" t="s">
        <v>3098</v>
      </c>
      <c r="D376" s="866" t="s">
        <v>3099</v>
      </c>
      <c r="E376" s="866" t="s">
        <v>3100</v>
      </c>
      <c r="F376" s="833" t="s">
        <v>3022</v>
      </c>
      <c r="G376" s="833" t="s">
        <v>3023</v>
      </c>
      <c r="H376" s="834" t="s">
        <v>3101</v>
      </c>
    </row>
    <row r="377" spans="1:8">
      <c r="B377" s="867" t="s">
        <v>2817</v>
      </c>
      <c r="C377">
        <v>271208</v>
      </c>
      <c r="D377">
        <v>31369065.436</v>
      </c>
      <c r="E377">
        <v>76</v>
      </c>
      <c r="F377" s="790">
        <f t="shared" ref="F377:F379" si="52">C377/$C$150</f>
        <v>0.891729713911823</v>
      </c>
      <c r="G377" s="790">
        <f t="shared" ref="G377:G379" si="53">D377/$D$150</f>
        <v>0.945185694257264</v>
      </c>
      <c r="H377" s="836">
        <f t="shared" ref="H377:H379" si="54">E377/$E$150</f>
        <v>0.76</v>
      </c>
    </row>
    <row r="378" spans="1:8">
      <c r="B378" s="867" t="s">
        <v>2816</v>
      </c>
      <c r="C378">
        <v>32929</v>
      </c>
      <c r="D378">
        <v>1819191.249</v>
      </c>
      <c r="E378">
        <v>24</v>
      </c>
      <c r="F378" s="790">
        <f t="shared" si="52"/>
        <v>0.108270286088177</v>
      </c>
      <c r="G378" s="790">
        <f t="shared" si="53"/>
        <v>0.0548143057427362</v>
      </c>
      <c r="H378" s="836">
        <f t="shared" si="54"/>
        <v>0.24</v>
      </c>
    </row>
    <row r="379" spans="1:8">
      <c r="B379" s="867" t="s">
        <v>3102</v>
      </c>
      <c r="C379">
        <v>304137</v>
      </c>
      <c r="D379">
        <v>33188256.685</v>
      </c>
      <c r="E379">
        <v>100</v>
      </c>
      <c r="F379" s="790">
        <f t="shared" si="52"/>
        <v>1</v>
      </c>
      <c r="G379" s="790">
        <f t="shared" si="53"/>
        <v>1</v>
      </c>
      <c r="H379" s="836">
        <f t="shared" si="54"/>
        <v>1</v>
      </c>
    </row>
    <row r="380" spans="1:8">
      <c r="B380" s="853" t="s">
        <v>3129</v>
      </c>
      <c r="C380" s="838"/>
      <c r="D380" s="839"/>
      <c r="E380" s="840"/>
      <c r="F380" s="840"/>
      <c r="G380" s="840"/>
      <c r="H380" s="841"/>
    </row>
    <row r="381" spans="1:8">
      <c r="B381" s="844"/>
      <c r="C381" s="838"/>
      <c r="D381" s="839"/>
      <c r="E381" s="840"/>
      <c r="F381" s="840"/>
      <c r="G381" s="840"/>
      <c r="H381" s="841"/>
    </row>
    <row r="382" spans="1:8">
      <c r="B382" s="844"/>
      <c r="C382" s="838"/>
      <c r="D382" s="839"/>
      <c r="E382" s="840"/>
      <c r="F382" s="840"/>
      <c r="G382" s="840"/>
      <c r="H382" s="841"/>
    </row>
    <row r="383" spans="1:8">
      <c r="B383" s="844"/>
      <c r="C383" s="838"/>
      <c r="D383" s="839"/>
      <c r="E383" s="840"/>
      <c r="F383" s="840"/>
      <c r="G383" s="840"/>
      <c r="H383" s="841"/>
    </row>
    <row r="384" spans="1:8">
      <c r="B384" s="844"/>
      <c r="C384" s="838"/>
      <c r="D384" s="839"/>
      <c r="E384" s="840"/>
      <c r="F384" s="840"/>
      <c r="G384" s="840"/>
      <c r="H384" s="841"/>
    </row>
    <row r="385" spans="1:8">
      <c r="B385" s="847"/>
      <c r="C385" s="848"/>
      <c r="D385" s="849"/>
      <c r="E385" s="850"/>
      <c r="F385" s="850"/>
      <c r="G385" s="850"/>
      <c r="H385" s="851"/>
    </row>
    <row r="387" ht="17.25" spans="1:8">
      <c r="A387" s="829" t="s">
        <v>3130</v>
      </c>
      <c r="B387" s="830" t="s">
        <v>2802</v>
      </c>
      <c r="C387" s="831" t="s">
        <v>3098</v>
      </c>
      <c r="D387" s="831" t="s">
        <v>3099</v>
      </c>
      <c r="E387" s="831" t="s">
        <v>3100</v>
      </c>
      <c r="F387" s="833" t="s">
        <v>3022</v>
      </c>
      <c r="G387" s="833" t="s">
        <v>3023</v>
      </c>
      <c r="H387" s="834" t="s">
        <v>3101</v>
      </c>
    </row>
    <row r="388" spans="1:8">
      <c r="B388" s="835" t="s">
        <v>2816</v>
      </c>
      <c r="C388" s="697">
        <v>265901</v>
      </c>
      <c r="D388" s="697">
        <v>28944275.175</v>
      </c>
      <c r="E388" s="697">
        <v>87</v>
      </c>
      <c r="F388" s="790">
        <f t="shared" ref="F388:F390" si="55">C388/$C$150</f>
        <v>0.874280340767483</v>
      </c>
      <c r="G388" s="790">
        <f t="shared" ref="G388:G390" si="56">D388/$D$150</f>
        <v>0.872124000055775</v>
      </c>
      <c r="H388" s="836">
        <f t="shared" ref="H388:H390" si="57">E388/$E$150</f>
        <v>0.87</v>
      </c>
    </row>
    <row r="389" spans="1:8">
      <c r="B389" s="835" t="s">
        <v>2817</v>
      </c>
      <c r="C389" s="697">
        <v>38236</v>
      </c>
      <c r="D389" s="697">
        <v>4243981.51</v>
      </c>
      <c r="E389" s="697">
        <v>13</v>
      </c>
      <c r="F389" s="790">
        <f t="shared" si="55"/>
        <v>0.125719659232517</v>
      </c>
      <c r="G389" s="790">
        <f t="shared" si="56"/>
        <v>0.127875999944225</v>
      </c>
      <c r="H389" s="836">
        <f t="shared" si="57"/>
        <v>0.13</v>
      </c>
    </row>
    <row r="390" spans="1:8">
      <c r="B390" s="835" t="s">
        <v>3102</v>
      </c>
      <c r="C390" s="697">
        <v>304137</v>
      </c>
      <c r="D390" s="697">
        <v>33188256.685</v>
      </c>
      <c r="E390" s="697">
        <v>100</v>
      </c>
      <c r="F390" s="790">
        <f t="shared" si="55"/>
        <v>1</v>
      </c>
      <c r="G390" s="790">
        <f t="shared" si="56"/>
        <v>1</v>
      </c>
      <c r="H390" s="836">
        <f t="shared" si="57"/>
        <v>1</v>
      </c>
    </row>
    <row r="391" spans="1:8">
      <c r="B391" s="853" t="s">
        <v>3131</v>
      </c>
      <c r="C391" s="838"/>
      <c r="D391" s="839"/>
      <c r="E391" s="840"/>
      <c r="F391" s="840"/>
      <c r="G391" s="840"/>
      <c r="H391" s="841"/>
    </row>
    <row r="392" spans="1:8">
      <c r="B392" s="844"/>
      <c r="C392" s="838"/>
      <c r="D392" s="839"/>
      <c r="E392" s="840"/>
      <c r="F392" s="840"/>
      <c r="G392" s="840"/>
      <c r="H392" s="841"/>
    </row>
    <row r="393" spans="1:8">
      <c r="B393" s="844"/>
      <c r="C393" s="838"/>
      <c r="D393" s="839"/>
      <c r="E393" s="840"/>
      <c r="F393" s="840"/>
      <c r="G393" s="840"/>
      <c r="H393" s="841"/>
    </row>
    <row r="394" spans="1:8">
      <c r="B394" s="844"/>
      <c r="C394" s="838"/>
      <c r="D394" s="839"/>
      <c r="E394" s="840"/>
      <c r="F394" s="840"/>
      <c r="G394" s="840"/>
      <c r="H394" s="841"/>
    </row>
    <row r="395" spans="1:8">
      <c r="B395" s="844"/>
      <c r="C395" s="838"/>
      <c r="D395" s="839"/>
      <c r="E395" s="840"/>
      <c r="F395" s="840"/>
      <c r="G395" s="840"/>
      <c r="H395" s="841"/>
    </row>
    <row r="396" spans="1:8">
      <c r="B396" s="847"/>
      <c r="C396" s="848"/>
      <c r="D396" s="849"/>
      <c r="E396" s="850"/>
      <c r="F396" s="850"/>
      <c r="G396" s="850"/>
      <c r="H396" s="851"/>
    </row>
    <row r="398" ht="17.25" spans="1:8">
      <c r="A398" s="829" t="s">
        <v>3132</v>
      </c>
      <c r="B398" s="830" t="s">
        <v>2803</v>
      </c>
      <c r="C398" s="831" t="s">
        <v>3098</v>
      </c>
      <c r="D398" s="831" t="s">
        <v>3099</v>
      </c>
      <c r="E398" s="831" t="s">
        <v>3100</v>
      </c>
      <c r="F398" s="833" t="s">
        <v>3022</v>
      </c>
      <c r="G398" s="833" t="s">
        <v>3023</v>
      </c>
      <c r="H398" s="834" t="s">
        <v>3101</v>
      </c>
    </row>
    <row r="399" spans="1:8">
      <c r="B399" s="835" t="s">
        <v>2818</v>
      </c>
      <c r="C399" s="697">
        <v>190391</v>
      </c>
      <c r="D399" s="697">
        <v>19936523.758</v>
      </c>
      <c r="E399" s="697">
        <v>47</v>
      </c>
      <c r="F399" s="790">
        <f t="shared" ref="F399:F401" si="58">C399/$C$150</f>
        <v>0.626004070534003</v>
      </c>
      <c r="G399" s="790">
        <f t="shared" ref="G399:G401" si="59">D399/$D$150</f>
        <v>0.600710183340563</v>
      </c>
      <c r="H399" s="836">
        <f t="shared" ref="H399:H401" si="60">E399/$E$150</f>
        <v>0.47</v>
      </c>
    </row>
    <row r="400" spans="1:8">
      <c r="B400" s="835" t="s">
        <v>2845</v>
      </c>
      <c r="C400" s="697">
        <v>33064</v>
      </c>
      <c r="D400" s="697">
        <v>5812267.508</v>
      </c>
      <c r="E400" s="697">
        <v>10</v>
      </c>
      <c r="F400" s="790">
        <f t="shared" si="58"/>
        <v>0.108714164998011</v>
      </c>
      <c r="G400" s="790">
        <f t="shared" si="59"/>
        <v>0.175130244506846</v>
      </c>
      <c r="H400" s="836">
        <f t="shared" si="60"/>
        <v>0.1</v>
      </c>
    </row>
    <row r="401" spans="2:8">
      <c r="B401" s="835" t="s">
        <v>2863</v>
      </c>
      <c r="C401" s="697">
        <v>30778</v>
      </c>
      <c r="D401" s="697">
        <v>1721158.169</v>
      </c>
      <c r="E401" s="697">
        <v>22</v>
      </c>
      <c r="F401" s="790">
        <f t="shared" si="58"/>
        <v>0.101197815458165</v>
      </c>
      <c r="G401" s="790">
        <f t="shared" si="59"/>
        <v>0.0518604573098263</v>
      </c>
      <c r="H401" s="836">
        <f t="shared" si="60"/>
        <v>0.22</v>
      </c>
    </row>
    <row r="402" spans="2:8">
      <c r="B402" s="835" t="s">
        <v>2854</v>
      </c>
      <c r="C402" s="697">
        <v>23113</v>
      </c>
      <c r="D402" s="697">
        <v>2107365.06</v>
      </c>
      <c r="E402" s="697">
        <v>2</v>
      </c>
      <c r="F402" s="790">
        <f t="shared" ref="F402:F409" si="61">C402/$C$150</f>
        <v>0.0759953573554023</v>
      </c>
      <c r="G402" s="790">
        <f t="shared" ref="G402:G409" si="62">D402/$D$150</f>
        <v>0.0634973111122302</v>
      </c>
      <c r="H402" s="836">
        <f t="shared" ref="H402:H409" si="63">E402/$E$150</f>
        <v>0.02</v>
      </c>
    </row>
    <row r="403" spans="2:8">
      <c r="B403" s="835" t="s">
        <v>2912</v>
      </c>
      <c r="C403" s="697">
        <v>7927</v>
      </c>
      <c r="D403" s="697">
        <v>1274877.1</v>
      </c>
      <c r="E403" s="697">
        <v>7</v>
      </c>
      <c r="F403" s="790">
        <f t="shared" si="61"/>
        <v>0.0260639119870322</v>
      </c>
      <c r="G403" s="790">
        <f t="shared" si="62"/>
        <v>0.0384135000551627</v>
      </c>
      <c r="H403" s="836">
        <f t="shared" si="63"/>
        <v>0.07</v>
      </c>
    </row>
    <row r="404" spans="2:8">
      <c r="B404" s="835" t="s">
        <v>2922</v>
      </c>
      <c r="C404" s="697">
        <v>7255</v>
      </c>
      <c r="D404" s="697">
        <v>903288.26</v>
      </c>
      <c r="E404" s="697">
        <v>7</v>
      </c>
      <c r="F404" s="790">
        <f t="shared" si="61"/>
        <v>0.0238543814136392</v>
      </c>
      <c r="G404" s="790">
        <f t="shared" si="62"/>
        <v>0.027217104790209</v>
      </c>
      <c r="H404" s="836">
        <f t="shared" si="63"/>
        <v>0.07</v>
      </c>
    </row>
    <row r="405" spans="2:8">
      <c r="B405" s="835" t="s">
        <v>2928</v>
      </c>
      <c r="C405" s="697">
        <v>4613</v>
      </c>
      <c r="D405" s="697">
        <v>312799.92</v>
      </c>
      <c r="E405" s="697">
        <v>2</v>
      </c>
      <c r="F405" s="790">
        <f t="shared" si="61"/>
        <v>0.0151675067486034</v>
      </c>
      <c r="G405" s="790">
        <f t="shared" si="62"/>
        <v>0.00942501810109765</v>
      </c>
      <c r="H405" s="836">
        <f t="shared" si="63"/>
        <v>0.02</v>
      </c>
    </row>
    <row r="406" spans="2:8">
      <c r="B406" s="835" t="s">
        <v>2899</v>
      </c>
      <c r="C406" s="697">
        <v>4224</v>
      </c>
      <c r="D406" s="697">
        <v>675797.8</v>
      </c>
      <c r="E406" s="697">
        <v>1</v>
      </c>
      <c r="F406" s="790">
        <f t="shared" si="61"/>
        <v>0.0138884778898983</v>
      </c>
      <c r="G406" s="790">
        <f t="shared" si="62"/>
        <v>0.0203625579497654</v>
      </c>
      <c r="H406" s="836">
        <f t="shared" si="63"/>
        <v>0.01</v>
      </c>
    </row>
    <row r="407" spans="2:8">
      <c r="B407" s="835" t="s">
        <v>2951</v>
      </c>
      <c r="C407" s="697">
        <v>1850</v>
      </c>
      <c r="D407" s="697">
        <v>277481.5</v>
      </c>
      <c r="E407" s="697">
        <v>1</v>
      </c>
      <c r="F407" s="790">
        <f t="shared" si="61"/>
        <v>0.00608278506067989</v>
      </c>
      <c r="G407" s="790">
        <f t="shared" si="62"/>
        <v>0.00836083385257812</v>
      </c>
      <c r="H407" s="836">
        <f t="shared" si="63"/>
        <v>0.01</v>
      </c>
    </row>
    <row r="408" spans="2:8">
      <c r="B408" s="835" t="s">
        <v>2944</v>
      </c>
      <c r="C408" s="697">
        <v>922</v>
      </c>
      <c r="D408" s="697">
        <v>166697.61</v>
      </c>
      <c r="E408" s="697">
        <v>1</v>
      </c>
      <c r="F408" s="790">
        <f t="shared" si="61"/>
        <v>0.00303152855456587</v>
      </c>
      <c r="G408" s="790">
        <f t="shared" si="62"/>
        <v>0.00502278898172262</v>
      </c>
      <c r="H408" s="836">
        <f t="shared" si="63"/>
        <v>0.01</v>
      </c>
    </row>
    <row r="409" spans="2:8">
      <c r="B409" s="835" t="s">
        <v>3102</v>
      </c>
      <c r="C409" s="697">
        <v>304137</v>
      </c>
      <c r="D409" s="697">
        <v>33188256.685</v>
      </c>
      <c r="E409" s="697">
        <v>100</v>
      </c>
      <c r="F409" s="790">
        <f t="shared" si="61"/>
        <v>1</v>
      </c>
      <c r="G409" s="790">
        <f t="shared" si="62"/>
        <v>1</v>
      </c>
      <c r="H409" s="836">
        <f t="shared" si="63"/>
        <v>1</v>
      </c>
    </row>
    <row r="410" spans="2:8">
      <c r="B410" s="853" t="s">
        <v>3133</v>
      </c>
      <c r="C410" s="838"/>
      <c r="D410" s="839"/>
      <c r="E410" s="840"/>
      <c r="F410" s="840"/>
      <c r="G410" s="840"/>
      <c r="H410" s="841"/>
    </row>
    <row r="411" spans="2:8">
      <c r="B411" s="844"/>
      <c r="C411" s="838"/>
      <c r="D411" s="839"/>
      <c r="E411" s="840"/>
      <c r="F411" s="840"/>
      <c r="G411" s="840"/>
      <c r="H411" s="841"/>
    </row>
    <row r="412" spans="2:8">
      <c r="B412" s="844"/>
      <c r="C412" s="838"/>
      <c r="D412" s="839"/>
      <c r="E412" s="840"/>
      <c r="F412" s="840"/>
      <c r="G412" s="840"/>
      <c r="H412" s="841"/>
    </row>
    <row r="413" spans="2:8">
      <c r="B413" s="844"/>
      <c r="C413" s="838"/>
      <c r="D413" s="839"/>
      <c r="E413" s="840"/>
      <c r="F413" s="840"/>
      <c r="G413" s="840"/>
      <c r="H413" s="841"/>
    </row>
    <row r="414" spans="2:8">
      <c r="B414" s="844"/>
      <c r="C414" s="838"/>
      <c r="D414" s="839"/>
      <c r="E414" s="840"/>
      <c r="F414" s="840"/>
      <c r="G414" s="840"/>
      <c r="H414" s="841"/>
    </row>
    <row r="415" spans="2:8">
      <c r="B415" s="847"/>
      <c r="C415" s="848"/>
      <c r="D415" s="849"/>
      <c r="E415" s="850"/>
      <c r="F415" s="850"/>
      <c r="G415" s="850"/>
      <c r="H415" s="851"/>
    </row>
    <row r="416" spans="2:8">
      <c r="B416"/>
      <c r="C416"/>
      <c r="D416" s="868"/>
    </row>
    <row r="417" ht="17.25" spans="1:8">
      <c r="A417" s="829" t="s">
        <v>3134</v>
      </c>
      <c r="B417" s="830" t="s">
        <v>2804</v>
      </c>
      <c r="C417" s="831" t="s">
        <v>3098</v>
      </c>
      <c r="D417" s="831" t="s">
        <v>3099</v>
      </c>
      <c r="E417" s="831" t="s">
        <v>3100</v>
      </c>
      <c r="F417" s="833" t="s">
        <v>3022</v>
      </c>
      <c r="G417" s="833" t="s">
        <v>3023</v>
      </c>
      <c r="H417" s="834" t="s">
        <v>3101</v>
      </c>
    </row>
    <row r="418" spans="1:8">
      <c r="A418" s="835"/>
      <c r="B418" s="835" t="s">
        <v>2819</v>
      </c>
      <c r="C418" s="697">
        <v>144872</v>
      </c>
      <c r="D418" s="697">
        <v>11010622.693</v>
      </c>
      <c r="E418" s="697">
        <v>41</v>
      </c>
      <c r="F418" s="790">
        <f t="shared" ref="F418:F427" si="64">C418/$C$150</f>
        <v>0.476337966113955</v>
      </c>
      <c r="G418" s="790">
        <f t="shared" ref="G418:G427" si="65">D418/$D$150</f>
        <v>0.331762611019471</v>
      </c>
      <c r="H418" s="836">
        <f t="shared" ref="H418:H427" si="66">E418/$E$150</f>
        <v>0.41</v>
      </c>
    </row>
    <row r="419" spans="1:8">
      <c r="A419" s="835"/>
      <c r="B419" s="835" t="s">
        <v>2850</v>
      </c>
      <c r="C419" s="697">
        <v>87687</v>
      </c>
      <c r="D419" s="697">
        <v>11900530.63</v>
      </c>
      <c r="E419" s="697">
        <v>16</v>
      </c>
      <c r="F419" s="790">
        <f t="shared" si="64"/>
        <v>0.288314147900453</v>
      </c>
      <c r="G419" s="790">
        <f t="shared" si="65"/>
        <v>0.358576551427561</v>
      </c>
      <c r="H419" s="836">
        <f t="shared" si="66"/>
        <v>0.16</v>
      </c>
    </row>
    <row r="420" spans="1:8">
      <c r="A420" s="835"/>
      <c r="B420" s="835" t="s">
        <v>2839</v>
      </c>
      <c r="C420" s="697">
        <v>23077</v>
      </c>
      <c r="D420" s="697">
        <v>2700114.541</v>
      </c>
      <c r="E420" s="697">
        <v>19</v>
      </c>
      <c r="F420" s="790">
        <f t="shared" si="64"/>
        <v>0.0758769896461134</v>
      </c>
      <c r="G420" s="790">
        <f t="shared" si="65"/>
        <v>0.0813575285567911</v>
      </c>
      <c r="H420" s="836">
        <f t="shared" si="66"/>
        <v>0.19</v>
      </c>
    </row>
    <row r="421" spans="1:8">
      <c r="A421" s="835"/>
      <c r="B421" s="835" t="s">
        <v>2896</v>
      </c>
      <c r="C421" s="697">
        <v>18841</v>
      </c>
      <c r="D421" s="697">
        <v>3481129.276</v>
      </c>
      <c r="E421" s="697">
        <v>10</v>
      </c>
      <c r="F421" s="790">
        <f t="shared" si="64"/>
        <v>0.0619490558531188</v>
      </c>
      <c r="G421" s="790">
        <f t="shared" si="65"/>
        <v>0.104890392678364</v>
      </c>
      <c r="H421" s="836">
        <f t="shared" si="66"/>
        <v>0.1</v>
      </c>
    </row>
    <row r="422" spans="1:8">
      <c r="A422" s="835"/>
      <c r="B422" s="835" t="s">
        <v>2889</v>
      </c>
      <c r="C422" s="697">
        <v>12476</v>
      </c>
      <c r="D422" s="697">
        <v>1704597.69</v>
      </c>
      <c r="E422" s="697">
        <v>8</v>
      </c>
      <c r="F422" s="790">
        <f t="shared" si="64"/>
        <v>0.0410209872524553</v>
      </c>
      <c r="G422" s="790">
        <f t="shared" si="65"/>
        <v>0.0513614712028674</v>
      </c>
      <c r="H422" s="836">
        <f t="shared" si="66"/>
        <v>0.08</v>
      </c>
    </row>
    <row r="423" spans="1:8">
      <c r="A423" s="835"/>
      <c r="B423" s="835" t="s">
        <v>2846</v>
      </c>
      <c r="C423" s="697">
        <v>9323</v>
      </c>
      <c r="D423" s="697">
        <v>1025063.8</v>
      </c>
      <c r="E423" s="697">
        <v>1</v>
      </c>
      <c r="F423" s="790">
        <f t="shared" si="64"/>
        <v>0.030653948713902</v>
      </c>
      <c r="G423" s="790">
        <f t="shared" si="65"/>
        <v>0.0308863406032199</v>
      </c>
      <c r="H423" s="836">
        <f t="shared" si="66"/>
        <v>0.01</v>
      </c>
    </row>
    <row r="424" spans="1:8">
      <c r="A424" s="835"/>
      <c r="B424" s="835" t="s">
        <v>2909</v>
      </c>
      <c r="C424" s="697">
        <v>5095</v>
      </c>
      <c r="D424" s="697">
        <v>1048117.88</v>
      </c>
      <c r="E424" s="697">
        <v>2</v>
      </c>
      <c r="F424" s="790">
        <f t="shared" si="64"/>
        <v>0.0167523188563049</v>
      </c>
      <c r="G424" s="790">
        <f t="shared" si="65"/>
        <v>0.0315809863093446</v>
      </c>
      <c r="H424" s="836">
        <f t="shared" si="66"/>
        <v>0.02</v>
      </c>
    </row>
    <row r="425" spans="1:8">
      <c r="A425" s="835"/>
      <c r="B425" s="835" t="s">
        <v>2971</v>
      </c>
      <c r="C425" s="697">
        <v>2062</v>
      </c>
      <c r="D425" s="697">
        <v>206179.375</v>
      </c>
      <c r="E425" s="697">
        <v>2</v>
      </c>
      <c r="F425" s="790">
        <f t="shared" si="64"/>
        <v>0.00677983934871456</v>
      </c>
      <c r="G425" s="790">
        <f t="shared" si="65"/>
        <v>0.00621241956023518</v>
      </c>
      <c r="H425" s="836">
        <f t="shared" si="66"/>
        <v>0.02</v>
      </c>
    </row>
    <row r="426" spans="1:8">
      <c r="A426" s="835"/>
      <c r="B426" s="835" t="s">
        <v>2985</v>
      </c>
      <c r="C426" s="697">
        <v>704</v>
      </c>
      <c r="D426" s="697">
        <v>111900.8</v>
      </c>
      <c r="E426" s="697">
        <v>1</v>
      </c>
      <c r="F426" s="790">
        <f t="shared" si="64"/>
        <v>0.00231474631498305</v>
      </c>
      <c r="G426" s="790">
        <f t="shared" si="65"/>
        <v>0.00337169864214578</v>
      </c>
      <c r="H426" s="836">
        <f t="shared" si="66"/>
        <v>0.01</v>
      </c>
    </row>
    <row r="427" spans="1:8">
      <c r="A427" s="835"/>
      <c r="B427" s="835" t="s">
        <v>3102</v>
      </c>
      <c r="C427" s="697">
        <v>304137</v>
      </c>
      <c r="D427" s="697">
        <v>33188256.685</v>
      </c>
      <c r="E427" s="697">
        <v>100</v>
      </c>
      <c r="F427" s="790">
        <f t="shared" si="64"/>
        <v>1</v>
      </c>
      <c r="G427" s="790">
        <f t="shared" si="65"/>
        <v>1</v>
      </c>
      <c r="H427" s="836">
        <f t="shared" si="66"/>
        <v>1</v>
      </c>
    </row>
    <row r="428" spans="1:8">
      <c r="B428" s="853" t="s">
        <v>3135</v>
      </c>
      <c r="C428" s="838"/>
      <c r="D428" s="839"/>
      <c r="E428" s="840"/>
      <c r="F428" s="840"/>
      <c r="G428" s="840"/>
      <c r="H428" s="841"/>
    </row>
    <row r="429" spans="1:8">
      <c r="B429" s="844"/>
      <c r="C429" s="838"/>
      <c r="D429" s="839"/>
      <c r="E429" s="840"/>
      <c r="F429" s="840"/>
      <c r="G429" s="840"/>
      <c r="H429" s="841"/>
    </row>
    <row r="430" spans="1:8">
      <c r="B430" s="844"/>
      <c r="C430" s="838"/>
      <c r="D430" s="839"/>
      <c r="E430" s="840"/>
      <c r="F430" s="840"/>
      <c r="G430" s="840"/>
      <c r="H430" s="841"/>
    </row>
    <row r="431" spans="1:8">
      <c r="B431" s="844"/>
      <c r="C431" s="838"/>
      <c r="D431" s="839"/>
      <c r="E431" s="840"/>
      <c r="F431" s="840"/>
      <c r="G431" s="840"/>
      <c r="H431" s="841"/>
    </row>
    <row r="432" spans="1:8">
      <c r="B432" s="844"/>
      <c r="C432" s="838"/>
      <c r="D432" s="839"/>
      <c r="E432" s="840"/>
      <c r="F432" s="840"/>
      <c r="G432" s="840"/>
      <c r="H432" s="841"/>
    </row>
    <row r="433" spans="1:8">
      <c r="B433" s="847"/>
      <c r="C433" s="848"/>
      <c r="D433" s="849"/>
      <c r="E433" s="850"/>
      <c r="F433" s="850"/>
      <c r="G433" s="850"/>
      <c r="H433" s="851"/>
    </row>
    <row r="435" ht="17.25" spans="1:8">
      <c r="A435" s="829" t="s">
        <v>3136</v>
      </c>
      <c r="B435" s="830" t="s">
        <v>2805</v>
      </c>
      <c r="C435" s="831" t="s">
        <v>3098</v>
      </c>
      <c r="D435" s="831" t="s">
        <v>3099</v>
      </c>
      <c r="E435" s="831" t="s">
        <v>3100</v>
      </c>
      <c r="F435" s="833" t="s">
        <v>3022</v>
      </c>
      <c r="G435" s="833" t="s">
        <v>3023</v>
      </c>
      <c r="H435" s="834" t="s">
        <v>3101</v>
      </c>
    </row>
    <row r="436" spans="1:8">
      <c r="A436" s="835"/>
      <c r="B436" s="835" t="s">
        <v>2820</v>
      </c>
      <c r="C436" s="697">
        <v>62949</v>
      </c>
      <c r="D436" s="697">
        <v>5650633.572</v>
      </c>
      <c r="E436" s="697">
        <v>9</v>
      </c>
      <c r="F436" s="790">
        <f t="shared" ref="F436:F445" si="67">C436/$C$150</f>
        <v>0.206975803667426</v>
      </c>
      <c r="G436" s="790">
        <f t="shared" ref="G436:G445" si="68">D436/$D$150</f>
        <v>0.17026002979403</v>
      </c>
      <c r="H436" s="836">
        <f t="shared" ref="H436:H445" si="69">E436/$E$150</f>
        <v>0.09</v>
      </c>
    </row>
    <row r="437" spans="1:8">
      <c r="A437" s="835"/>
      <c r="B437" s="835" t="s">
        <v>2840</v>
      </c>
      <c r="C437" s="697">
        <v>47906</v>
      </c>
      <c r="D437" s="697">
        <v>5244223.682</v>
      </c>
      <c r="E437" s="697">
        <v>9</v>
      </c>
      <c r="F437" s="790">
        <f t="shared" si="67"/>
        <v>0.157514541144287</v>
      </c>
      <c r="G437" s="790">
        <f t="shared" si="68"/>
        <v>0.15801443660553</v>
      </c>
      <c r="H437" s="836">
        <f t="shared" si="69"/>
        <v>0.09</v>
      </c>
    </row>
    <row r="438" spans="1:8">
      <c r="A438" s="835"/>
      <c r="B438" s="835" t="s">
        <v>2830</v>
      </c>
      <c r="C438" s="697">
        <v>30081</v>
      </c>
      <c r="D438" s="697">
        <v>2536849.225</v>
      </c>
      <c r="E438" s="697">
        <v>7</v>
      </c>
      <c r="F438" s="790">
        <f t="shared" si="67"/>
        <v>0.098906085086655</v>
      </c>
      <c r="G438" s="790">
        <f t="shared" si="68"/>
        <v>0.0764381585052213</v>
      </c>
      <c r="H438" s="836">
        <f t="shared" si="69"/>
        <v>0.07</v>
      </c>
    </row>
    <row r="439" spans="1:8">
      <c r="A439" s="835"/>
      <c r="B439" s="835" t="s">
        <v>2916</v>
      </c>
      <c r="C439" s="697">
        <v>22156</v>
      </c>
      <c r="D439" s="697">
        <v>1094253.623</v>
      </c>
      <c r="E439" s="697">
        <v>6</v>
      </c>
      <c r="F439" s="790">
        <f t="shared" si="67"/>
        <v>0.0728487490834722</v>
      </c>
      <c r="G439" s="790">
        <f t="shared" si="68"/>
        <v>0.0329711088288216</v>
      </c>
      <c r="H439" s="836">
        <f t="shared" si="69"/>
        <v>0.06</v>
      </c>
    </row>
    <row r="440" spans="1:8">
      <c r="A440" s="835"/>
      <c r="B440" s="835" t="s">
        <v>2857</v>
      </c>
      <c r="C440" s="697">
        <v>21766</v>
      </c>
      <c r="D440" s="697">
        <v>4931042.56</v>
      </c>
      <c r="E440" s="697">
        <v>7</v>
      </c>
      <c r="F440" s="790">
        <f t="shared" si="67"/>
        <v>0.0715664322328424</v>
      </c>
      <c r="G440" s="790">
        <f t="shared" si="68"/>
        <v>0.1485779324537</v>
      </c>
      <c r="H440" s="836">
        <f t="shared" si="69"/>
        <v>0.07</v>
      </c>
    </row>
    <row r="441" spans="1:8">
      <c r="A441" s="835"/>
      <c r="B441" s="835" t="s">
        <v>2882</v>
      </c>
      <c r="C441" s="697">
        <v>20334</v>
      </c>
      <c r="D441" s="697">
        <v>1415899.706</v>
      </c>
      <c r="E441" s="697">
        <v>10</v>
      </c>
      <c r="F441" s="790">
        <f t="shared" si="67"/>
        <v>0.0668580277966837</v>
      </c>
      <c r="G441" s="790">
        <f t="shared" si="68"/>
        <v>0.042662671903461</v>
      </c>
      <c r="H441" s="836">
        <f t="shared" si="69"/>
        <v>0.1</v>
      </c>
    </row>
    <row r="442" spans="1:8">
      <c r="A442" s="835"/>
      <c r="B442" s="835" t="s">
        <v>2880</v>
      </c>
      <c r="C442" s="697">
        <v>13945</v>
      </c>
      <c r="D442" s="697">
        <v>2760257.51</v>
      </c>
      <c r="E442" s="697">
        <v>5</v>
      </c>
      <c r="F442" s="790">
        <f t="shared" si="67"/>
        <v>0.0458510473898276</v>
      </c>
      <c r="G442" s="790">
        <f t="shared" si="68"/>
        <v>0.0831697047602848</v>
      </c>
      <c r="H442" s="836">
        <f t="shared" si="69"/>
        <v>0.05</v>
      </c>
    </row>
    <row r="443" spans="1:8">
      <c r="A443" s="835"/>
      <c r="B443" s="835" t="s">
        <v>2887</v>
      </c>
      <c r="C443" s="697">
        <v>13332</v>
      </c>
      <c r="D443" s="697">
        <v>1910386.67</v>
      </c>
      <c r="E443" s="697">
        <v>6</v>
      </c>
      <c r="F443" s="790">
        <f t="shared" si="67"/>
        <v>0.0438355083399915</v>
      </c>
      <c r="G443" s="790">
        <f t="shared" si="68"/>
        <v>0.0575621277168027</v>
      </c>
      <c r="H443" s="836">
        <f t="shared" si="69"/>
        <v>0.06</v>
      </c>
    </row>
    <row r="444" spans="1:8">
      <c r="A444" s="835"/>
      <c r="B444" s="835" t="s">
        <v>2864</v>
      </c>
      <c r="C444" s="697">
        <v>11434</v>
      </c>
      <c r="D444" s="697">
        <v>451119.21</v>
      </c>
      <c r="E444" s="697">
        <v>5</v>
      </c>
      <c r="F444" s="790">
        <f t="shared" si="67"/>
        <v>0.0375948996669264</v>
      </c>
      <c r="G444" s="790">
        <f t="shared" si="68"/>
        <v>0.0135927359572307</v>
      </c>
      <c r="H444" s="836">
        <f t="shared" si="69"/>
        <v>0.05</v>
      </c>
    </row>
    <row r="445" spans="1:8">
      <c r="A445" s="835"/>
      <c r="B445" s="835" t="s">
        <v>2906</v>
      </c>
      <c r="C445" s="697">
        <v>11125</v>
      </c>
      <c r="D445" s="697">
        <v>1296486.805</v>
      </c>
      <c r="E445" s="697">
        <v>8</v>
      </c>
      <c r="F445" s="790">
        <f t="shared" si="67"/>
        <v>0.0365789101621966</v>
      </c>
      <c r="G445" s="790">
        <f t="shared" si="68"/>
        <v>0.0390646250963212</v>
      </c>
      <c r="H445" s="836">
        <f t="shared" si="69"/>
        <v>0.08</v>
      </c>
    </row>
    <row r="446" spans="1:8">
      <c r="B446" s="835" t="s">
        <v>2890</v>
      </c>
      <c r="C446" s="697">
        <v>10248</v>
      </c>
      <c r="D446" s="697">
        <v>1638632.6</v>
      </c>
      <c r="E446" s="697">
        <v>3</v>
      </c>
      <c r="F446" s="790">
        <f t="shared" ref="F446:F455" si="70">C446/$C$150</f>
        <v>0.0336953412442419</v>
      </c>
      <c r="G446" s="790">
        <f t="shared" ref="G446:G455" si="71">D446/$D$150</f>
        <v>0.0493738678579224</v>
      </c>
      <c r="H446" s="836">
        <f t="shared" ref="H446:H455" si="72">E446/$E$150</f>
        <v>0.03</v>
      </c>
    </row>
    <row r="447" spans="1:8">
      <c r="B447" s="835" t="s">
        <v>2866</v>
      </c>
      <c r="C447" s="697">
        <v>10072</v>
      </c>
      <c r="D447" s="697">
        <v>596203.979</v>
      </c>
      <c r="E447" s="697">
        <v>4</v>
      </c>
      <c r="F447" s="790">
        <f t="shared" si="70"/>
        <v>0.0331166546654961</v>
      </c>
      <c r="G447" s="790">
        <f t="shared" si="71"/>
        <v>0.0179643054065405</v>
      </c>
      <c r="H447" s="836">
        <f t="shared" si="72"/>
        <v>0.04</v>
      </c>
    </row>
    <row r="448" spans="1:8">
      <c r="B448" s="835" t="s">
        <v>2871</v>
      </c>
      <c r="C448" s="697">
        <v>7304</v>
      </c>
      <c r="D448" s="697">
        <v>1460474.16</v>
      </c>
      <c r="E448" s="697">
        <v>2</v>
      </c>
      <c r="F448" s="790">
        <f t="shared" si="70"/>
        <v>0.0240154930179491</v>
      </c>
      <c r="G448" s="790">
        <f t="shared" si="71"/>
        <v>0.0440057510058998</v>
      </c>
      <c r="H448" s="836">
        <f t="shared" si="72"/>
        <v>0.02</v>
      </c>
    </row>
    <row r="449" spans="1:8">
      <c r="B449" s="835" t="s">
        <v>2939</v>
      </c>
      <c r="C449" s="697">
        <v>6845</v>
      </c>
      <c r="D449" s="697">
        <v>523813.385</v>
      </c>
      <c r="E449" s="697">
        <v>7</v>
      </c>
      <c r="F449" s="790">
        <f t="shared" si="70"/>
        <v>0.0225063047245156</v>
      </c>
      <c r="G449" s="790">
        <f t="shared" si="71"/>
        <v>0.0157830943026527</v>
      </c>
      <c r="H449" s="836">
        <f t="shared" si="72"/>
        <v>0.07</v>
      </c>
    </row>
    <row r="450" spans="1:8">
      <c r="B450" s="835" t="s">
        <v>2913</v>
      </c>
      <c r="C450" s="697">
        <v>3891</v>
      </c>
      <c r="D450" s="697">
        <v>597582.11</v>
      </c>
      <c r="E450" s="697">
        <v>3</v>
      </c>
      <c r="F450" s="790">
        <f t="shared" si="70"/>
        <v>0.0127935765789759</v>
      </c>
      <c r="G450" s="790">
        <f t="shared" si="71"/>
        <v>0.0180058300642856</v>
      </c>
      <c r="H450" s="836">
        <f t="shared" si="72"/>
        <v>0.03</v>
      </c>
    </row>
    <row r="451" spans="1:8">
      <c r="B451" s="835" t="s">
        <v>3006</v>
      </c>
      <c r="C451" s="697">
        <v>3836</v>
      </c>
      <c r="D451" s="697">
        <v>22478.96</v>
      </c>
      <c r="E451" s="697">
        <v>1</v>
      </c>
      <c r="F451" s="790">
        <f t="shared" si="70"/>
        <v>0.0126127370231179</v>
      </c>
      <c r="G451" s="790">
        <f t="shared" si="71"/>
        <v>0.000677316685035757</v>
      </c>
      <c r="H451" s="836">
        <f t="shared" si="72"/>
        <v>0.01</v>
      </c>
    </row>
    <row r="452" spans="1:8">
      <c r="B452" s="835" t="s">
        <v>2924</v>
      </c>
      <c r="C452" s="697">
        <v>3212</v>
      </c>
      <c r="D452" s="697">
        <v>577089.728</v>
      </c>
      <c r="E452" s="697">
        <v>3</v>
      </c>
      <c r="F452" s="790">
        <f t="shared" si="70"/>
        <v>0.0105610300621102</v>
      </c>
      <c r="G452" s="790">
        <f t="shared" si="71"/>
        <v>0.0173883712385781</v>
      </c>
      <c r="H452" s="836">
        <f t="shared" si="72"/>
        <v>0.03</v>
      </c>
    </row>
    <row r="453" spans="1:8">
      <c r="B453" s="835" t="s">
        <v>2937</v>
      </c>
      <c r="C453" s="697">
        <v>2527</v>
      </c>
      <c r="D453" s="697">
        <v>318510.93</v>
      </c>
      <c r="E453" s="697">
        <v>3</v>
      </c>
      <c r="F453" s="790">
        <f t="shared" si="70"/>
        <v>0.00830875559369626</v>
      </c>
      <c r="G453" s="790">
        <f t="shared" si="71"/>
        <v>0.00959709734148092</v>
      </c>
      <c r="H453" s="836">
        <f t="shared" si="72"/>
        <v>0.03</v>
      </c>
    </row>
    <row r="454" spans="1:8">
      <c r="B454" s="835" t="s">
        <v>2984</v>
      </c>
      <c r="C454" s="697">
        <v>1174</v>
      </c>
      <c r="D454" s="697">
        <v>162318.27</v>
      </c>
      <c r="E454" s="697">
        <v>2</v>
      </c>
      <c r="F454" s="790">
        <f t="shared" si="70"/>
        <v>0.00386010251958821</v>
      </c>
      <c r="G454" s="790">
        <f t="shared" si="71"/>
        <v>0.00489083447620081</v>
      </c>
      <c r="H454" s="836">
        <f t="shared" si="72"/>
        <v>0.02</v>
      </c>
    </row>
    <row r="455" spans="1:8">
      <c r="B455" s="835" t="s">
        <v>3102</v>
      </c>
      <c r="C455" s="697">
        <v>304137</v>
      </c>
      <c r="D455" s="697">
        <v>33188256.685</v>
      </c>
      <c r="E455" s="697">
        <v>100</v>
      </c>
      <c r="F455" s="790">
        <f t="shared" si="70"/>
        <v>1</v>
      </c>
      <c r="G455" s="790">
        <f t="shared" si="71"/>
        <v>1</v>
      </c>
      <c r="H455" s="836">
        <f t="shared" si="72"/>
        <v>1</v>
      </c>
    </row>
    <row r="456" spans="1:8">
      <c r="B456" s="853" t="s">
        <v>3137</v>
      </c>
      <c r="C456" s="838"/>
      <c r="D456" s="839"/>
      <c r="E456" s="840"/>
      <c r="F456" s="840"/>
      <c r="G456" s="840"/>
      <c r="H456" s="841"/>
    </row>
    <row r="457" spans="1:8">
      <c r="B457" s="844"/>
      <c r="C457" s="838"/>
      <c r="D457" s="839"/>
      <c r="E457" s="840"/>
      <c r="F457" s="840"/>
      <c r="G457" s="840"/>
      <c r="H457" s="841"/>
    </row>
    <row r="458" spans="1:8">
      <c r="B458" s="844"/>
      <c r="C458" s="838"/>
      <c r="D458" s="839"/>
      <c r="E458" s="840"/>
      <c r="F458" s="840"/>
      <c r="G458" s="840"/>
      <c r="H458" s="841"/>
    </row>
    <row r="459" spans="1:8">
      <c r="B459" s="844"/>
      <c r="C459" s="838"/>
      <c r="D459" s="839"/>
      <c r="E459" s="840"/>
      <c r="F459" s="840"/>
      <c r="G459" s="840"/>
      <c r="H459" s="841"/>
    </row>
    <row r="460" spans="1:8">
      <c r="B460" s="844"/>
      <c r="C460" s="838"/>
      <c r="D460" s="839"/>
      <c r="E460" s="840"/>
      <c r="F460" s="840"/>
      <c r="G460" s="840"/>
      <c r="H460" s="841"/>
    </row>
    <row r="461" spans="1:8">
      <c r="B461" s="847"/>
      <c r="C461" s="848"/>
      <c r="D461" s="849"/>
      <c r="E461" s="850"/>
      <c r="F461" s="850"/>
      <c r="G461" s="850"/>
      <c r="H461" s="851"/>
    </row>
    <row r="463" ht="17.25" spans="1:8">
      <c r="A463" s="829" t="s">
        <v>3138</v>
      </c>
      <c r="B463" s="830" t="s">
        <v>834</v>
      </c>
      <c r="C463" s="831" t="s">
        <v>3098</v>
      </c>
      <c r="D463" s="831" t="s">
        <v>3099</v>
      </c>
      <c r="E463" s="831" t="s">
        <v>3100</v>
      </c>
      <c r="F463" s="833" t="s">
        <v>3022</v>
      </c>
      <c r="G463" s="833" t="s">
        <v>3023</v>
      </c>
      <c r="H463" s="834" t="s">
        <v>3101</v>
      </c>
    </row>
    <row r="464" spans="1:8">
      <c r="A464" s="835"/>
      <c r="B464" s="835" t="s">
        <v>2821</v>
      </c>
      <c r="C464" s="697">
        <v>107674</v>
      </c>
      <c r="D464" s="697">
        <v>11615645.26</v>
      </c>
      <c r="E464" s="697">
        <v>32</v>
      </c>
      <c r="F464" s="790">
        <f t="shared" ref="F464:F483" si="73">C464/$C$150</f>
        <v>0.354031242499268</v>
      </c>
      <c r="G464" s="790">
        <f t="shared" ref="G464:G483" si="74">D464/$D$150</f>
        <v>0.349992630533374</v>
      </c>
      <c r="H464" s="836">
        <f t="shared" ref="H464:H483" si="75">E464/$E$150</f>
        <v>0.32</v>
      </c>
    </row>
    <row r="465" spans="1:8">
      <c r="A465" s="835"/>
      <c r="B465" s="835" t="s">
        <v>2851</v>
      </c>
      <c r="C465" s="697">
        <v>70118</v>
      </c>
      <c r="D465" s="697">
        <v>7405405.66</v>
      </c>
      <c r="E465" s="697">
        <v>17</v>
      </c>
      <c r="F465" s="790">
        <f t="shared" si="73"/>
        <v>0.230547417775542</v>
      </c>
      <c r="G465" s="790">
        <f t="shared" si="74"/>
        <v>0.223133312794552</v>
      </c>
      <c r="H465" s="836">
        <f t="shared" si="75"/>
        <v>0.17</v>
      </c>
    </row>
    <row r="466" spans="1:8">
      <c r="A466" s="835"/>
      <c r="B466" s="835" t="s">
        <v>2831</v>
      </c>
      <c r="C466" s="697">
        <v>60982</v>
      </c>
      <c r="D466" s="697">
        <v>7868580.583</v>
      </c>
      <c r="E466" s="697">
        <v>16</v>
      </c>
      <c r="F466" s="790">
        <f t="shared" si="73"/>
        <v>0.200508323551557</v>
      </c>
      <c r="G466" s="790">
        <f t="shared" si="74"/>
        <v>0.237089301124887</v>
      </c>
      <c r="H466" s="836">
        <f t="shared" si="75"/>
        <v>0.16</v>
      </c>
    </row>
    <row r="467" spans="1:8">
      <c r="A467" s="835"/>
      <c r="B467" s="835" t="s">
        <v>2917</v>
      </c>
      <c r="C467" s="697">
        <v>18285</v>
      </c>
      <c r="D467" s="697">
        <v>948783.21</v>
      </c>
      <c r="E467" s="697">
        <v>3</v>
      </c>
      <c r="F467" s="790">
        <f t="shared" si="73"/>
        <v>0.0601209323429902</v>
      </c>
      <c r="G467" s="790">
        <f t="shared" si="74"/>
        <v>0.0285879194862567</v>
      </c>
      <c r="H467" s="836">
        <f t="shared" si="75"/>
        <v>0.03</v>
      </c>
    </row>
    <row r="468" spans="1:8">
      <c r="A468" s="835"/>
      <c r="B468" s="835" t="s">
        <v>2883</v>
      </c>
      <c r="C468" s="697">
        <v>17458</v>
      </c>
      <c r="D468" s="697">
        <v>2115588.588</v>
      </c>
      <c r="E468" s="697">
        <v>16</v>
      </c>
      <c r="F468" s="790">
        <f t="shared" si="73"/>
        <v>0.05740176302127</v>
      </c>
      <c r="G468" s="790">
        <f t="shared" si="74"/>
        <v>0.0637450953835781</v>
      </c>
      <c r="H468" s="836">
        <f t="shared" si="75"/>
        <v>0.16</v>
      </c>
    </row>
    <row r="469" spans="1:8">
      <c r="A469" s="835"/>
      <c r="B469" s="835" t="s">
        <v>2900</v>
      </c>
      <c r="C469" s="697">
        <v>15014</v>
      </c>
      <c r="D469" s="697">
        <v>1899717.414</v>
      </c>
      <c r="E469" s="697">
        <v>12</v>
      </c>
      <c r="F469" s="790">
        <f t="shared" si="73"/>
        <v>0.0493659107573232</v>
      </c>
      <c r="G469" s="790">
        <f t="shared" si="74"/>
        <v>0.0572406508733136</v>
      </c>
      <c r="H469" s="836">
        <f t="shared" si="75"/>
        <v>0.12</v>
      </c>
    </row>
    <row r="470" spans="1:8">
      <c r="A470" s="835"/>
      <c r="B470" s="835" t="s">
        <v>2867</v>
      </c>
      <c r="C470" s="697">
        <v>14606</v>
      </c>
      <c r="D470" s="697">
        <v>1334535.97</v>
      </c>
      <c r="E470" s="697">
        <v>4</v>
      </c>
      <c r="F470" s="790">
        <f t="shared" si="73"/>
        <v>0.0480244100520489</v>
      </c>
      <c r="G470" s="790">
        <f t="shared" si="74"/>
        <v>0.040211089804038</v>
      </c>
      <c r="H470" s="836">
        <f t="shared" si="75"/>
        <v>0.04</v>
      </c>
    </row>
    <row r="471" spans="1:8">
      <c r="A471" s="835"/>
      <c r="B471" s="835" t="s">
        <v>3102</v>
      </c>
      <c r="C471" s="697">
        <v>304137</v>
      </c>
      <c r="D471" s="697">
        <v>33188256.685</v>
      </c>
      <c r="E471" s="697">
        <v>100</v>
      </c>
      <c r="F471" s="790">
        <f t="shared" si="73"/>
        <v>1</v>
      </c>
      <c r="G471" s="790">
        <f t="shared" si="74"/>
        <v>1</v>
      </c>
      <c r="H471" s="836">
        <f t="shared" si="75"/>
        <v>1</v>
      </c>
    </row>
    <row r="472" spans="1:8">
      <c r="B472" s="853" t="s">
        <v>3139</v>
      </c>
      <c r="C472" s="838"/>
      <c r="D472" s="839"/>
      <c r="E472" s="840"/>
      <c r="F472" s="840"/>
      <c r="G472" s="840"/>
      <c r="H472" s="841"/>
    </row>
    <row r="473" spans="1:8">
      <c r="B473" s="844"/>
      <c r="C473" s="838"/>
      <c r="D473" s="839"/>
      <c r="E473" s="840"/>
      <c r="F473" s="840"/>
      <c r="G473" s="840"/>
      <c r="H473" s="841"/>
    </row>
    <row r="474" spans="1:8">
      <c r="B474" s="844"/>
      <c r="C474" s="838"/>
      <c r="D474" s="839"/>
      <c r="E474" s="840"/>
      <c r="F474" s="840"/>
      <c r="G474" s="840"/>
      <c r="H474" s="841"/>
    </row>
    <row r="475" spans="1:8">
      <c r="B475" s="844"/>
      <c r="C475" s="838"/>
      <c r="D475" s="839"/>
      <c r="E475" s="840"/>
      <c r="F475" s="840"/>
      <c r="G475" s="840"/>
      <c r="H475" s="841"/>
    </row>
    <row r="476" spans="1:8">
      <c r="B476" s="844"/>
      <c r="C476" s="838"/>
      <c r="D476" s="839"/>
      <c r="E476" s="840"/>
      <c r="F476" s="840"/>
      <c r="G476" s="840"/>
      <c r="H476" s="841"/>
    </row>
    <row r="477" spans="1:8">
      <c r="B477" s="847"/>
      <c r="C477" s="848"/>
      <c r="D477" s="849"/>
      <c r="E477" s="850"/>
      <c r="F477" s="850"/>
      <c r="G477" s="850"/>
      <c r="H477" s="851"/>
    </row>
    <row r="479" ht="17.25" spans="1:8">
      <c r="A479" s="829" t="s">
        <v>3140</v>
      </c>
      <c r="B479" s="830" t="s">
        <v>2806</v>
      </c>
      <c r="C479" s="831" t="s">
        <v>3098</v>
      </c>
      <c r="D479" s="831" t="s">
        <v>3099</v>
      </c>
      <c r="E479" s="831" t="s">
        <v>3100</v>
      </c>
      <c r="F479" s="833" t="s">
        <v>3022</v>
      </c>
      <c r="G479" s="833" t="s">
        <v>3023</v>
      </c>
      <c r="H479" s="834" t="s">
        <v>3101</v>
      </c>
    </row>
    <row r="480" spans="1:8">
      <c r="A480" s="835"/>
      <c r="B480" s="835" t="s">
        <v>2822</v>
      </c>
      <c r="C480" s="697">
        <v>229720</v>
      </c>
      <c r="D480" s="697">
        <v>24969009.878</v>
      </c>
      <c r="E480" s="697">
        <v>46</v>
      </c>
      <c r="F480" s="790">
        <f t="shared" ref="F480:F487" si="76">C480/$C$150</f>
        <v>0.755317504940208</v>
      </c>
      <c r="G480" s="790">
        <f t="shared" ref="G480:G487" si="77">D480/$D$150</f>
        <v>0.752344725876643</v>
      </c>
      <c r="H480" s="836">
        <f t="shared" ref="H480:H487" si="78">E480/$E$150</f>
        <v>0.46</v>
      </c>
    </row>
    <row r="481" spans="1:8">
      <c r="A481" s="835"/>
      <c r="B481" s="835" t="s">
        <v>2865</v>
      </c>
      <c r="C481" s="697">
        <v>60842</v>
      </c>
      <c r="D481" s="697">
        <v>7346053.674</v>
      </c>
      <c r="E481" s="697">
        <v>41</v>
      </c>
      <c r="F481" s="790">
        <f t="shared" si="76"/>
        <v>0.2000480046821</v>
      </c>
      <c r="G481" s="790">
        <f t="shared" si="77"/>
        <v>0.221344969810366</v>
      </c>
      <c r="H481" s="836">
        <f t="shared" si="78"/>
        <v>0.41</v>
      </c>
    </row>
    <row r="482" spans="1:8">
      <c r="A482" s="835"/>
      <c r="B482" s="835" t="s">
        <v>2930</v>
      </c>
      <c r="C482" s="697">
        <v>7395</v>
      </c>
      <c r="D482" s="697">
        <v>594752.473</v>
      </c>
      <c r="E482" s="697">
        <v>8</v>
      </c>
      <c r="F482" s="790">
        <f t="shared" si="76"/>
        <v>0.0243147002830961</v>
      </c>
      <c r="G482" s="790">
        <f t="shared" si="77"/>
        <v>0.0179205698764168</v>
      </c>
      <c r="H482" s="836">
        <f t="shared" si="78"/>
        <v>0.08</v>
      </c>
    </row>
    <row r="483" spans="1:8">
      <c r="A483" s="835"/>
      <c r="B483" s="835" t="s">
        <v>3007</v>
      </c>
      <c r="C483" s="697">
        <v>3836</v>
      </c>
      <c r="D483" s="697">
        <v>22478.96</v>
      </c>
      <c r="E483" s="697">
        <v>1</v>
      </c>
      <c r="F483" s="790">
        <f t="shared" si="76"/>
        <v>0.0126127370231179</v>
      </c>
      <c r="G483" s="790">
        <f t="shared" si="77"/>
        <v>0.000677316685035757</v>
      </c>
      <c r="H483" s="836">
        <f t="shared" si="78"/>
        <v>0.01</v>
      </c>
    </row>
    <row r="484" spans="1:8">
      <c r="A484" s="835"/>
      <c r="B484" s="835" t="s">
        <v>2993</v>
      </c>
      <c r="C484" s="697">
        <v>1491</v>
      </c>
      <c r="D484" s="697">
        <v>178604.19</v>
      </c>
      <c r="E484" s="697">
        <v>2</v>
      </c>
      <c r="F484" s="790">
        <f t="shared" si="76"/>
        <v>0.00490239595971552</v>
      </c>
      <c r="G484" s="790">
        <f t="shared" si="77"/>
        <v>0.00538154780756301</v>
      </c>
      <c r="H484" s="836">
        <f t="shared" si="78"/>
        <v>0.02</v>
      </c>
    </row>
    <row r="485" spans="1:8">
      <c r="A485" s="835"/>
      <c r="B485" s="835" t="s">
        <v>2933</v>
      </c>
      <c r="C485" s="697">
        <v>853</v>
      </c>
      <c r="D485" s="697">
        <v>77357.51</v>
      </c>
      <c r="E485" s="697">
        <v>2</v>
      </c>
      <c r="F485" s="790">
        <f t="shared" si="76"/>
        <v>0.00280465711176213</v>
      </c>
      <c r="G485" s="790">
        <f t="shared" si="77"/>
        <v>0.00233086994397518</v>
      </c>
      <c r="H485" s="836">
        <f t="shared" si="78"/>
        <v>0.02</v>
      </c>
    </row>
    <row r="486" spans="1:8">
      <c r="A486" s="835"/>
      <c r="B486" s="835" t="s">
        <v>3102</v>
      </c>
      <c r="C486" s="697">
        <v>304137</v>
      </c>
      <c r="D486" s="697">
        <v>33188256.685</v>
      </c>
      <c r="E486" s="697">
        <v>100</v>
      </c>
      <c r="F486" s="790">
        <f t="shared" si="76"/>
        <v>1</v>
      </c>
      <c r="G486" s="790">
        <f t="shared" si="77"/>
        <v>1</v>
      </c>
      <c r="H486" s="836">
        <f t="shared" si="78"/>
        <v>1</v>
      </c>
    </row>
    <row r="487" spans="1:8">
      <c r="B487" s="853" t="s">
        <v>3141</v>
      </c>
      <c r="C487" s="838"/>
      <c r="D487" s="839"/>
      <c r="E487" s="840"/>
      <c r="F487" s="840"/>
      <c r="G487" s="840"/>
      <c r="H487" s="841"/>
    </row>
    <row r="488" spans="1:8">
      <c r="B488" s="844"/>
      <c r="C488" s="838"/>
      <c r="D488" s="839"/>
      <c r="E488" s="840"/>
      <c r="F488" s="840"/>
      <c r="G488" s="840"/>
      <c r="H488" s="841"/>
    </row>
    <row r="489" spans="1:8">
      <c r="B489" s="844"/>
      <c r="C489" s="838"/>
      <c r="D489" s="839"/>
      <c r="E489" s="840"/>
      <c r="F489" s="840"/>
      <c r="G489" s="840"/>
      <c r="H489" s="841"/>
    </row>
    <row r="490" spans="1:8">
      <c r="B490" s="844"/>
      <c r="C490" s="838"/>
      <c r="D490" s="839"/>
      <c r="E490" s="840"/>
      <c r="F490" s="840"/>
      <c r="G490" s="840"/>
      <c r="H490" s="841"/>
    </row>
    <row r="491" spans="1:8">
      <c r="B491" s="844"/>
      <c r="C491" s="838"/>
      <c r="D491" s="839"/>
      <c r="E491" s="840"/>
      <c r="F491" s="840"/>
      <c r="G491" s="840"/>
      <c r="H491" s="841"/>
    </row>
    <row r="492" spans="1:8">
      <c r="B492" s="847"/>
      <c r="C492" s="848"/>
      <c r="D492" s="849"/>
      <c r="E492" s="850"/>
      <c r="F492" s="850"/>
      <c r="G492" s="850"/>
      <c r="H492" s="851"/>
    </row>
    <row r="494" ht="17.25" spans="1:8">
      <c r="A494" s="829" t="s">
        <v>3142</v>
      </c>
      <c r="B494" s="830" t="s">
        <v>2807</v>
      </c>
      <c r="C494" s="831" t="s">
        <v>3098</v>
      </c>
      <c r="D494" s="831" t="s">
        <v>3099</v>
      </c>
      <c r="E494" s="831" t="s">
        <v>3100</v>
      </c>
      <c r="F494" s="833" t="s">
        <v>3022</v>
      </c>
      <c r="G494" s="833" t="s">
        <v>3023</v>
      </c>
      <c r="H494" s="834" t="s">
        <v>3101</v>
      </c>
    </row>
    <row r="495" spans="1:8">
      <c r="A495" s="835"/>
      <c r="B495" s="835" t="s">
        <v>2823</v>
      </c>
      <c r="C495" s="697">
        <v>269164</v>
      </c>
      <c r="D495" s="697">
        <v>30040930.121</v>
      </c>
      <c r="E495" s="697">
        <v>74</v>
      </c>
      <c r="F495" s="790">
        <f t="shared" ref="F495:F502" si="79">C495/$C$150</f>
        <v>0.885009058417753</v>
      </c>
      <c r="G495" s="790">
        <f t="shared" ref="G495:G502" si="80">D495/$D$150</f>
        <v>0.905167463483477</v>
      </c>
      <c r="H495" s="836">
        <f t="shared" ref="H495:H502" si="81">E495/$E$150</f>
        <v>0.74</v>
      </c>
    </row>
    <row r="496" spans="1:8">
      <c r="A496" s="835"/>
      <c r="B496" s="835" t="s">
        <v>2868</v>
      </c>
      <c r="C496" s="697">
        <v>12028</v>
      </c>
      <c r="D496" s="697">
        <v>841412.661</v>
      </c>
      <c r="E496" s="697">
        <v>5</v>
      </c>
      <c r="F496" s="790">
        <f t="shared" si="79"/>
        <v>0.0395479668701934</v>
      </c>
      <c r="G496" s="790">
        <f t="shared" si="80"/>
        <v>0.0253527224700625</v>
      </c>
      <c r="H496" s="836">
        <f t="shared" si="81"/>
        <v>0.05</v>
      </c>
    </row>
    <row r="497" spans="1:9">
      <c r="A497" s="835"/>
      <c r="B497" s="835" t="s">
        <v>2940</v>
      </c>
      <c r="C497" s="697">
        <v>7056</v>
      </c>
      <c r="D497" s="697">
        <v>708678.353</v>
      </c>
      <c r="E497" s="697">
        <v>8</v>
      </c>
      <c r="F497" s="790">
        <f t="shared" si="79"/>
        <v>0.0232000710206256</v>
      </c>
      <c r="G497" s="790">
        <f t="shared" si="80"/>
        <v>0.0213532864870332</v>
      </c>
      <c r="H497" s="836">
        <f t="shared" si="81"/>
        <v>0.08</v>
      </c>
    </row>
    <row r="498" spans="1:9">
      <c r="A498" s="835"/>
      <c r="B498" s="835" t="s">
        <v>2979</v>
      </c>
      <c r="C498" s="697">
        <v>6163</v>
      </c>
      <c r="D498" s="697">
        <v>305558.82</v>
      </c>
      <c r="E498" s="697">
        <v>4</v>
      </c>
      <c r="F498" s="790">
        <f t="shared" si="79"/>
        <v>0.0202638942318758</v>
      </c>
      <c r="G498" s="790">
        <f t="shared" si="80"/>
        <v>0.00920683550510511</v>
      </c>
      <c r="H498" s="836">
        <f t="shared" si="81"/>
        <v>0.04</v>
      </c>
    </row>
    <row r="499" spans="1:9">
      <c r="A499" s="835"/>
      <c r="B499" s="835" t="s">
        <v>2884</v>
      </c>
      <c r="C499" s="697">
        <v>5591</v>
      </c>
      <c r="D499" s="697">
        <v>534224.08</v>
      </c>
      <c r="E499" s="697">
        <v>3</v>
      </c>
      <c r="F499" s="790">
        <f t="shared" si="79"/>
        <v>0.018383162850952</v>
      </c>
      <c r="G499" s="790">
        <f t="shared" si="80"/>
        <v>0.0160967804085188</v>
      </c>
      <c r="H499" s="836">
        <f t="shared" si="81"/>
        <v>0.03</v>
      </c>
    </row>
    <row r="500" spans="1:9">
      <c r="A500" s="835"/>
      <c r="B500" s="835" t="s">
        <v>2911</v>
      </c>
      <c r="C500" s="697">
        <v>3282</v>
      </c>
      <c r="D500" s="697">
        <v>680095.14</v>
      </c>
      <c r="E500" s="697">
        <v>4</v>
      </c>
      <c r="F500" s="790">
        <f t="shared" si="79"/>
        <v>0.0107911894968386</v>
      </c>
      <c r="G500" s="790">
        <f t="shared" si="80"/>
        <v>0.0204920417018282</v>
      </c>
      <c r="H500" s="836">
        <f t="shared" si="81"/>
        <v>0.04</v>
      </c>
    </row>
    <row r="501" spans="1:9">
      <c r="A501" s="835"/>
      <c r="B501" s="835" t="s">
        <v>2934</v>
      </c>
      <c r="C501" s="697">
        <v>853</v>
      </c>
      <c r="D501" s="697">
        <v>77357.51</v>
      </c>
      <c r="E501" s="697">
        <v>2</v>
      </c>
      <c r="F501" s="790">
        <f t="shared" si="79"/>
        <v>0.00280465711176213</v>
      </c>
      <c r="G501" s="790">
        <f t="shared" si="80"/>
        <v>0.00233086994397518</v>
      </c>
      <c r="H501" s="836">
        <f t="shared" si="81"/>
        <v>0.02</v>
      </c>
    </row>
    <row r="502" spans="1:9">
      <c r="B502" s="835" t="s">
        <v>3102</v>
      </c>
      <c r="C502" s="697">
        <v>304137</v>
      </c>
      <c r="D502" s="697">
        <v>33188256.685</v>
      </c>
      <c r="E502" s="697">
        <v>100</v>
      </c>
      <c r="F502" s="790">
        <f t="shared" si="79"/>
        <v>1</v>
      </c>
      <c r="G502" s="790">
        <f t="shared" si="80"/>
        <v>1</v>
      </c>
      <c r="H502" s="836">
        <f t="shared" si="81"/>
        <v>1</v>
      </c>
    </row>
    <row r="503" spans="1:9">
      <c r="B503" s="853" t="s">
        <v>3143</v>
      </c>
      <c r="C503" s="838"/>
      <c r="D503" s="839"/>
      <c r="E503" s="840"/>
      <c r="F503" s="840"/>
      <c r="G503" s="840"/>
      <c r="H503" s="841"/>
    </row>
    <row r="504" spans="1:9">
      <c r="B504" s="844"/>
      <c r="C504" s="838"/>
      <c r="D504" s="839"/>
      <c r="E504" s="840"/>
      <c r="F504" s="840"/>
      <c r="G504" s="840"/>
      <c r="H504" s="841"/>
    </row>
    <row r="505" spans="1:9">
      <c r="B505" s="844"/>
      <c r="C505" s="838"/>
      <c r="D505" s="839"/>
      <c r="E505" s="840"/>
      <c r="F505" s="840"/>
      <c r="G505" s="840"/>
      <c r="H505" s="841"/>
    </row>
    <row r="506" spans="1:9">
      <c r="B506" s="844"/>
      <c r="C506" s="838"/>
      <c r="D506" s="839"/>
      <c r="E506" s="840"/>
      <c r="F506" s="840"/>
      <c r="G506" s="840"/>
      <c r="H506" s="841"/>
    </row>
    <row r="507" spans="1:9">
      <c r="B507" s="844"/>
      <c r="C507" s="838"/>
      <c r="D507" s="839"/>
      <c r="E507" s="840"/>
      <c r="F507" s="840"/>
      <c r="G507" s="840"/>
      <c r="H507" s="841"/>
    </row>
    <row r="508" spans="1:9">
      <c r="B508" s="847"/>
      <c r="C508" s="848"/>
      <c r="D508" s="849"/>
      <c r="E508" s="850"/>
      <c r="F508" s="850"/>
      <c r="G508" s="850"/>
      <c r="H508" s="851"/>
    </row>
    <row r="510" ht="17.25" spans="1:9">
      <c r="A510" s="829" t="s">
        <v>3144</v>
      </c>
      <c r="B510" s="830" t="s">
        <v>2805</v>
      </c>
      <c r="C510" s="831" t="s">
        <v>815</v>
      </c>
      <c r="D510" s="831" t="s">
        <v>3098</v>
      </c>
      <c r="E510" s="831" t="s">
        <v>3099</v>
      </c>
      <c r="F510" s="831" t="s">
        <v>3100</v>
      </c>
      <c r="G510" s="833" t="s">
        <v>3022</v>
      </c>
      <c r="H510" s="833" t="s">
        <v>3023</v>
      </c>
      <c r="I510" s="834" t="s">
        <v>3101</v>
      </c>
    </row>
    <row r="511" spans="1:9">
      <c r="A511" s="835"/>
      <c r="B511" s="835" t="s">
        <v>2820</v>
      </c>
      <c r="D511" s="697">
        <v>62949</v>
      </c>
      <c r="E511" s="697">
        <v>5650633.572</v>
      </c>
      <c r="F511" s="697">
        <v>9</v>
      </c>
      <c r="G511" s="852">
        <f>D511/$C$150</f>
        <v>0.206975803667426</v>
      </c>
      <c r="H511" s="852">
        <f>E511/$D$150</f>
        <v>0.17026002979403</v>
      </c>
      <c r="I511" s="836">
        <f>F511/$E$150</f>
        <v>0.09</v>
      </c>
    </row>
    <row r="512" spans="1:9">
      <c r="A512" s="835"/>
      <c r="B512" s="835"/>
      <c r="C512" s="869" t="s">
        <v>846</v>
      </c>
      <c r="D512" s="869">
        <v>32023</v>
      </c>
      <c r="E512" s="869">
        <v>2880468.8</v>
      </c>
      <c r="F512" s="869">
        <v>1</v>
      </c>
      <c r="G512" s="852">
        <f t="shared" ref="G512:G543" si="82">D512/$C$150</f>
        <v>0.105291365404407</v>
      </c>
      <c r="H512" s="852">
        <f t="shared" ref="H512:H543" si="83">E512/$D$150</f>
        <v>0.0867918079379529</v>
      </c>
      <c r="I512" s="836">
        <f t="shared" ref="I512:I543" si="84">F512/$E$150</f>
        <v>0.01</v>
      </c>
    </row>
    <row r="513" spans="1:9">
      <c r="A513" s="835"/>
      <c r="B513" s="835"/>
      <c r="C513" s="697" t="s">
        <v>872</v>
      </c>
      <c r="D513" s="697">
        <v>21741</v>
      </c>
      <c r="E513" s="697">
        <v>1956472.5</v>
      </c>
      <c r="F513" s="697">
        <v>1</v>
      </c>
      <c r="G513" s="852">
        <f t="shared" si="82"/>
        <v>0.0714842324347251</v>
      </c>
      <c r="H513" s="852">
        <f t="shared" si="83"/>
        <v>0.0589507463007016</v>
      </c>
      <c r="I513" s="836">
        <f t="shared" si="84"/>
        <v>0.01</v>
      </c>
    </row>
    <row r="514" spans="1:9">
      <c r="A514" s="835"/>
      <c r="B514" s="835"/>
      <c r="C514" s="697" t="s">
        <v>971</v>
      </c>
      <c r="D514" s="697">
        <v>5498</v>
      </c>
      <c r="E514" s="697">
        <v>489816.8</v>
      </c>
      <c r="F514" s="697">
        <v>1</v>
      </c>
      <c r="G514" s="852">
        <f t="shared" si="82"/>
        <v>0.0180773796019557</v>
      </c>
      <c r="H514" s="852">
        <f t="shared" si="83"/>
        <v>0.0147587384492353</v>
      </c>
      <c r="I514" s="836">
        <f t="shared" si="84"/>
        <v>0.01</v>
      </c>
    </row>
    <row r="515" spans="1:9">
      <c r="A515" s="835"/>
      <c r="B515" s="835"/>
      <c r="C515" s="697" t="s">
        <v>1173</v>
      </c>
      <c r="D515" s="697">
        <v>949</v>
      </c>
      <c r="E515" s="697">
        <v>81272.36</v>
      </c>
      <c r="F515" s="697">
        <v>1</v>
      </c>
      <c r="G515" s="852">
        <f t="shared" si="82"/>
        <v>0.00312030433653255</v>
      </c>
      <c r="H515" s="852">
        <f t="shared" si="83"/>
        <v>0.0024488288363978</v>
      </c>
      <c r="I515" s="836">
        <f t="shared" si="84"/>
        <v>0.01</v>
      </c>
    </row>
    <row r="516" spans="1:9">
      <c r="A516" s="835"/>
      <c r="B516" s="835"/>
      <c r="C516" s="697" t="s">
        <v>1479</v>
      </c>
      <c r="D516" s="697">
        <v>882</v>
      </c>
      <c r="E516" s="697">
        <v>88191.18</v>
      </c>
      <c r="F516" s="697">
        <v>1</v>
      </c>
      <c r="G516" s="852">
        <f t="shared" si="82"/>
        <v>0.0029000088775782</v>
      </c>
      <c r="H516" s="852">
        <f t="shared" si="83"/>
        <v>0.00265730076867398</v>
      </c>
      <c r="I516" s="836">
        <f t="shared" si="84"/>
        <v>0.01</v>
      </c>
    </row>
    <row r="517" spans="1:9">
      <c r="A517" s="835"/>
      <c r="B517" s="835"/>
      <c r="C517" s="697" t="s">
        <v>1302</v>
      </c>
      <c r="D517" s="697">
        <v>555</v>
      </c>
      <c r="E517" s="697">
        <v>49944.45</v>
      </c>
      <c r="F517" s="697">
        <v>1</v>
      </c>
      <c r="G517" s="852">
        <f t="shared" si="82"/>
        <v>0.00182483551820397</v>
      </c>
      <c r="H517" s="852">
        <f t="shared" si="83"/>
        <v>0.00150488320233383</v>
      </c>
      <c r="I517" s="836">
        <f t="shared" si="84"/>
        <v>0.01</v>
      </c>
    </row>
    <row r="518" spans="1:9">
      <c r="A518" s="835"/>
      <c r="B518" s="835"/>
      <c r="C518" s="697" t="s">
        <v>954</v>
      </c>
      <c r="D518" s="697">
        <v>531</v>
      </c>
      <c r="E518" s="697">
        <v>43127.82</v>
      </c>
      <c r="F518" s="697">
        <v>1</v>
      </c>
      <c r="G518" s="852">
        <f t="shared" si="82"/>
        <v>0.00174592371201136</v>
      </c>
      <c r="H518" s="852">
        <f t="shared" si="83"/>
        <v>0.00129949037122798</v>
      </c>
      <c r="I518" s="836">
        <f t="shared" si="84"/>
        <v>0.01</v>
      </c>
    </row>
    <row r="519" spans="1:9">
      <c r="A519" s="835"/>
      <c r="B519" s="835"/>
      <c r="C519" s="697" t="s">
        <v>1408</v>
      </c>
      <c r="D519" s="697">
        <v>398</v>
      </c>
      <c r="E519" s="697">
        <v>33833.98</v>
      </c>
      <c r="F519" s="697">
        <v>1</v>
      </c>
      <c r="G519" s="852">
        <f t="shared" si="82"/>
        <v>0.00130862078602735</v>
      </c>
      <c r="H519" s="852">
        <f t="shared" si="83"/>
        <v>0.00101945637943953</v>
      </c>
      <c r="I519" s="836">
        <f t="shared" si="84"/>
        <v>0.01</v>
      </c>
    </row>
    <row r="520" spans="1:9">
      <c r="A520" s="835"/>
      <c r="B520" s="835"/>
      <c r="C520" s="697" t="s">
        <v>1755</v>
      </c>
      <c r="D520" s="697">
        <v>372</v>
      </c>
      <c r="E520" s="697">
        <v>27505.682</v>
      </c>
      <c r="F520" s="697">
        <v>1</v>
      </c>
      <c r="G520" s="852">
        <f t="shared" si="82"/>
        <v>0.00122313299598536</v>
      </c>
      <c r="H520" s="852">
        <f t="shared" si="83"/>
        <v>0.000828777548066623</v>
      </c>
      <c r="I520" s="836">
        <f t="shared" si="84"/>
        <v>0.01</v>
      </c>
    </row>
    <row r="521" spans="1:9">
      <c r="A521" s="835"/>
      <c r="B521" s="835" t="s">
        <v>2840</v>
      </c>
      <c r="D521" s="697">
        <v>47906</v>
      </c>
      <c r="E521" s="697">
        <v>5244223.682</v>
      </c>
      <c r="F521" s="697">
        <v>9</v>
      </c>
      <c r="G521" s="852">
        <f t="shared" si="82"/>
        <v>0.157514541144287</v>
      </c>
      <c r="H521" s="852">
        <f t="shared" si="83"/>
        <v>0.15801443660553</v>
      </c>
      <c r="I521" s="836">
        <f t="shared" si="84"/>
        <v>0.09</v>
      </c>
    </row>
    <row r="522" spans="1:9">
      <c r="A522" s="835"/>
      <c r="B522" s="835"/>
      <c r="C522" s="855" t="s">
        <v>861</v>
      </c>
      <c r="D522" s="855">
        <v>22241</v>
      </c>
      <c r="E522" s="855">
        <v>2445856.56</v>
      </c>
      <c r="F522" s="855">
        <v>2</v>
      </c>
      <c r="G522" s="852">
        <f t="shared" si="82"/>
        <v>0.0731282283970711</v>
      </c>
      <c r="H522" s="852">
        <f t="shared" si="83"/>
        <v>0.0736964458005246</v>
      </c>
      <c r="I522" s="836">
        <f t="shared" si="84"/>
        <v>0.02</v>
      </c>
    </row>
    <row r="523" spans="1:9">
      <c r="A523" s="835"/>
      <c r="B523" s="835"/>
      <c r="C523" s="697" t="s">
        <v>872</v>
      </c>
      <c r="D523" s="697">
        <v>21275</v>
      </c>
      <c r="E523" s="697">
        <v>2339186.2</v>
      </c>
      <c r="F523" s="697">
        <v>2</v>
      </c>
      <c r="G523" s="852">
        <f t="shared" si="82"/>
        <v>0.0699520281978187</v>
      </c>
      <c r="H523" s="852">
        <f t="shared" si="83"/>
        <v>0.0704823462769358</v>
      </c>
      <c r="I523" s="836">
        <f t="shared" si="84"/>
        <v>0.02</v>
      </c>
    </row>
    <row r="524" spans="1:9">
      <c r="A524" s="835"/>
      <c r="B524" s="835"/>
      <c r="C524" s="697" t="s">
        <v>971</v>
      </c>
      <c r="D524" s="697">
        <v>2581</v>
      </c>
      <c r="E524" s="697">
        <v>268424</v>
      </c>
      <c r="F524" s="697">
        <v>2</v>
      </c>
      <c r="G524" s="852">
        <f t="shared" si="82"/>
        <v>0.00848630715762962</v>
      </c>
      <c r="H524" s="852">
        <f t="shared" si="83"/>
        <v>0.00808792105435652</v>
      </c>
      <c r="I524" s="836">
        <f t="shared" si="84"/>
        <v>0.02</v>
      </c>
    </row>
    <row r="525" spans="1:9">
      <c r="A525" s="787"/>
      <c r="B525" s="835"/>
      <c r="C525" s="697" t="s">
        <v>1408</v>
      </c>
      <c r="D525" s="697">
        <v>958</v>
      </c>
      <c r="E525" s="697">
        <v>97155.438</v>
      </c>
      <c r="F525" s="697">
        <v>2</v>
      </c>
      <c r="G525" s="852">
        <f t="shared" si="82"/>
        <v>0.00314989626385478</v>
      </c>
      <c r="H525" s="852">
        <f t="shared" si="83"/>
        <v>0.00292740407916367</v>
      </c>
      <c r="I525" s="836">
        <f t="shared" si="84"/>
        <v>0.02</v>
      </c>
    </row>
    <row r="526" spans="1:9">
      <c r="B526" s="835"/>
      <c r="C526" s="697" t="s">
        <v>1920</v>
      </c>
      <c r="D526" s="697">
        <v>851</v>
      </c>
      <c r="E526" s="697">
        <v>93601.484</v>
      </c>
      <c r="F526" s="697">
        <v>1</v>
      </c>
      <c r="G526" s="852">
        <f t="shared" si="82"/>
        <v>0.00279808112791275</v>
      </c>
      <c r="H526" s="852">
        <f t="shared" si="83"/>
        <v>0.00282031939454972</v>
      </c>
      <c r="I526" s="836">
        <f t="shared" si="84"/>
        <v>0.01</v>
      </c>
    </row>
    <row r="527" spans="1:9">
      <c r="B527" s="835" t="s">
        <v>2830</v>
      </c>
      <c r="D527" s="697">
        <v>30081</v>
      </c>
      <c r="E527" s="697">
        <v>2536849.225</v>
      </c>
      <c r="F527" s="697">
        <v>7</v>
      </c>
      <c r="G527" s="852">
        <f t="shared" si="82"/>
        <v>0.098906085086655</v>
      </c>
      <c r="H527" s="852">
        <f t="shared" si="83"/>
        <v>0.0764381585052213</v>
      </c>
      <c r="I527" s="836">
        <f t="shared" si="84"/>
        <v>0.07</v>
      </c>
    </row>
    <row r="528" spans="1:9">
      <c r="B528" s="835"/>
      <c r="C528" s="855" t="s">
        <v>861</v>
      </c>
      <c r="D528" s="855">
        <v>23043</v>
      </c>
      <c r="E528" s="855">
        <v>1842979.2</v>
      </c>
      <c r="F528" s="855">
        <v>1</v>
      </c>
      <c r="G528" s="852">
        <f t="shared" si="82"/>
        <v>0.0757651979206739</v>
      </c>
      <c r="H528" s="852">
        <f t="shared" si="83"/>
        <v>0.0555310638185152</v>
      </c>
      <c r="I528" s="836">
        <f t="shared" si="84"/>
        <v>0.01</v>
      </c>
    </row>
    <row r="529" spans="2:9">
      <c r="B529" s="835"/>
      <c r="C529" s="697" t="s">
        <v>1059</v>
      </c>
      <c r="D529" s="697">
        <v>4160</v>
      </c>
      <c r="E529" s="697">
        <v>415958.395</v>
      </c>
      <c r="F529" s="697">
        <v>2</v>
      </c>
      <c r="G529" s="852">
        <f t="shared" si="82"/>
        <v>0.013678046406718</v>
      </c>
      <c r="H529" s="852">
        <f t="shared" si="83"/>
        <v>0.0125333005269903</v>
      </c>
      <c r="I529" s="836">
        <f t="shared" si="84"/>
        <v>0.02</v>
      </c>
    </row>
    <row r="530" spans="2:9">
      <c r="B530" s="835"/>
      <c r="C530" s="697" t="s">
        <v>1323</v>
      </c>
      <c r="D530" s="697">
        <v>936</v>
      </c>
      <c r="E530" s="697">
        <v>93590.64</v>
      </c>
      <c r="F530" s="697">
        <v>1</v>
      </c>
      <c r="G530" s="852">
        <f t="shared" si="82"/>
        <v>0.00307756044151156</v>
      </c>
      <c r="H530" s="852">
        <f t="shared" si="83"/>
        <v>0.00281999265247035</v>
      </c>
      <c r="I530" s="836">
        <f t="shared" si="84"/>
        <v>0.01</v>
      </c>
    </row>
    <row r="531" spans="2:9">
      <c r="B531" s="835"/>
      <c r="C531" s="697" t="s">
        <v>954</v>
      </c>
      <c r="D531" s="697">
        <v>891</v>
      </c>
      <c r="E531" s="697">
        <v>80635.5</v>
      </c>
      <c r="F531" s="697">
        <v>1</v>
      </c>
      <c r="G531" s="852">
        <f t="shared" si="82"/>
        <v>0.00292960080490042</v>
      </c>
      <c r="H531" s="852">
        <f t="shared" si="83"/>
        <v>0.00242963951874112</v>
      </c>
      <c r="I531" s="836">
        <f t="shared" si="84"/>
        <v>0.01</v>
      </c>
    </row>
    <row r="532" spans="2:9">
      <c r="B532" s="835"/>
      <c r="C532" s="697" t="s">
        <v>1511</v>
      </c>
      <c r="D532" s="697">
        <v>817</v>
      </c>
      <c r="E532" s="697">
        <v>81691.83</v>
      </c>
      <c r="F532" s="697">
        <v>1</v>
      </c>
      <c r="G532" s="852">
        <f t="shared" si="82"/>
        <v>0.00268628940247323</v>
      </c>
      <c r="H532" s="852">
        <f t="shared" si="83"/>
        <v>0.00246146794558577</v>
      </c>
      <c r="I532" s="836">
        <f t="shared" si="84"/>
        <v>0.01</v>
      </c>
    </row>
    <row r="533" spans="2:9">
      <c r="B533" s="835"/>
      <c r="C533" s="697" t="s">
        <v>1408</v>
      </c>
      <c r="D533" s="697">
        <v>234</v>
      </c>
      <c r="E533" s="697">
        <v>21993.66</v>
      </c>
      <c r="F533" s="697">
        <v>1</v>
      </c>
      <c r="G533" s="852">
        <f t="shared" si="82"/>
        <v>0.000769390110377889</v>
      </c>
      <c r="H533" s="852">
        <f t="shared" si="83"/>
        <v>0.000662694042918513</v>
      </c>
      <c r="I533" s="836">
        <f t="shared" si="84"/>
        <v>0.01</v>
      </c>
    </row>
    <row r="534" spans="2:9">
      <c r="B534" s="835" t="s">
        <v>2916</v>
      </c>
      <c r="D534" s="697">
        <v>22156</v>
      </c>
      <c r="E534" s="697">
        <v>1094253.623</v>
      </c>
      <c r="F534" s="697">
        <v>6</v>
      </c>
      <c r="G534" s="852">
        <f t="shared" si="82"/>
        <v>0.0728487490834722</v>
      </c>
      <c r="H534" s="852">
        <f t="shared" si="83"/>
        <v>0.0329711088288216</v>
      </c>
      <c r="I534" s="836">
        <f t="shared" si="84"/>
        <v>0.06</v>
      </c>
    </row>
    <row r="535" spans="2:9">
      <c r="B535" s="835"/>
      <c r="C535" s="855" t="s">
        <v>861</v>
      </c>
      <c r="D535" s="855">
        <v>17432</v>
      </c>
      <c r="E535" s="855">
        <v>871425.7</v>
      </c>
      <c r="F535" s="855">
        <v>1</v>
      </c>
      <c r="G535" s="852">
        <f t="shared" si="82"/>
        <v>0.057316275231228</v>
      </c>
      <c r="H535" s="852">
        <f t="shared" si="83"/>
        <v>0.0262570495422815</v>
      </c>
      <c r="I535" s="836">
        <f t="shared" si="84"/>
        <v>0.01</v>
      </c>
    </row>
    <row r="536" spans="2:9">
      <c r="B536" s="835"/>
      <c r="C536" s="697" t="s">
        <v>1282</v>
      </c>
      <c r="D536" s="697">
        <v>1962</v>
      </c>
      <c r="E536" s="697">
        <v>88074.18</v>
      </c>
      <c r="F536" s="697">
        <v>1</v>
      </c>
      <c r="G536" s="852">
        <f t="shared" si="82"/>
        <v>0.00645104015624538</v>
      </c>
      <c r="H536" s="852">
        <f t="shared" si="83"/>
        <v>0.00265377542532406</v>
      </c>
      <c r="I536" s="836">
        <f t="shared" si="84"/>
        <v>0.01</v>
      </c>
    </row>
    <row r="537" spans="2:9">
      <c r="B537" s="835"/>
      <c r="C537" s="697" t="s">
        <v>1059</v>
      </c>
      <c r="D537" s="697">
        <v>1447</v>
      </c>
      <c r="E537" s="697">
        <v>71138.623</v>
      </c>
      <c r="F537" s="697">
        <v>2</v>
      </c>
      <c r="G537" s="852">
        <f t="shared" si="82"/>
        <v>0.00475772431502908</v>
      </c>
      <c r="H537" s="852">
        <f t="shared" si="83"/>
        <v>0.00214348779073269</v>
      </c>
      <c r="I537" s="836">
        <f t="shared" si="84"/>
        <v>0.02</v>
      </c>
    </row>
    <row r="538" spans="2:9">
      <c r="B538" s="835"/>
      <c r="C538" s="697" t="s">
        <v>931</v>
      </c>
      <c r="D538" s="697">
        <v>1006</v>
      </c>
      <c r="E538" s="697">
        <v>48257.82</v>
      </c>
      <c r="F538" s="697">
        <v>1</v>
      </c>
      <c r="G538" s="852">
        <f t="shared" si="82"/>
        <v>0.00330771987623998</v>
      </c>
      <c r="H538" s="852">
        <f t="shared" si="83"/>
        <v>0.00145406311810921</v>
      </c>
      <c r="I538" s="836">
        <f t="shared" si="84"/>
        <v>0.01</v>
      </c>
    </row>
    <row r="539" spans="2:9">
      <c r="B539" s="835"/>
      <c r="C539" s="697" t="s">
        <v>1932</v>
      </c>
      <c r="D539" s="697">
        <v>309</v>
      </c>
      <c r="E539" s="697">
        <v>15357.3</v>
      </c>
      <c r="F539" s="697">
        <v>1</v>
      </c>
      <c r="G539" s="852">
        <f t="shared" si="82"/>
        <v>0.00101598950472978</v>
      </c>
      <c r="H539" s="852">
        <f t="shared" si="83"/>
        <v>0.000462732952374115</v>
      </c>
      <c r="I539" s="836">
        <f t="shared" si="84"/>
        <v>0.01</v>
      </c>
    </row>
    <row r="540" spans="2:9">
      <c r="B540" s="835" t="s">
        <v>2857</v>
      </c>
      <c r="D540" s="697">
        <v>21766</v>
      </c>
      <c r="E540" s="697">
        <v>4931042.56</v>
      </c>
      <c r="F540" s="697">
        <v>7</v>
      </c>
      <c r="G540" s="852">
        <f t="shared" si="82"/>
        <v>0.0715664322328424</v>
      </c>
      <c r="H540" s="852">
        <f t="shared" si="83"/>
        <v>0.1485779324537</v>
      </c>
      <c r="I540" s="836">
        <f t="shared" si="84"/>
        <v>0.07</v>
      </c>
    </row>
    <row r="541" spans="2:9">
      <c r="B541" s="835"/>
      <c r="C541" s="869" t="s">
        <v>846</v>
      </c>
      <c r="D541" s="869">
        <v>15456</v>
      </c>
      <c r="E541" s="869">
        <v>3177574.18</v>
      </c>
      <c r="F541" s="869">
        <v>3</v>
      </c>
      <c r="G541" s="852">
        <f t="shared" si="82"/>
        <v>0.050819203188037</v>
      </c>
      <c r="H541" s="852">
        <f t="shared" si="83"/>
        <v>0.0957439316611095</v>
      </c>
      <c r="I541" s="836">
        <f t="shared" si="84"/>
        <v>0.03</v>
      </c>
    </row>
    <row r="542" spans="2:9">
      <c r="B542" s="835"/>
      <c r="C542" s="697" t="s">
        <v>1026</v>
      </c>
      <c r="D542" s="697">
        <v>2970</v>
      </c>
      <c r="E542" s="697">
        <v>858330</v>
      </c>
      <c r="F542" s="697">
        <v>1</v>
      </c>
      <c r="G542" s="852">
        <f t="shared" si="82"/>
        <v>0.00976533601633474</v>
      </c>
      <c r="H542" s="852">
        <f t="shared" si="83"/>
        <v>0.02586246117555</v>
      </c>
      <c r="I542" s="836">
        <f t="shared" si="84"/>
        <v>0.01</v>
      </c>
    </row>
    <row r="543" spans="2:9">
      <c r="B543" s="835"/>
      <c r="C543" s="697" t="s">
        <v>1094</v>
      </c>
      <c r="D543" s="697">
        <v>2153</v>
      </c>
      <c r="E543" s="697">
        <v>516698.47</v>
      </c>
      <c r="F543" s="697">
        <v>1</v>
      </c>
      <c r="G543" s="852">
        <f t="shared" si="82"/>
        <v>0.00707904661386152</v>
      </c>
      <c r="H543" s="852">
        <f t="shared" si="83"/>
        <v>0.0155687138045287</v>
      </c>
      <c r="I543" s="836">
        <f t="shared" si="84"/>
        <v>0.01</v>
      </c>
    </row>
    <row r="544" spans="2:9">
      <c r="B544" s="835"/>
      <c r="C544" s="697" t="s">
        <v>1843</v>
      </c>
      <c r="D544" s="697">
        <v>956</v>
      </c>
      <c r="E544" s="697">
        <v>334552.22</v>
      </c>
      <c r="F544" s="697">
        <v>1</v>
      </c>
      <c r="G544" s="852">
        <f t="shared" ref="G544:G575" si="85">D544/$C$150</f>
        <v>0.00314332028000539</v>
      </c>
      <c r="H544" s="852">
        <f t="shared" ref="H544:H575" si="86">E544/$D$150</f>
        <v>0.0100804396921278</v>
      </c>
      <c r="I544" s="836">
        <f t="shared" ref="I544:I575" si="87">F544/$E$150</f>
        <v>0.01</v>
      </c>
    </row>
    <row r="545" spans="2:9">
      <c r="B545" s="835"/>
      <c r="C545" s="697" t="s">
        <v>1715</v>
      </c>
      <c r="D545" s="697">
        <v>231</v>
      </c>
      <c r="E545" s="697">
        <v>43887.69</v>
      </c>
      <c r="F545" s="697">
        <v>1</v>
      </c>
      <c r="G545" s="852">
        <f t="shared" si="85"/>
        <v>0.000759526134603813</v>
      </c>
      <c r="H545" s="852">
        <f t="shared" si="86"/>
        <v>0.00132238612038444</v>
      </c>
      <c r="I545" s="836">
        <f t="shared" si="87"/>
        <v>0.01</v>
      </c>
    </row>
    <row r="546" spans="2:9">
      <c r="B546" s="835" t="s">
        <v>2882</v>
      </c>
      <c r="D546" s="697">
        <v>20334</v>
      </c>
      <c r="E546" s="697">
        <v>1415899.706</v>
      </c>
      <c r="F546" s="697">
        <v>10</v>
      </c>
      <c r="G546" s="852">
        <f t="shared" si="85"/>
        <v>0.0668580277966837</v>
      </c>
      <c r="H546" s="852">
        <f t="shared" si="86"/>
        <v>0.042662671903461</v>
      </c>
      <c r="I546" s="836">
        <f t="shared" si="87"/>
        <v>0.1</v>
      </c>
    </row>
    <row r="547" spans="2:9">
      <c r="B547" s="835"/>
      <c r="C547" s="697" t="s">
        <v>991</v>
      </c>
      <c r="D547" s="697">
        <v>4279</v>
      </c>
      <c r="E547" s="697">
        <v>342277.2</v>
      </c>
      <c r="F547" s="697">
        <v>1</v>
      </c>
      <c r="G547" s="852">
        <f t="shared" si="85"/>
        <v>0.0140693174457564</v>
      </c>
      <c r="H547" s="852">
        <f t="shared" si="86"/>
        <v>0.0103132021440192</v>
      </c>
      <c r="I547" s="836">
        <f t="shared" si="87"/>
        <v>0.01</v>
      </c>
    </row>
    <row r="548" spans="2:9">
      <c r="B548" s="835"/>
      <c r="C548" s="697" t="s">
        <v>1152</v>
      </c>
      <c r="D548" s="697">
        <v>3991</v>
      </c>
      <c r="E548" s="697">
        <v>279330.1</v>
      </c>
      <c r="F548" s="697">
        <v>1</v>
      </c>
      <c r="G548" s="852">
        <f t="shared" si="85"/>
        <v>0.0131223757714451</v>
      </c>
      <c r="H548" s="852">
        <f t="shared" si="86"/>
        <v>0.0084165342775069</v>
      </c>
      <c r="I548" s="836">
        <f t="shared" si="87"/>
        <v>0.01</v>
      </c>
    </row>
    <row r="549" spans="2:9">
      <c r="B549" s="835"/>
      <c r="C549" s="697" t="s">
        <v>1173</v>
      </c>
      <c r="D549" s="697">
        <v>3272</v>
      </c>
      <c r="E549" s="697">
        <v>206109.68</v>
      </c>
      <c r="F549" s="697">
        <v>2</v>
      </c>
      <c r="G549" s="852">
        <f t="shared" si="85"/>
        <v>0.0107583095775917</v>
      </c>
      <c r="H549" s="852">
        <f t="shared" si="86"/>
        <v>0.0062103195704508</v>
      </c>
      <c r="I549" s="836">
        <f t="shared" si="87"/>
        <v>0.02</v>
      </c>
    </row>
    <row r="550" spans="2:9">
      <c r="B550" s="835"/>
      <c r="C550" s="697" t="s">
        <v>1799</v>
      </c>
      <c r="D550" s="697">
        <v>3104</v>
      </c>
      <c r="E550" s="697">
        <v>207129.94</v>
      </c>
      <c r="F550" s="697">
        <v>1</v>
      </c>
      <c r="G550" s="852">
        <f t="shared" si="85"/>
        <v>0.0102059269342434</v>
      </c>
      <c r="H550" s="852">
        <f t="shared" si="86"/>
        <v>0.00624106116708492</v>
      </c>
      <c r="I550" s="836">
        <f t="shared" si="87"/>
        <v>0.01</v>
      </c>
    </row>
    <row r="551" spans="2:9">
      <c r="B551" s="835"/>
      <c r="C551" s="697" t="s">
        <v>1189</v>
      </c>
      <c r="D551" s="697">
        <v>2305</v>
      </c>
      <c r="E551" s="697">
        <v>161326.94</v>
      </c>
      <c r="F551" s="697">
        <v>1</v>
      </c>
      <c r="G551" s="852">
        <f t="shared" si="85"/>
        <v>0.00757882138641467</v>
      </c>
      <c r="H551" s="852">
        <f t="shared" si="86"/>
        <v>0.00486096457343945</v>
      </c>
      <c r="I551" s="836">
        <f t="shared" si="87"/>
        <v>0.01</v>
      </c>
    </row>
    <row r="552" spans="2:9">
      <c r="B552" s="835"/>
      <c r="C552" s="697" t="s">
        <v>931</v>
      </c>
      <c r="D552" s="697">
        <v>2032</v>
      </c>
      <c r="E552" s="697">
        <v>132059.67</v>
      </c>
      <c r="F552" s="697">
        <v>1</v>
      </c>
      <c r="G552" s="852">
        <f t="shared" si="85"/>
        <v>0.0066811995909738</v>
      </c>
      <c r="H552" s="852">
        <f t="shared" si="86"/>
        <v>0.00397910837117536</v>
      </c>
      <c r="I552" s="836">
        <f t="shared" si="87"/>
        <v>0.01</v>
      </c>
    </row>
    <row r="553" spans="2:9">
      <c r="B553" s="835"/>
      <c r="C553" s="697" t="s">
        <v>1942</v>
      </c>
      <c r="D553" s="697">
        <v>578</v>
      </c>
      <c r="E553" s="697">
        <v>35830.223</v>
      </c>
      <c r="F553" s="697">
        <v>1</v>
      </c>
      <c r="G553" s="852">
        <f t="shared" si="85"/>
        <v>0.00190045933247188</v>
      </c>
      <c r="H553" s="852">
        <f t="shared" si="86"/>
        <v>0.00107960545623338</v>
      </c>
      <c r="I553" s="836">
        <f t="shared" si="87"/>
        <v>0.01</v>
      </c>
    </row>
    <row r="554" spans="2:9">
      <c r="B554" s="835"/>
      <c r="C554" s="697" t="s">
        <v>1221</v>
      </c>
      <c r="D554" s="697">
        <v>532</v>
      </c>
      <c r="E554" s="697">
        <v>34968.363</v>
      </c>
      <c r="F554" s="697">
        <v>1</v>
      </c>
      <c r="G554" s="852">
        <f t="shared" si="85"/>
        <v>0.00174921170393606</v>
      </c>
      <c r="H554" s="852">
        <f t="shared" si="86"/>
        <v>0.00105363663213454</v>
      </c>
      <c r="I554" s="836">
        <f t="shared" si="87"/>
        <v>0.01</v>
      </c>
    </row>
    <row r="555" spans="2:9">
      <c r="B555" s="835"/>
      <c r="C555" s="697" t="s">
        <v>1833</v>
      </c>
      <c r="D555" s="697">
        <v>241</v>
      </c>
      <c r="E555" s="697">
        <v>16867.59</v>
      </c>
      <c r="F555" s="697">
        <v>1</v>
      </c>
      <c r="G555" s="852">
        <f t="shared" si="85"/>
        <v>0.000792406053850732</v>
      </c>
      <c r="H555" s="852">
        <f t="shared" si="86"/>
        <v>0.000508239711416466</v>
      </c>
      <c r="I555" s="836">
        <f t="shared" si="87"/>
        <v>0.01</v>
      </c>
    </row>
    <row r="556" spans="2:9">
      <c r="B556" s="835" t="s">
        <v>2880</v>
      </c>
      <c r="C556" s="870"/>
      <c r="D556" s="870">
        <v>13945</v>
      </c>
      <c r="E556" s="870">
        <v>2760257.51</v>
      </c>
      <c r="F556" s="870">
        <v>5</v>
      </c>
      <c r="G556" s="852">
        <f t="shared" si="85"/>
        <v>0.0458510473898276</v>
      </c>
      <c r="H556" s="852">
        <f t="shared" si="86"/>
        <v>0.0831697047602848</v>
      </c>
      <c r="I556" s="836">
        <f t="shared" si="87"/>
        <v>0.05</v>
      </c>
    </row>
    <row r="557" spans="2:9">
      <c r="B557" s="835"/>
      <c r="C557" s="869" t="s">
        <v>846</v>
      </c>
      <c r="D557" s="869">
        <v>9972</v>
      </c>
      <c r="E557" s="869">
        <v>1994300.4</v>
      </c>
      <c r="F557" s="869">
        <v>1</v>
      </c>
      <c r="G557" s="852">
        <f t="shared" si="85"/>
        <v>0.032787855473027</v>
      </c>
      <c r="H557" s="852">
        <f t="shared" si="86"/>
        <v>0.0600905440417833</v>
      </c>
      <c r="I557" s="836">
        <f t="shared" si="87"/>
        <v>0.01</v>
      </c>
    </row>
    <row r="558" spans="2:9">
      <c r="B558" s="835"/>
      <c r="C558" s="697" t="s">
        <v>861</v>
      </c>
      <c r="D558" s="697">
        <v>1895</v>
      </c>
      <c r="E558" s="697">
        <v>360031.06</v>
      </c>
      <c r="F558" s="697">
        <v>1</v>
      </c>
      <c r="G558" s="852">
        <f t="shared" si="85"/>
        <v>0.00623074469729102</v>
      </c>
      <c r="H558" s="852">
        <f t="shared" si="86"/>
        <v>0.0108481461806556</v>
      </c>
      <c r="I558" s="836">
        <f t="shared" si="87"/>
        <v>0.01</v>
      </c>
    </row>
    <row r="559" spans="2:9">
      <c r="B559" s="835"/>
      <c r="C559" s="697" t="s">
        <v>1132</v>
      </c>
      <c r="D559" s="697">
        <v>922</v>
      </c>
      <c r="E559" s="697">
        <v>166697.61</v>
      </c>
      <c r="F559" s="697">
        <v>1</v>
      </c>
      <c r="G559" s="852">
        <f t="shared" si="85"/>
        <v>0.00303152855456587</v>
      </c>
      <c r="H559" s="852">
        <f t="shared" si="86"/>
        <v>0.00502278898172262</v>
      </c>
      <c r="I559" s="836">
        <f t="shared" si="87"/>
        <v>0.01</v>
      </c>
    </row>
    <row r="560" spans="2:9">
      <c r="B560" s="835"/>
      <c r="C560" s="697" t="s">
        <v>1640</v>
      </c>
      <c r="D560" s="697">
        <v>666</v>
      </c>
      <c r="E560" s="697">
        <v>126533.34</v>
      </c>
      <c r="F560" s="697">
        <v>1</v>
      </c>
      <c r="G560" s="852">
        <f t="shared" si="85"/>
        <v>0.00218980262184476</v>
      </c>
      <c r="H560" s="852">
        <f t="shared" si="86"/>
        <v>0.0038125937496798</v>
      </c>
      <c r="I560" s="836">
        <f t="shared" si="87"/>
        <v>0.01</v>
      </c>
    </row>
    <row r="561" spans="2:9">
      <c r="B561" s="835"/>
      <c r="C561" s="697" t="s">
        <v>1989</v>
      </c>
      <c r="D561" s="697">
        <v>490</v>
      </c>
      <c r="E561" s="697">
        <v>112695.1</v>
      </c>
      <c r="F561" s="697">
        <v>1</v>
      </c>
      <c r="G561" s="852">
        <f t="shared" si="85"/>
        <v>0.001611116043099</v>
      </c>
      <c r="H561" s="852">
        <f t="shared" si="86"/>
        <v>0.00339563180644359</v>
      </c>
      <c r="I561" s="836">
        <f t="shared" si="87"/>
        <v>0.01</v>
      </c>
    </row>
    <row r="562" spans="2:9">
      <c r="B562" s="835" t="s">
        <v>2887</v>
      </c>
      <c r="D562" s="697">
        <v>13332</v>
      </c>
      <c r="E562" s="697">
        <v>1910386.67</v>
      </c>
      <c r="F562" s="697">
        <v>6</v>
      </c>
      <c r="G562" s="852">
        <f t="shared" si="85"/>
        <v>0.0438355083399915</v>
      </c>
      <c r="H562" s="852">
        <f t="shared" si="86"/>
        <v>0.0575621277168027</v>
      </c>
      <c r="I562" s="836">
        <f t="shared" si="87"/>
        <v>0.06</v>
      </c>
    </row>
    <row r="563" spans="2:9">
      <c r="B563" s="835"/>
      <c r="C563" s="869" t="s">
        <v>846</v>
      </c>
      <c r="D563" s="869">
        <v>7579</v>
      </c>
      <c r="E563" s="869">
        <v>1136774.2</v>
      </c>
      <c r="F563" s="869">
        <v>1</v>
      </c>
      <c r="G563" s="852">
        <f t="shared" si="85"/>
        <v>0.0249196907972394</v>
      </c>
      <c r="H563" s="852">
        <f t="shared" si="86"/>
        <v>0.0342523022763586</v>
      </c>
      <c r="I563" s="836">
        <f t="shared" si="87"/>
        <v>0.01</v>
      </c>
    </row>
    <row r="564" spans="2:9">
      <c r="B564" s="835"/>
      <c r="C564" s="697" t="s">
        <v>861</v>
      </c>
      <c r="D564" s="697">
        <v>1850</v>
      </c>
      <c r="E564" s="697">
        <v>277481.5</v>
      </c>
      <c r="F564" s="697">
        <v>1</v>
      </c>
      <c r="G564" s="852">
        <f t="shared" si="85"/>
        <v>0.00608278506067989</v>
      </c>
      <c r="H564" s="852">
        <f t="shared" si="86"/>
        <v>0.00836083385257812</v>
      </c>
      <c r="I564" s="836">
        <f t="shared" si="87"/>
        <v>0.01</v>
      </c>
    </row>
    <row r="565" spans="2:9">
      <c r="B565" s="835"/>
      <c r="C565" s="697" t="s">
        <v>1132</v>
      </c>
      <c r="D565" s="697">
        <v>1488</v>
      </c>
      <c r="E565" s="697">
        <v>133905.11</v>
      </c>
      <c r="F565" s="697">
        <v>1</v>
      </c>
      <c r="G565" s="852">
        <f t="shared" si="85"/>
        <v>0.00489253198394145</v>
      </c>
      <c r="H565" s="852">
        <f t="shared" si="86"/>
        <v>0.00403471358170255</v>
      </c>
      <c r="I565" s="836">
        <f t="shared" si="87"/>
        <v>0.01</v>
      </c>
    </row>
    <row r="566" spans="2:9">
      <c r="B566" s="835"/>
      <c r="C566" s="697" t="s">
        <v>1631</v>
      </c>
      <c r="D566" s="697">
        <v>1235</v>
      </c>
      <c r="E566" s="697">
        <v>185237.66</v>
      </c>
      <c r="F566" s="697">
        <v>1</v>
      </c>
      <c r="G566" s="852">
        <f t="shared" si="85"/>
        <v>0.00406067002699441</v>
      </c>
      <c r="H566" s="852">
        <f t="shared" si="86"/>
        <v>0.00558142181911355</v>
      </c>
      <c r="I566" s="836">
        <f t="shared" si="87"/>
        <v>0.01</v>
      </c>
    </row>
    <row r="567" spans="2:9">
      <c r="B567" s="835"/>
      <c r="C567" s="697" t="s">
        <v>991</v>
      </c>
      <c r="D567" s="697">
        <v>815</v>
      </c>
      <c r="E567" s="697">
        <v>122241.85</v>
      </c>
      <c r="F567" s="697">
        <v>1</v>
      </c>
      <c r="G567" s="852">
        <f t="shared" si="85"/>
        <v>0.00267971341862384</v>
      </c>
      <c r="H567" s="852">
        <f t="shared" si="86"/>
        <v>0.00368328626478441</v>
      </c>
      <c r="I567" s="836">
        <f t="shared" si="87"/>
        <v>0.01</v>
      </c>
    </row>
    <row r="568" spans="2:9">
      <c r="B568" s="835"/>
      <c r="C568" s="697" t="s">
        <v>1059</v>
      </c>
      <c r="D568" s="697">
        <v>365</v>
      </c>
      <c r="E568" s="697">
        <v>54746.35</v>
      </c>
      <c r="F568" s="697">
        <v>1</v>
      </c>
      <c r="G568" s="852">
        <f t="shared" si="85"/>
        <v>0.00120011705251252</v>
      </c>
      <c r="H568" s="852">
        <f t="shared" si="86"/>
        <v>0.00164956992226541</v>
      </c>
      <c r="I568" s="836">
        <f t="shared" si="87"/>
        <v>0.01</v>
      </c>
    </row>
    <row r="569" spans="2:9">
      <c r="B569" s="835" t="s">
        <v>2864</v>
      </c>
      <c r="D569" s="697">
        <v>11434</v>
      </c>
      <c r="E569" s="697">
        <v>451119.21</v>
      </c>
      <c r="F569" s="697">
        <v>5</v>
      </c>
      <c r="G569" s="852">
        <f t="shared" si="85"/>
        <v>0.0375948996669264</v>
      </c>
      <c r="H569" s="852">
        <f t="shared" si="86"/>
        <v>0.0135927359572307</v>
      </c>
      <c r="I569" s="836">
        <f t="shared" si="87"/>
        <v>0.05</v>
      </c>
    </row>
    <row r="570" spans="2:9">
      <c r="B570" s="835"/>
      <c r="C570" s="697" t="s">
        <v>931</v>
      </c>
      <c r="D570" s="697">
        <v>5301</v>
      </c>
      <c r="E570" s="697">
        <v>211987</v>
      </c>
      <c r="F570" s="697">
        <v>1</v>
      </c>
      <c r="G570" s="852">
        <f t="shared" si="85"/>
        <v>0.0174296451927914</v>
      </c>
      <c r="H570" s="852">
        <f t="shared" si="86"/>
        <v>0.00638740992068472</v>
      </c>
      <c r="I570" s="836">
        <f t="shared" si="87"/>
        <v>0.01</v>
      </c>
    </row>
    <row r="571" spans="2:9">
      <c r="B571" s="835"/>
      <c r="C571" s="697" t="s">
        <v>1069</v>
      </c>
      <c r="D571" s="697">
        <v>3187</v>
      </c>
      <c r="E571" s="697">
        <v>121321.66</v>
      </c>
      <c r="F571" s="697">
        <v>3</v>
      </c>
      <c r="G571" s="852">
        <f t="shared" si="85"/>
        <v>0.0104788302639929</v>
      </c>
      <c r="H571" s="852">
        <f t="shared" si="86"/>
        <v>0.00365555989130437</v>
      </c>
      <c r="I571" s="836">
        <f t="shared" si="87"/>
        <v>0.03</v>
      </c>
    </row>
    <row r="572" spans="2:9">
      <c r="B572" s="835"/>
      <c r="C572" s="697" t="s">
        <v>1059</v>
      </c>
      <c r="D572" s="697">
        <v>2946</v>
      </c>
      <c r="E572" s="697">
        <v>117810.55</v>
      </c>
      <c r="F572" s="697">
        <v>1</v>
      </c>
      <c r="G572" s="852">
        <f t="shared" si="85"/>
        <v>0.00968642421014214</v>
      </c>
      <c r="H572" s="852">
        <f t="shared" si="86"/>
        <v>0.00354976614524156</v>
      </c>
      <c r="I572" s="836">
        <f t="shared" si="87"/>
        <v>0.01</v>
      </c>
    </row>
    <row r="573" spans="2:9">
      <c r="B573" s="835" t="s">
        <v>2906</v>
      </c>
      <c r="D573" s="697">
        <v>11125</v>
      </c>
      <c r="E573" s="697">
        <v>1296486.805</v>
      </c>
      <c r="F573" s="697">
        <v>8</v>
      </c>
      <c r="G573" s="852">
        <f t="shared" si="85"/>
        <v>0.0365789101621966</v>
      </c>
      <c r="H573" s="852">
        <f t="shared" si="86"/>
        <v>0.0390646250963212</v>
      </c>
      <c r="I573" s="836">
        <f t="shared" si="87"/>
        <v>0.08</v>
      </c>
    </row>
    <row r="574" spans="2:9">
      <c r="B574" s="835"/>
      <c r="C574" s="697" t="s">
        <v>1059</v>
      </c>
      <c r="D574" s="697">
        <v>3245</v>
      </c>
      <c r="E574" s="697">
        <v>389367.53</v>
      </c>
      <c r="F574" s="697">
        <v>1</v>
      </c>
      <c r="G574" s="852">
        <f t="shared" si="85"/>
        <v>0.010669533795625</v>
      </c>
      <c r="H574" s="852">
        <f t="shared" si="86"/>
        <v>0.0117320874577899</v>
      </c>
      <c r="I574" s="836">
        <f t="shared" si="87"/>
        <v>0.01</v>
      </c>
    </row>
    <row r="575" spans="2:9">
      <c r="B575" s="835"/>
      <c r="C575" s="697" t="s">
        <v>1364</v>
      </c>
      <c r="D575" s="697">
        <v>1757</v>
      </c>
      <c r="E575" s="697">
        <v>208081.52</v>
      </c>
      <c r="F575" s="697">
        <v>1</v>
      </c>
      <c r="G575" s="852">
        <f t="shared" si="85"/>
        <v>0.00577700181168355</v>
      </c>
      <c r="H575" s="852">
        <f t="shared" si="86"/>
        <v>0.0062697333570415</v>
      </c>
      <c r="I575" s="836">
        <f t="shared" si="87"/>
        <v>0.01</v>
      </c>
    </row>
    <row r="576" spans="2:9">
      <c r="B576" s="835"/>
      <c r="C576" s="697" t="s">
        <v>1173</v>
      </c>
      <c r="D576" s="697">
        <v>1535</v>
      </c>
      <c r="E576" s="697">
        <v>184184.64</v>
      </c>
      <c r="F576" s="697">
        <v>1</v>
      </c>
      <c r="G576" s="852">
        <f t="shared" ref="G576:G618" si="88">D576/$C$150</f>
        <v>0.00504706760440196</v>
      </c>
      <c r="H576" s="852">
        <f t="shared" ref="H576:H618" si="89">E576/$D$150</f>
        <v>0.00554969312634145</v>
      </c>
      <c r="I576" s="836">
        <f t="shared" ref="I576:I618" si="90">F576/$E$150</f>
        <v>0.01</v>
      </c>
    </row>
    <row r="577" spans="2:9">
      <c r="B577" s="835"/>
      <c r="C577" s="697" t="s">
        <v>1408</v>
      </c>
      <c r="D577" s="697">
        <v>1487</v>
      </c>
      <c r="E577" s="697">
        <v>178425.12</v>
      </c>
      <c r="F577" s="697">
        <v>1</v>
      </c>
      <c r="G577" s="852">
        <f t="shared" si="88"/>
        <v>0.00488924399201676</v>
      </c>
      <c r="H577" s="852">
        <f t="shared" si="89"/>
        <v>0.00537615222436924</v>
      </c>
      <c r="I577" s="836">
        <f t="shared" si="90"/>
        <v>0.01</v>
      </c>
    </row>
    <row r="578" spans="2:9">
      <c r="B578" s="835"/>
      <c r="C578" s="697" t="s">
        <v>1152</v>
      </c>
      <c r="D578" s="697">
        <v>1010</v>
      </c>
      <c r="E578" s="697">
        <v>85829.805</v>
      </c>
      <c r="F578" s="697">
        <v>1</v>
      </c>
      <c r="G578" s="852">
        <f t="shared" si="88"/>
        <v>0.00332087184393875</v>
      </c>
      <c r="H578" s="852">
        <f t="shared" si="89"/>
        <v>0.00258614984856352</v>
      </c>
      <c r="I578" s="836">
        <f t="shared" si="90"/>
        <v>0.01</v>
      </c>
    </row>
    <row r="579" spans="2:9">
      <c r="B579" s="835"/>
      <c r="C579" s="697" t="s">
        <v>861</v>
      </c>
      <c r="D579" s="697">
        <v>981</v>
      </c>
      <c r="E579" s="697">
        <v>117710.19</v>
      </c>
      <c r="F579" s="697">
        <v>1</v>
      </c>
      <c r="G579" s="852">
        <f t="shared" si="88"/>
        <v>0.00322552007812269</v>
      </c>
      <c r="H579" s="852">
        <f t="shared" si="89"/>
        <v>0.00354674218405696</v>
      </c>
      <c r="I579" s="836">
        <f t="shared" si="90"/>
        <v>0.01</v>
      </c>
    </row>
    <row r="580" spans="2:9">
      <c r="B580" s="835"/>
      <c r="C580" s="697" t="s">
        <v>1660</v>
      </c>
      <c r="D580" s="697">
        <v>600</v>
      </c>
      <c r="E580" s="697">
        <v>71994</v>
      </c>
      <c r="F580" s="697">
        <v>1</v>
      </c>
      <c r="G580" s="852">
        <f t="shared" si="88"/>
        <v>0.0019727951548151</v>
      </c>
      <c r="H580" s="852">
        <f t="shared" si="89"/>
        <v>0.00216926127465258</v>
      </c>
      <c r="I580" s="836">
        <f t="shared" si="90"/>
        <v>0.01</v>
      </c>
    </row>
    <row r="581" spans="2:9">
      <c r="B581" s="835"/>
      <c r="C581" s="697" t="s">
        <v>1886</v>
      </c>
      <c r="D581" s="697">
        <v>510</v>
      </c>
      <c r="E581" s="697">
        <v>60894</v>
      </c>
      <c r="F581" s="697">
        <v>1</v>
      </c>
      <c r="G581" s="852">
        <f t="shared" si="88"/>
        <v>0.00167687588159283</v>
      </c>
      <c r="H581" s="852">
        <f t="shared" si="89"/>
        <v>0.00183480562350604</v>
      </c>
      <c r="I581" s="836">
        <f t="shared" si="90"/>
        <v>0.01</v>
      </c>
    </row>
    <row r="582" spans="2:9">
      <c r="B582" s="835" t="s">
        <v>2890</v>
      </c>
      <c r="D582" s="697">
        <v>10248</v>
      </c>
      <c r="E582" s="697">
        <v>1638632.6</v>
      </c>
      <c r="F582" s="697">
        <v>3</v>
      </c>
      <c r="G582" s="852">
        <f t="shared" si="88"/>
        <v>0.0336953412442419</v>
      </c>
      <c r="H582" s="852">
        <f t="shared" si="89"/>
        <v>0.0493738678579224</v>
      </c>
      <c r="I582" s="836">
        <f t="shared" si="90"/>
        <v>0.03</v>
      </c>
    </row>
    <row r="583" spans="2:9">
      <c r="B583" s="835"/>
      <c r="C583" s="697" t="s">
        <v>872</v>
      </c>
      <c r="D583" s="697">
        <v>5320</v>
      </c>
      <c r="E583" s="697">
        <v>850934</v>
      </c>
      <c r="F583" s="697">
        <v>1</v>
      </c>
      <c r="G583" s="852">
        <f t="shared" si="88"/>
        <v>0.0174921170393606</v>
      </c>
      <c r="H583" s="852">
        <f t="shared" si="89"/>
        <v>0.0256396112660113</v>
      </c>
      <c r="I583" s="836">
        <f t="shared" si="90"/>
        <v>0.01</v>
      </c>
    </row>
    <row r="584" spans="2:9">
      <c r="B584" s="835"/>
      <c r="C584" s="697" t="s">
        <v>861</v>
      </c>
      <c r="D584" s="697">
        <v>4224</v>
      </c>
      <c r="E584" s="697">
        <v>675797.8</v>
      </c>
      <c r="F584" s="697">
        <v>1</v>
      </c>
      <c r="G584" s="852">
        <f t="shared" si="88"/>
        <v>0.0138884778898983</v>
      </c>
      <c r="H584" s="852">
        <f t="shared" si="89"/>
        <v>0.0203625579497654</v>
      </c>
      <c r="I584" s="836">
        <f t="shared" si="90"/>
        <v>0.01</v>
      </c>
    </row>
    <row r="585" spans="2:9">
      <c r="B585" s="835"/>
      <c r="C585" s="697" t="s">
        <v>846</v>
      </c>
      <c r="D585" s="697">
        <v>704</v>
      </c>
      <c r="E585" s="697">
        <v>111900.8</v>
      </c>
      <c r="F585" s="697">
        <v>1</v>
      </c>
      <c r="G585" s="852">
        <f t="shared" si="88"/>
        <v>0.00231474631498305</v>
      </c>
      <c r="H585" s="852">
        <f t="shared" si="89"/>
        <v>0.00337169864214578</v>
      </c>
      <c r="I585" s="836">
        <f t="shared" si="90"/>
        <v>0.01</v>
      </c>
    </row>
    <row r="586" spans="2:9">
      <c r="B586" s="835" t="s">
        <v>2866</v>
      </c>
      <c r="D586" s="697">
        <v>10072</v>
      </c>
      <c r="E586" s="697">
        <v>596203.979</v>
      </c>
      <c r="F586" s="697">
        <v>4</v>
      </c>
      <c r="G586" s="852">
        <f t="shared" si="88"/>
        <v>0.0331166546654961</v>
      </c>
      <c r="H586" s="852">
        <f t="shared" si="89"/>
        <v>0.0179643054065405</v>
      </c>
      <c r="I586" s="836">
        <f t="shared" si="90"/>
        <v>0.04</v>
      </c>
    </row>
    <row r="587" spans="2:9">
      <c r="B587" s="835"/>
      <c r="C587" s="697" t="s">
        <v>954</v>
      </c>
      <c r="D587" s="697">
        <v>8734</v>
      </c>
      <c r="E587" s="697">
        <v>521681.8</v>
      </c>
      <c r="F587" s="697">
        <v>1</v>
      </c>
      <c r="G587" s="852">
        <f t="shared" si="88"/>
        <v>0.0287173214702585</v>
      </c>
      <c r="H587" s="852">
        <f t="shared" si="89"/>
        <v>0.0157188672171438</v>
      </c>
      <c r="I587" s="836">
        <f t="shared" si="90"/>
        <v>0.01</v>
      </c>
    </row>
    <row r="588" spans="2:9">
      <c r="B588" s="835"/>
      <c r="C588" s="697" t="s">
        <v>1221</v>
      </c>
      <c r="D588" s="697">
        <v>622</v>
      </c>
      <c r="E588" s="697">
        <v>33469.82</v>
      </c>
      <c r="F588" s="697">
        <v>1</v>
      </c>
      <c r="G588" s="852">
        <f t="shared" si="88"/>
        <v>0.00204513097715832</v>
      </c>
      <c r="H588" s="852">
        <f t="shared" si="89"/>
        <v>0.00100848382359075</v>
      </c>
      <c r="I588" s="836">
        <f t="shared" si="90"/>
        <v>0.01</v>
      </c>
    </row>
    <row r="589" spans="2:9">
      <c r="B589" s="835"/>
      <c r="C589" s="697" t="s">
        <v>931</v>
      </c>
      <c r="D589" s="697">
        <v>500</v>
      </c>
      <c r="E589" s="697">
        <v>28425</v>
      </c>
      <c r="F589" s="697">
        <v>1</v>
      </c>
      <c r="G589" s="852">
        <f t="shared" si="88"/>
        <v>0.00164399596234592</v>
      </c>
      <c r="H589" s="852">
        <f t="shared" si="89"/>
        <v>0.000856477647192815</v>
      </c>
      <c r="I589" s="836">
        <f t="shared" si="90"/>
        <v>0.01</v>
      </c>
    </row>
    <row r="590" spans="2:9">
      <c r="B590" s="835"/>
      <c r="C590" s="697" t="s">
        <v>1799</v>
      </c>
      <c r="D590" s="697">
        <v>216</v>
      </c>
      <c r="E590" s="697">
        <v>12627.359</v>
      </c>
      <c r="F590" s="697">
        <v>1</v>
      </c>
      <c r="G590" s="852">
        <f t="shared" si="88"/>
        <v>0.000710206255733436</v>
      </c>
      <c r="H590" s="852">
        <f t="shared" si="89"/>
        <v>0.000380476718613158</v>
      </c>
      <c r="I590" s="836">
        <f t="shared" si="90"/>
        <v>0.01</v>
      </c>
    </row>
    <row r="591" spans="2:9">
      <c r="B591" s="835" t="s">
        <v>2871</v>
      </c>
      <c r="D591" s="697">
        <v>7304</v>
      </c>
      <c r="E591" s="697">
        <v>1460474.16</v>
      </c>
      <c r="F591" s="697">
        <v>2</v>
      </c>
      <c r="G591" s="852">
        <f t="shared" si="88"/>
        <v>0.0240154930179491</v>
      </c>
      <c r="H591" s="852">
        <f t="shared" si="89"/>
        <v>0.0440057510058998</v>
      </c>
      <c r="I591" s="836">
        <f t="shared" si="90"/>
        <v>0.02</v>
      </c>
    </row>
    <row r="592" spans="2:9">
      <c r="B592" s="835"/>
      <c r="C592" s="869" t="s">
        <v>846</v>
      </c>
      <c r="D592" s="869">
        <v>6319</v>
      </c>
      <c r="E592" s="869">
        <v>1263484</v>
      </c>
      <c r="F592" s="869">
        <v>1</v>
      </c>
      <c r="G592" s="852">
        <f t="shared" si="88"/>
        <v>0.0207768209721277</v>
      </c>
      <c r="H592" s="852">
        <f t="shared" si="89"/>
        <v>0.0380702129669575</v>
      </c>
      <c r="I592" s="836">
        <f t="shared" si="90"/>
        <v>0.01</v>
      </c>
    </row>
    <row r="593" spans="2:9">
      <c r="B593" s="835"/>
      <c r="C593" s="697" t="s">
        <v>1247</v>
      </c>
      <c r="D593" s="697">
        <v>985</v>
      </c>
      <c r="E593" s="697">
        <v>196990.16</v>
      </c>
      <c r="F593" s="697">
        <v>1</v>
      </c>
      <c r="G593" s="852">
        <f t="shared" si="88"/>
        <v>0.00323867204582146</v>
      </c>
      <c r="H593" s="852">
        <f t="shared" si="89"/>
        <v>0.00593553803894234</v>
      </c>
      <c r="I593" s="836">
        <f t="shared" si="90"/>
        <v>0.01</v>
      </c>
    </row>
    <row r="594" spans="2:9">
      <c r="B594" s="835" t="s">
        <v>2939</v>
      </c>
      <c r="D594" s="697">
        <v>6845</v>
      </c>
      <c r="E594" s="697">
        <v>523813.385</v>
      </c>
      <c r="F594" s="697">
        <v>7</v>
      </c>
      <c r="G594" s="852">
        <f t="shared" si="88"/>
        <v>0.0225063047245156</v>
      </c>
      <c r="H594" s="852">
        <f t="shared" si="89"/>
        <v>0.0157830943026527</v>
      </c>
      <c r="I594" s="836">
        <f t="shared" si="90"/>
        <v>0.07</v>
      </c>
    </row>
    <row r="595" spans="2:9">
      <c r="B595" s="835"/>
      <c r="C595" s="697" t="s">
        <v>1302</v>
      </c>
      <c r="D595" s="697">
        <v>2172</v>
      </c>
      <c r="E595" s="697">
        <v>179628.274</v>
      </c>
      <c r="F595" s="697">
        <v>2</v>
      </c>
      <c r="G595" s="852">
        <f t="shared" si="88"/>
        <v>0.00714151846043066</v>
      </c>
      <c r="H595" s="852">
        <f t="shared" si="89"/>
        <v>0.00541240462567551</v>
      </c>
      <c r="I595" s="836">
        <f t="shared" si="90"/>
        <v>0.02</v>
      </c>
    </row>
    <row r="596" spans="2:9">
      <c r="B596" s="835"/>
      <c r="C596" s="697" t="s">
        <v>1238</v>
      </c>
      <c r="D596" s="697">
        <v>1341</v>
      </c>
      <c r="E596" s="697">
        <v>107266.586</v>
      </c>
      <c r="F596" s="697">
        <v>1</v>
      </c>
      <c r="G596" s="852">
        <f t="shared" si="88"/>
        <v>0.00440919717101175</v>
      </c>
      <c r="H596" s="852">
        <f t="shared" si="89"/>
        <v>0.00323206449251313</v>
      </c>
      <c r="I596" s="836">
        <f t="shared" si="90"/>
        <v>0.01</v>
      </c>
    </row>
    <row r="597" spans="2:9">
      <c r="B597" s="835"/>
      <c r="C597" s="697" t="s">
        <v>1395</v>
      </c>
      <c r="D597" s="697">
        <v>1109</v>
      </c>
      <c r="E597" s="697">
        <v>70920.555</v>
      </c>
      <c r="F597" s="697">
        <v>1</v>
      </c>
      <c r="G597" s="852">
        <f t="shared" si="88"/>
        <v>0.00364638304448324</v>
      </c>
      <c r="H597" s="852">
        <f t="shared" si="89"/>
        <v>0.00213691715335123</v>
      </c>
      <c r="I597" s="836">
        <f t="shared" si="90"/>
        <v>0.01</v>
      </c>
    </row>
    <row r="598" spans="2:9">
      <c r="B598" s="835"/>
      <c r="C598" s="697" t="s">
        <v>1152</v>
      </c>
      <c r="D598" s="697">
        <v>1104</v>
      </c>
      <c r="E598" s="697">
        <v>88308.96</v>
      </c>
      <c r="F598" s="697">
        <v>1</v>
      </c>
      <c r="G598" s="852">
        <f t="shared" si="88"/>
        <v>0.00362994308485978</v>
      </c>
      <c r="H598" s="852">
        <f t="shared" si="89"/>
        <v>0.00266084961431291</v>
      </c>
      <c r="I598" s="836">
        <f t="shared" si="90"/>
        <v>0.01</v>
      </c>
    </row>
    <row r="599" spans="2:9">
      <c r="B599" s="835"/>
      <c r="C599" s="697" t="s">
        <v>1479</v>
      </c>
      <c r="D599" s="697">
        <v>667</v>
      </c>
      <c r="E599" s="697">
        <v>53353.33</v>
      </c>
      <c r="F599" s="697">
        <v>1</v>
      </c>
      <c r="G599" s="852">
        <f t="shared" si="88"/>
        <v>0.00219309061376945</v>
      </c>
      <c r="H599" s="852">
        <f t="shared" si="89"/>
        <v>0.00160759664198071</v>
      </c>
      <c r="I599" s="836">
        <f t="shared" si="90"/>
        <v>0.01</v>
      </c>
    </row>
    <row r="600" spans="2:9">
      <c r="B600" s="835"/>
      <c r="C600" s="697" t="s">
        <v>1418</v>
      </c>
      <c r="D600" s="697">
        <v>452</v>
      </c>
      <c r="E600" s="697">
        <v>24335.68</v>
      </c>
      <c r="F600" s="697">
        <v>1</v>
      </c>
      <c r="G600" s="852">
        <f t="shared" si="88"/>
        <v>0.00148617234996071</v>
      </c>
      <c r="H600" s="852">
        <f t="shared" si="89"/>
        <v>0.000733261774819252</v>
      </c>
      <c r="I600" s="836">
        <f t="shared" si="90"/>
        <v>0.01</v>
      </c>
    </row>
    <row r="601" spans="2:9">
      <c r="B601" s="835" t="s">
        <v>2913</v>
      </c>
      <c r="D601" s="697">
        <v>3891</v>
      </c>
      <c r="E601" s="697">
        <v>597582.11</v>
      </c>
      <c r="F601" s="697">
        <v>3</v>
      </c>
      <c r="G601" s="852">
        <f t="shared" si="88"/>
        <v>0.0127935765789759</v>
      </c>
      <c r="H601" s="852">
        <f t="shared" si="89"/>
        <v>0.0180058300642856</v>
      </c>
      <c r="I601" s="836">
        <f t="shared" si="90"/>
        <v>0.03</v>
      </c>
    </row>
    <row r="602" spans="2:9">
      <c r="B602" s="835"/>
      <c r="C602" s="697" t="s">
        <v>1104</v>
      </c>
      <c r="D602" s="697">
        <v>2205</v>
      </c>
      <c r="E602" s="697">
        <v>352777.97</v>
      </c>
      <c r="F602" s="697">
        <v>1</v>
      </c>
      <c r="G602" s="852">
        <f t="shared" si="88"/>
        <v>0.00725002219394549</v>
      </c>
      <c r="H602" s="852">
        <f t="shared" si="89"/>
        <v>0.0106296023122975</v>
      </c>
      <c r="I602" s="836">
        <f t="shared" si="90"/>
        <v>0.01</v>
      </c>
    </row>
    <row r="603" spans="2:9">
      <c r="B603" s="835"/>
      <c r="C603" s="697" t="s">
        <v>1430</v>
      </c>
      <c r="D603" s="697">
        <v>872</v>
      </c>
      <c r="E603" s="697">
        <v>113351.28</v>
      </c>
      <c r="F603" s="697">
        <v>1</v>
      </c>
      <c r="G603" s="852">
        <f t="shared" si="88"/>
        <v>0.00286712895833128</v>
      </c>
      <c r="H603" s="852">
        <f t="shared" si="89"/>
        <v>0.0034154032577201</v>
      </c>
      <c r="I603" s="836">
        <f t="shared" si="90"/>
        <v>0.01</v>
      </c>
    </row>
    <row r="604" spans="2:9">
      <c r="B604" s="835"/>
      <c r="C604" s="697" t="s">
        <v>971</v>
      </c>
      <c r="D604" s="697">
        <v>814</v>
      </c>
      <c r="E604" s="697">
        <v>131452.86</v>
      </c>
      <c r="F604" s="697">
        <v>1</v>
      </c>
      <c r="G604" s="852">
        <f t="shared" si="88"/>
        <v>0.00267642542669915</v>
      </c>
      <c r="H604" s="852">
        <f t="shared" si="89"/>
        <v>0.00396082449426795</v>
      </c>
      <c r="I604" s="836">
        <f t="shared" si="90"/>
        <v>0.01</v>
      </c>
    </row>
    <row r="605" spans="2:9">
      <c r="B605" s="835" t="s">
        <v>3006</v>
      </c>
      <c r="D605" s="697">
        <v>3836</v>
      </c>
      <c r="E605" s="697">
        <v>22478.96</v>
      </c>
      <c r="F605" s="697">
        <v>1</v>
      </c>
      <c r="G605" s="852">
        <f t="shared" si="88"/>
        <v>0.0126127370231179</v>
      </c>
      <c r="H605" s="852">
        <f t="shared" si="89"/>
        <v>0.000677316685035757</v>
      </c>
      <c r="I605" s="836">
        <f t="shared" si="90"/>
        <v>0.01</v>
      </c>
    </row>
    <row r="606" spans="2:9">
      <c r="B606" s="835"/>
      <c r="C606" s="697" t="s">
        <v>1868</v>
      </c>
      <c r="D606" s="697">
        <v>3836</v>
      </c>
      <c r="E606" s="697">
        <v>22478.96</v>
      </c>
      <c r="F606" s="697">
        <v>1</v>
      </c>
      <c r="G606" s="852">
        <f t="shared" si="88"/>
        <v>0.0126127370231179</v>
      </c>
      <c r="H606" s="852">
        <f t="shared" si="89"/>
        <v>0.000677316685035757</v>
      </c>
      <c r="I606" s="836">
        <f t="shared" si="90"/>
        <v>0.01</v>
      </c>
    </row>
    <row r="607" spans="2:9">
      <c r="B607" s="835" t="s">
        <v>2924</v>
      </c>
      <c r="C607" s="870"/>
      <c r="D607" s="870">
        <v>3212</v>
      </c>
      <c r="E607" s="870">
        <v>577089.728</v>
      </c>
      <c r="F607" s="870">
        <v>3</v>
      </c>
      <c r="G607" s="852">
        <f t="shared" si="88"/>
        <v>0.0105610300621102</v>
      </c>
      <c r="H607" s="852">
        <f t="shared" si="89"/>
        <v>0.0173883712385781</v>
      </c>
      <c r="I607" s="836">
        <f t="shared" si="90"/>
        <v>0.03</v>
      </c>
    </row>
    <row r="608" spans="2:9">
      <c r="B608" s="835"/>
      <c r="C608" s="869" t="s">
        <v>846</v>
      </c>
      <c r="D608" s="869">
        <v>1815</v>
      </c>
      <c r="E608" s="869">
        <v>326681.88</v>
      </c>
      <c r="F608" s="869">
        <v>1</v>
      </c>
      <c r="G608" s="852">
        <f t="shared" si="88"/>
        <v>0.00596770534331568</v>
      </c>
      <c r="H608" s="852">
        <f t="shared" si="89"/>
        <v>0.00984329737776343</v>
      </c>
      <c r="I608" s="836">
        <f t="shared" si="90"/>
        <v>0.01</v>
      </c>
    </row>
    <row r="609" spans="2:9">
      <c r="B609" s="835"/>
      <c r="C609" s="697" t="s">
        <v>1141</v>
      </c>
      <c r="D609" s="697">
        <v>1034</v>
      </c>
      <c r="E609" s="697">
        <v>185086</v>
      </c>
      <c r="F609" s="697">
        <v>1</v>
      </c>
      <c r="G609" s="852">
        <f t="shared" si="88"/>
        <v>0.00339978365013136</v>
      </c>
      <c r="H609" s="852">
        <f t="shared" si="89"/>
        <v>0.00557685213046013</v>
      </c>
      <c r="I609" s="836">
        <f t="shared" si="90"/>
        <v>0.01</v>
      </c>
    </row>
    <row r="610" spans="2:9">
      <c r="B610" s="835"/>
      <c r="C610" s="697" t="s">
        <v>1999</v>
      </c>
      <c r="D610" s="697">
        <v>363</v>
      </c>
      <c r="E610" s="697">
        <v>65321.848</v>
      </c>
      <c r="F610" s="697">
        <v>1</v>
      </c>
      <c r="G610" s="852">
        <f t="shared" si="88"/>
        <v>0.00119354106866314</v>
      </c>
      <c r="H610" s="852">
        <f t="shared" si="89"/>
        <v>0.0019682217303545</v>
      </c>
      <c r="I610" s="836">
        <f t="shared" si="90"/>
        <v>0.01</v>
      </c>
    </row>
    <row r="611" spans="2:9">
      <c r="B611" s="835" t="s">
        <v>2937</v>
      </c>
      <c r="D611" s="697">
        <v>2527</v>
      </c>
      <c r="E611" s="697">
        <v>318510.93</v>
      </c>
      <c r="F611" s="697">
        <v>3</v>
      </c>
      <c r="G611" s="852">
        <f t="shared" si="88"/>
        <v>0.00830875559369626</v>
      </c>
      <c r="H611" s="852">
        <f t="shared" si="89"/>
        <v>0.00959709734148092</v>
      </c>
      <c r="I611" s="836">
        <f t="shared" si="90"/>
        <v>0.03</v>
      </c>
    </row>
    <row r="612" spans="2:9">
      <c r="B612" s="835"/>
      <c r="C612" s="697" t="s">
        <v>1229</v>
      </c>
      <c r="D612" s="697">
        <v>1381</v>
      </c>
      <c r="E612" s="697">
        <v>170097.77</v>
      </c>
      <c r="F612" s="697">
        <v>1</v>
      </c>
      <c r="G612" s="852">
        <f t="shared" si="88"/>
        <v>0.00454071684799942</v>
      </c>
      <c r="H612" s="852">
        <f t="shared" si="89"/>
        <v>0.00512523967783094</v>
      </c>
      <c r="I612" s="836">
        <f t="shared" si="90"/>
        <v>0.01</v>
      </c>
    </row>
    <row r="613" spans="2:9">
      <c r="B613" s="835"/>
      <c r="C613" s="697" t="s">
        <v>1059</v>
      </c>
      <c r="D613" s="697">
        <v>585</v>
      </c>
      <c r="E613" s="697">
        <v>76044.16</v>
      </c>
      <c r="F613" s="697">
        <v>1</v>
      </c>
      <c r="G613" s="852">
        <f t="shared" si="88"/>
        <v>0.00192347527594472</v>
      </c>
      <c r="H613" s="852">
        <f t="shared" si="89"/>
        <v>0.00229129721159381</v>
      </c>
      <c r="I613" s="836">
        <f t="shared" si="90"/>
        <v>0.01</v>
      </c>
    </row>
    <row r="614" spans="2:9">
      <c r="B614" s="835"/>
      <c r="C614" s="697" t="s">
        <v>1408</v>
      </c>
      <c r="D614" s="697">
        <v>561</v>
      </c>
      <c r="E614" s="697">
        <v>72369</v>
      </c>
      <c r="F614" s="697">
        <v>1</v>
      </c>
      <c r="G614" s="852">
        <f t="shared" si="88"/>
        <v>0.00184456346975212</v>
      </c>
      <c r="H614" s="852">
        <f t="shared" si="89"/>
        <v>0.00218056045205618</v>
      </c>
      <c r="I614" s="836">
        <f t="shared" si="90"/>
        <v>0.01</v>
      </c>
    </row>
    <row r="615" spans="2:9">
      <c r="B615" s="835" t="s">
        <v>2984</v>
      </c>
      <c r="D615" s="697">
        <v>1174</v>
      </c>
      <c r="E615" s="697">
        <v>162318.27</v>
      </c>
      <c r="F615" s="697">
        <v>2</v>
      </c>
      <c r="G615" s="852">
        <f t="shared" si="88"/>
        <v>0.00386010251958821</v>
      </c>
      <c r="H615" s="852">
        <f t="shared" si="89"/>
        <v>0.00489083447620081</v>
      </c>
      <c r="I615" s="836">
        <f t="shared" si="90"/>
        <v>0.02</v>
      </c>
    </row>
    <row r="616" spans="2:9">
      <c r="B616" s="835"/>
      <c r="C616" s="697" t="s">
        <v>1059</v>
      </c>
      <c r="D616" s="697">
        <v>768</v>
      </c>
      <c r="E616" s="697">
        <v>107512.33</v>
      </c>
      <c r="F616" s="697">
        <v>1</v>
      </c>
      <c r="G616" s="852">
        <f t="shared" si="88"/>
        <v>0.00252517779816333</v>
      </c>
      <c r="H616" s="852">
        <f t="shared" si="89"/>
        <v>0.00323946903931812</v>
      </c>
      <c r="I616" s="836">
        <f t="shared" si="90"/>
        <v>0.01</v>
      </c>
    </row>
    <row r="617" spans="2:9">
      <c r="B617" s="835"/>
      <c r="C617" s="697" t="s">
        <v>1856</v>
      </c>
      <c r="D617" s="697">
        <v>406</v>
      </c>
      <c r="E617" s="697">
        <v>54805.94</v>
      </c>
      <c r="F617" s="697">
        <v>1</v>
      </c>
      <c r="G617" s="852">
        <f t="shared" si="88"/>
        <v>0.00133492472142488</v>
      </c>
      <c r="H617" s="852">
        <f t="shared" si="89"/>
        <v>0.00165136543688269</v>
      </c>
      <c r="I617" s="836">
        <f t="shared" si="90"/>
        <v>0.01</v>
      </c>
    </row>
    <row r="618" spans="2:9">
      <c r="B618" s="835" t="s">
        <v>3102</v>
      </c>
      <c r="D618" s="697">
        <v>304137</v>
      </c>
      <c r="E618" s="697">
        <v>33188256.685</v>
      </c>
      <c r="F618" s="697">
        <v>100</v>
      </c>
      <c r="G618" s="852">
        <f t="shared" si="88"/>
        <v>1</v>
      </c>
      <c r="H618" s="852">
        <f t="shared" si="89"/>
        <v>1</v>
      </c>
      <c r="I618" s="836">
        <f t="shared" si="90"/>
        <v>1</v>
      </c>
    </row>
    <row r="619" spans="2:9">
      <c r="B619" s="853" t="s">
        <v>3145</v>
      </c>
      <c r="C619" s="858"/>
      <c r="D619" s="857"/>
      <c r="E619" s="858"/>
      <c r="F619" s="858"/>
      <c r="G619" s="858"/>
      <c r="H619" s="858"/>
      <c r="I619" s="859"/>
    </row>
    <row r="620" spans="2:9">
      <c r="B620" s="853"/>
      <c r="C620" s="858"/>
      <c r="D620" s="857"/>
      <c r="E620" s="858"/>
      <c r="F620" s="858"/>
      <c r="G620" s="858"/>
      <c r="H620" s="858"/>
      <c r="I620" s="859"/>
    </row>
    <row r="621" spans="2:9">
      <c r="B621" s="853"/>
      <c r="C621" s="858"/>
      <c r="D621" s="857"/>
      <c r="E621" s="858"/>
      <c r="F621" s="858"/>
      <c r="G621" s="858"/>
      <c r="H621" s="858"/>
      <c r="I621" s="859"/>
    </row>
    <row r="622" spans="2:9">
      <c r="B622" s="853"/>
      <c r="C622" s="858"/>
      <c r="D622" s="857"/>
      <c r="E622" s="858"/>
      <c r="F622" s="858"/>
      <c r="G622" s="858"/>
      <c r="H622" s="858"/>
      <c r="I622" s="859"/>
    </row>
    <row r="623" spans="2:9">
      <c r="B623" s="853"/>
      <c r="C623" s="858"/>
      <c r="D623" s="857"/>
      <c r="E623" s="858"/>
      <c r="F623" s="858"/>
      <c r="G623" s="858"/>
      <c r="H623" s="858"/>
      <c r="I623" s="859"/>
    </row>
    <row r="624" spans="2:9">
      <c r="B624" s="860"/>
      <c r="C624" s="863"/>
      <c r="D624" s="862"/>
      <c r="E624" s="863"/>
      <c r="F624" s="863"/>
      <c r="G624" s="863"/>
      <c r="H624" s="863"/>
      <c r="I624" s="864"/>
    </row>
    <row r="626" ht="17.25" spans="1:9">
      <c r="A626" s="829" t="s">
        <v>3146</v>
      </c>
      <c r="B626" s="830" t="s">
        <v>2805</v>
      </c>
      <c r="C626" s="831" t="s">
        <v>2792</v>
      </c>
      <c r="D626" s="831" t="s">
        <v>3098</v>
      </c>
      <c r="E626" s="831" t="s">
        <v>3099</v>
      </c>
      <c r="F626" s="831" t="s">
        <v>3100</v>
      </c>
      <c r="G626" s="833" t="s">
        <v>3022</v>
      </c>
      <c r="H626" s="833" t="s">
        <v>3023</v>
      </c>
      <c r="I626" s="834" t="s">
        <v>3101</v>
      </c>
    </row>
    <row r="627" spans="1:9">
      <c r="A627" s="835"/>
      <c r="B627" s="835" t="s">
        <v>2820</v>
      </c>
      <c r="D627" s="697">
        <v>62949</v>
      </c>
      <c r="E627" s="697">
        <v>5650633.572</v>
      </c>
      <c r="F627" s="697">
        <v>9</v>
      </c>
      <c r="G627" s="852">
        <f t="shared" ref="G627:G690" si="91">D627/$C$150</f>
        <v>0.206975803667426</v>
      </c>
      <c r="H627" s="852">
        <f t="shared" ref="H627:H690" si="92">E627/$D$150</f>
        <v>0.17026002979403</v>
      </c>
      <c r="I627" s="836">
        <f t="shared" ref="I627:I690" si="93">F627/$E$150</f>
        <v>0.09</v>
      </c>
    </row>
    <row r="628" spans="1:9">
      <c r="A628" s="835"/>
      <c r="B628" s="835"/>
      <c r="C628" s="869" t="s">
        <v>2810</v>
      </c>
      <c r="D628" s="869">
        <v>53764</v>
      </c>
      <c r="E628" s="869">
        <v>4836941.3</v>
      </c>
      <c r="F628" s="869">
        <v>2</v>
      </c>
      <c r="G628" s="852">
        <f t="shared" si="91"/>
        <v>0.176775597839132</v>
      </c>
      <c r="H628" s="852">
        <f t="shared" si="92"/>
        <v>0.145742554238654</v>
      </c>
      <c r="I628" s="836">
        <f t="shared" si="93"/>
        <v>0.02</v>
      </c>
    </row>
    <row r="629" spans="1:9">
      <c r="A629" s="835"/>
      <c r="B629" s="835"/>
      <c r="C629" s="697" t="s">
        <v>2872</v>
      </c>
      <c r="D629" s="697">
        <v>5498</v>
      </c>
      <c r="E629" s="697">
        <v>489816.8</v>
      </c>
      <c r="F629" s="697">
        <v>1</v>
      </c>
      <c r="G629" s="852">
        <f t="shared" si="91"/>
        <v>0.0180773796019557</v>
      </c>
      <c r="H629" s="852">
        <f t="shared" si="92"/>
        <v>0.0147587384492353</v>
      </c>
      <c r="I629" s="836">
        <f t="shared" si="93"/>
        <v>0.01</v>
      </c>
    </row>
    <row r="630" spans="1:9">
      <c r="A630" s="835"/>
      <c r="B630" s="835"/>
      <c r="C630" s="697" t="s">
        <v>2975</v>
      </c>
      <c r="D630" s="697">
        <v>949</v>
      </c>
      <c r="E630" s="697">
        <v>81272.36</v>
      </c>
      <c r="F630" s="697">
        <v>1</v>
      </c>
      <c r="G630" s="852">
        <f t="shared" si="91"/>
        <v>0.00312030433653255</v>
      </c>
      <c r="H630" s="852">
        <f t="shared" si="92"/>
        <v>0.0024488288363978</v>
      </c>
      <c r="I630" s="836">
        <f t="shared" si="93"/>
        <v>0.01</v>
      </c>
    </row>
    <row r="631" spans="1:9">
      <c r="A631" s="835"/>
      <c r="B631" s="835"/>
      <c r="C631" s="697" t="s">
        <v>2969</v>
      </c>
      <c r="D631" s="697">
        <v>882</v>
      </c>
      <c r="E631" s="697">
        <v>88191.18</v>
      </c>
      <c r="F631" s="697">
        <v>1</v>
      </c>
      <c r="G631" s="852">
        <f t="shared" si="91"/>
        <v>0.0029000088775782</v>
      </c>
      <c r="H631" s="852">
        <f t="shared" si="92"/>
        <v>0.00265730076867398</v>
      </c>
      <c r="I631" s="836">
        <f t="shared" si="93"/>
        <v>0.01</v>
      </c>
    </row>
    <row r="632" spans="1:9">
      <c r="A632" s="835"/>
      <c r="B632" s="835"/>
      <c r="C632" s="697" t="s">
        <v>2941</v>
      </c>
      <c r="D632" s="697">
        <v>770</v>
      </c>
      <c r="E632" s="697">
        <v>61339.662</v>
      </c>
      <c r="F632" s="697">
        <v>2</v>
      </c>
      <c r="G632" s="852">
        <f t="shared" si="91"/>
        <v>0.00253175378201271</v>
      </c>
      <c r="H632" s="852">
        <f t="shared" si="92"/>
        <v>0.00184823392750616</v>
      </c>
      <c r="I632" s="836">
        <f t="shared" si="93"/>
        <v>0.02</v>
      </c>
    </row>
    <row r="633" spans="1:9">
      <c r="A633" s="835"/>
      <c r="B633" s="835"/>
      <c r="C633" s="697" t="s">
        <v>2973</v>
      </c>
      <c r="D633" s="697">
        <v>555</v>
      </c>
      <c r="E633" s="697">
        <v>49944.45</v>
      </c>
      <c r="F633" s="697">
        <v>1</v>
      </c>
      <c r="G633" s="852">
        <f t="shared" si="91"/>
        <v>0.00182483551820397</v>
      </c>
      <c r="H633" s="852">
        <f t="shared" si="92"/>
        <v>0.00150488320233383</v>
      </c>
      <c r="I633" s="836">
        <f t="shared" si="93"/>
        <v>0.01</v>
      </c>
    </row>
    <row r="634" spans="1:9">
      <c r="A634" s="835"/>
      <c r="B634" s="835"/>
      <c r="C634" s="697" t="s">
        <v>2869</v>
      </c>
      <c r="D634" s="697">
        <v>531</v>
      </c>
      <c r="E634" s="697">
        <v>43127.82</v>
      </c>
      <c r="F634" s="697">
        <v>1</v>
      </c>
      <c r="G634" s="852">
        <f t="shared" si="91"/>
        <v>0.00174592371201136</v>
      </c>
      <c r="H634" s="852">
        <f t="shared" si="92"/>
        <v>0.00129949037122798</v>
      </c>
      <c r="I634" s="836">
        <f t="shared" si="93"/>
        <v>0.01</v>
      </c>
    </row>
    <row r="635" spans="1:9">
      <c r="A635" s="835"/>
      <c r="B635" s="835" t="s">
        <v>2840</v>
      </c>
      <c r="D635" s="697">
        <v>47906</v>
      </c>
      <c r="E635" s="697">
        <v>5244223.682</v>
      </c>
      <c r="F635" s="697">
        <v>9</v>
      </c>
      <c r="G635" s="852">
        <f t="shared" si="91"/>
        <v>0.157514541144287</v>
      </c>
      <c r="H635" s="852">
        <f t="shared" si="92"/>
        <v>0.15801443660553</v>
      </c>
      <c r="I635" s="836">
        <f t="shared" si="93"/>
        <v>0.09</v>
      </c>
    </row>
    <row r="636" spans="1:9">
      <c r="A636" s="835"/>
      <c r="B636" s="835"/>
      <c r="C636" s="855" t="s">
        <v>2847</v>
      </c>
      <c r="D636" s="855">
        <v>20869</v>
      </c>
      <c r="E636" s="855">
        <v>2294964</v>
      </c>
      <c r="F636" s="855">
        <v>1</v>
      </c>
      <c r="G636" s="852">
        <f t="shared" si="91"/>
        <v>0.0686171034763939</v>
      </c>
      <c r="H636" s="852">
        <f t="shared" si="92"/>
        <v>0.069149880988996</v>
      </c>
      <c r="I636" s="836">
        <f t="shared" si="93"/>
        <v>0.01</v>
      </c>
    </row>
    <row r="637" spans="1:9">
      <c r="A637" s="835"/>
      <c r="B637" s="835"/>
      <c r="C637" s="697" t="s">
        <v>2833</v>
      </c>
      <c r="D637" s="697">
        <v>13324</v>
      </c>
      <c r="E637" s="697">
        <v>1465014.96</v>
      </c>
      <c r="F637" s="697">
        <v>2</v>
      </c>
      <c r="G637" s="852">
        <f t="shared" si="91"/>
        <v>0.043809204404594</v>
      </c>
      <c r="H637" s="852">
        <f t="shared" si="92"/>
        <v>0.0441425704852445</v>
      </c>
      <c r="I637" s="836">
        <f t="shared" si="93"/>
        <v>0.02</v>
      </c>
    </row>
    <row r="638" spans="1:9">
      <c r="A638" s="835"/>
      <c r="B638" s="835"/>
      <c r="C638" s="697" t="s">
        <v>2841</v>
      </c>
      <c r="D638" s="697">
        <v>10732</v>
      </c>
      <c r="E638" s="697">
        <v>1171054.398</v>
      </c>
      <c r="F638" s="697">
        <v>3</v>
      </c>
      <c r="G638" s="852">
        <f t="shared" si="91"/>
        <v>0.0352867293357928</v>
      </c>
      <c r="H638" s="852">
        <f t="shared" si="92"/>
        <v>0.035285203712712</v>
      </c>
      <c r="I638" s="836">
        <f t="shared" si="93"/>
        <v>0.03</v>
      </c>
    </row>
    <row r="639" spans="1:9">
      <c r="A639" s="835"/>
      <c r="B639" s="835"/>
      <c r="C639" s="697" t="s">
        <v>2869</v>
      </c>
      <c r="D639" s="697">
        <v>1712</v>
      </c>
      <c r="E639" s="697">
        <v>178048</v>
      </c>
      <c r="F639" s="697">
        <v>1</v>
      </c>
      <c r="G639" s="852">
        <f t="shared" si="91"/>
        <v>0.00562904217507242</v>
      </c>
      <c r="H639" s="852">
        <f t="shared" si="92"/>
        <v>0.00536478916894938</v>
      </c>
      <c r="I639" s="836">
        <f t="shared" si="93"/>
        <v>0.01</v>
      </c>
    </row>
    <row r="640" spans="1:9">
      <c r="A640" s="835"/>
      <c r="B640" s="835"/>
      <c r="C640" s="697" t="s">
        <v>2959</v>
      </c>
      <c r="D640" s="697">
        <v>851</v>
      </c>
      <c r="E640" s="697">
        <v>93601.484</v>
      </c>
      <c r="F640" s="697">
        <v>1</v>
      </c>
      <c r="G640" s="852">
        <f t="shared" si="91"/>
        <v>0.00279808112791275</v>
      </c>
      <c r="H640" s="852">
        <f t="shared" si="92"/>
        <v>0.00282031939454972</v>
      </c>
      <c r="I640" s="836">
        <f t="shared" si="93"/>
        <v>0.01</v>
      </c>
    </row>
    <row r="641" spans="1:9">
      <c r="A641" s="787"/>
      <c r="B641" s="835"/>
      <c r="C641" s="697" t="s">
        <v>2941</v>
      </c>
      <c r="D641" s="697">
        <v>418</v>
      </c>
      <c r="E641" s="697">
        <v>41540.84</v>
      </c>
      <c r="F641" s="697">
        <v>1</v>
      </c>
      <c r="G641" s="852">
        <f t="shared" si="91"/>
        <v>0.00137438062452119</v>
      </c>
      <c r="H641" s="852">
        <f t="shared" si="92"/>
        <v>0.00125167285507874</v>
      </c>
      <c r="I641" s="836">
        <f t="shared" si="93"/>
        <v>0.01</v>
      </c>
    </row>
    <row r="642" spans="1:9">
      <c r="B642" s="835" t="s">
        <v>2830</v>
      </c>
      <c r="D642" s="697">
        <v>30081</v>
      </c>
      <c r="E642" s="697">
        <v>2536849.225</v>
      </c>
      <c r="F642" s="697">
        <v>7</v>
      </c>
      <c r="G642" s="852">
        <f t="shared" si="91"/>
        <v>0.098906085086655</v>
      </c>
      <c r="H642" s="852">
        <f t="shared" si="92"/>
        <v>0.0764381585052213</v>
      </c>
      <c r="I642" s="836">
        <f t="shared" si="93"/>
        <v>0.07</v>
      </c>
    </row>
    <row r="643" spans="1:9">
      <c r="B643" s="835"/>
      <c r="C643" s="855" t="s">
        <v>2847</v>
      </c>
      <c r="D643" s="855">
        <v>23043</v>
      </c>
      <c r="E643" s="855">
        <v>1842979.2</v>
      </c>
      <c r="F643" s="855">
        <v>1</v>
      </c>
      <c r="G643" s="852">
        <f t="shared" si="91"/>
        <v>0.0757651979206739</v>
      </c>
      <c r="H643" s="852">
        <f t="shared" si="92"/>
        <v>0.0555310638185152</v>
      </c>
      <c r="I643" s="836">
        <f t="shared" si="93"/>
        <v>0.01</v>
      </c>
    </row>
    <row r="644" spans="1:9">
      <c r="B644" s="835"/>
      <c r="C644" s="697" t="s">
        <v>2869</v>
      </c>
      <c r="D644" s="697">
        <v>2980</v>
      </c>
      <c r="E644" s="697">
        <v>297970.2</v>
      </c>
      <c r="F644" s="697">
        <v>1</v>
      </c>
      <c r="G644" s="852">
        <f t="shared" si="91"/>
        <v>0.00979821593558166</v>
      </c>
      <c r="H644" s="852">
        <f t="shared" si="92"/>
        <v>0.00897818173542911</v>
      </c>
      <c r="I644" s="836">
        <f t="shared" si="93"/>
        <v>0.01</v>
      </c>
    </row>
    <row r="645" spans="1:9">
      <c r="B645" s="835"/>
      <c r="C645" s="697" t="s">
        <v>2825</v>
      </c>
      <c r="D645" s="697">
        <v>1180</v>
      </c>
      <c r="E645" s="697">
        <v>117988.195</v>
      </c>
      <c r="F645" s="697">
        <v>1</v>
      </c>
      <c r="G645" s="852">
        <f t="shared" si="91"/>
        <v>0.00387983047113636</v>
      </c>
      <c r="H645" s="852">
        <f t="shared" si="92"/>
        <v>0.0035551187915612</v>
      </c>
      <c r="I645" s="836">
        <f t="shared" si="93"/>
        <v>0.01</v>
      </c>
    </row>
    <row r="646" spans="1:9">
      <c r="B646" s="835"/>
      <c r="C646" s="697" t="s">
        <v>2875</v>
      </c>
      <c r="D646" s="697">
        <v>936</v>
      </c>
      <c r="E646" s="697">
        <v>93590.64</v>
      </c>
      <c r="F646" s="697">
        <v>1</v>
      </c>
      <c r="G646" s="852">
        <f t="shared" si="91"/>
        <v>0.00307756044151156</v>
      </c>
      <c r="H646" s="852">
        <f t="shared" si="92"/>
        <v>0.00281999265247035</v>
      </c>
      <c r="I646" s="836">
        <f t="shared" si="93"/>
        <v>0.01</v>
      </c>
    </row>
    <row r="647" spans="1:9">
      <c r="B647" s="835"/>
      <c r="C647" s="697" t="s">
        <v>2941</v>
      </c>
      <c r="D647" s="697">
        <v>891</v>
      </c>
      <c r="E647" s="697">
        <v>80635.5</v>
      </c>
      <c r="F647" s="697">
        <v>1</v>
      </c>
      <c r="G647" s="852">
        <f t="shared" si="91"/>
        <v>0.00292960080490042</v>
      </c>
      <c r="H647" s="852">
        <f t="shared" si="92"/>
        <v>0.00242963951874112</v>
      </c>
      <c r="I647" s="836">
        <f t="shared" si="93"/>
        <v>0.01</v>
      </c>
    </row>
    <row r="648" spans="1:9">
      <c r="B648" s="835"/>
      <c r="C648" s="697" t="s">
        <v>2973</v>
      </c>
      <c r="D648" s="697">
        <v>817</v>
      </c>
      <c r="E648" s="697">
        <v>81691.83</v>
      </c>
      <c r="F648" s="697">
        <v>1</v>
      </c>
      <c r="G648" s="852">
        <f t="shared" si="91"/>
        <v>0.00268628940247323</v>
      </c>
      <c r="H648" s="852">
        <f t="shared" si="92"/>
        <v>0.00246146794558577</v>
      </c>
      <c r="I648" s="836">
        <f t="shared" si="93"/>
        <v>0.01</v>
      </c>
    </row>
    <row r="649" spans="1:9">
      <c r="B649" s="835"/>
      <c r="C649" s="697" t="s">
        <v>2833</v>
      </c>
      <c r="D649" s="697">
        <v>234</v>
      </c>
      <c r="E649" s="697">
        <v>21993.66</v>
      </c>
      <c r="F649" s="697">
        <v>1</v>
      </c>
      <c r="G649" s="852">
        <f t="shared" si="91"/>
        <v>0.000769390110377889</v>
      </c>
      <c r="H649" s="852">
        <f t="shared" si="92"/>
        <v>0.000662694042918513</v>
      </c>
      <c r="I649" s="836">
        <f t="shared" si="93"/>
        <v>0.01</v>
      </c>
    </row>
    <row r="650" spans="1:9">
      <c r="B650" s="835" t="s">
        <v>2916</v>
      </c>
      <c r="D650" s="697">
        <v>22156</v>
      </c>
      <c r="E650" s="697">
        <v>1094253.623</v>
      </c>
      <c r="F650" s="697">
        <v>6</v>
      </c>
      <c r="G650" s="852">
        <f t="shared" si="91"/>
        <v>0.0728487490834722</v>
      </c>
      <c r="H650" s="852">
        <f t="shared" si="92"/>
        <v>0.0329711088288216</v>
      </c>
      <c r="I650" s="836">
        <f t="shared" si="93"/>
        <v>0.06</v>
      </c>
    </row>
    <row r="651" spans="1:9">
      <c r="B651" s="835"/>
      <c r="C651" s="697" t="s">
        <v>2901</v>
      </c>
      <c r="D651" s="697">
        <v>17432</v>
      </c>
      <c r="E651" s="697">
        <v>871425.7</v>
      </c>
      <c r="F651" s="697">
        <v>1</v>
      </c>
      <c r="G651" s="852">
        <f t="shared" si="91"/>
        <v>0.057316275231228</v>
      </c>
      <c r="H651" s="852">
        <f t="shared" si="92"/>
        <v>0.0262570495422815</v>
      </c>
      <c r="I651" s="836">
        <f t="shared" si="93"/>
        <v>0.01</v>
      </c>
    </row>
    <row r="652" spans="1:9">
      <c r="B652" s="835"/>
      <c r="C652" s="697" t="s">
        <v>2914</v>
      </c>
      <c r="D652" s="697">
        <v>2453</v>
      </c>
      <c r="E652" s="697">
        <v>119396.443</v>
      </c>
      <c r="F652" s="697">
        <v>3</v>
      </c>
      <c r="G652" s="852">
        <f t="shared" si="91"/>
        <v>0.00806544419126907</v>
      </c>
      <c r="H652" s="852">
        <f t="shared" si="92"/>
        <v>0.0035975509088419</v>
      </c>
      <c r="I652" s="836">
        <f t="shared" si="93"/>
        <v>0.03</v>
      </c>
    </row>
    <row r="653" spans="1:9">
      <c r="B653" s="835"/>
      <c r="C653" s="697" t="s">
        <v>2926</v>
      </c>
      <c r="D653" s="697">
        <v>1962</v>
      </c>
      <c r="E653" s="697">
        <v>88074.18</v>
      </c>
      <c r="F653" s="697">
        <v>1</v>
      </c>
      <c r="G653" s="852">
        <f t="shared" si="91"/>
        <v>0.00645104015624538</v>
      </c>
      <c r="H653" s="852">
        <f t="shared" si="92"/>
        <v>0.00265377542532406</v>
      </c>
      <c r="I653" s="836">
        <f t="shared" si="93"/>
        <v>0.01</v>
      </c>
    </row>
    <row r="654" spans="1:9">
      <c r="B654" s="835"/>
      <c r="C654" s="697" t="s">
        <v>3010</v>
      </c>
      <c r="D654" s="697">
        <v>309</v>
      </c>
      <c r="E654" s="697">
        <v>15357.3</v>
      </c>
      <c r="F654" s="697">
        <v>1</v>
      </c>
      <c r="G654" s="852">
        <f t="shared" si="91"/>
        <v>0.00101598950472978</v>
      </c>
      <c r="H654" s="852">
        <f t="shared" si="92"/>
        <v>0.000462732952374115</v>
      </c>
      <c r="I654" s="836">
        <f t="shared" si="93"/>
        <v>0.01</v>
      </c>
    </row>
    <row r="655" spans="1:9">
      <c r="B655" s="835" t="s">
        <v>2857</v>
      </c>
      <c r="D655" s="697">
        <v>21766</v>
      </c>
      <c r="E655" s="697">
        <v>4931042.56</v>
      </c>
      <c r="F655" s="697">
        <v>7</v>
      </c>
      <c r="G655" s="852">
        <f t="shared" si="91"/>
        <v>0.0715664322328424</v>
      </c>
      <c r="H655" s="852">
        <f t="shared" si="92"/>
        <v>0.1485779324537</v>
      </c>
      <c r="I655" s="836">
        <f t="shared" si="93"/>
        <v>0.07</v>
      </c>
    </row>
    <row r="656" spans="1:9">
      <c r="B656" s="835"/>
      <c r="C656" s="855" t="s">
        <v>2833</v>
      </c>
      <c r="D656" s="855">
        <v>11474</v>
      </c>
      <c r="E656" s="855">
        <v>2294685.2</v>
      </c>
      <c r="F656" s="855">
        <v>1</v>
      </c>
      <c r="G656" s="852">
        <f t="shared" si="91"/>
        <v>0.0377264193439141</v>
      </c>
      <c r="H656" s="852">
        <f t="shared" si="92"/>
        <v>0.0691414804272357</v>
      </c>
      <c r="I656" s="836">
        <f t="shared" si="93"/>
        <v>0.01</v>
      </c>
    </row>
    <row r="657" spans="2:9">
      <c r="B657" s="835"/>
      <c r="C657" s="697" t="s">
        <v>2891</v>
      </c>
      <c r="D657" s="697">
        <v>5123</v>
      </c>
      <c r="E657" s="697">
        <v>1375028.47</v>
      </c>
      <c r="F657" s="697">
        <v>2</v>
      </c>
      <c r="G657" s="852">
        <f t="shared" si="91"/>
        <v>0.0168443826301963</v>
      </c>
      <c r="H657" s="852">
        <f t="shared" si="92"/>
        <v>0.0414311749800787</v>
      </c>
      <c r="I657" s="836">
        <f t="shared" si="93"/>
        <v>0.02</v>
      </c>
    </row>
    <row r="658" spans="2:9">
      <c r="B658" s="835"/>
      <c r="C658" s="697" t="s">
        <v>2869</v>
      </c>
      <c r="D658" s="697">
        <v>3280</v>
      </c>
      <c r="E658" s="697">
        <v>721436</v>
      </c>
      <c r="F658" s="697">
        <v>1</v>
      </c>
      <c r="G658" s="852">
        <f t="shared" si="91"/>
        <v>0.0107846135129892</v>
      </c>
      <c r="H658" s="852">
        <f t="shared" si="92"/>
        <v>0.0217376889315812</v>
      </c>
      <c r="I658" s="836">
        <f t="shared" si="93"/>
        <v>0.01</v>
      </c>
    </row>
    <row r="659" spans="2:9">
      <c r="B659" s="835"/>
      <c r="C659" s="697" t="s">
        <v>3003</v>
      </c>
      <c r="D659" s="697">
        <v>956</v>
      </c>
      <c r="E659" s="697">
        <v>334552.22</v>
      </c>
      <c r="F659" s="697">
        <v>1</v>
      </c>
      <c r="G659" s="852">
        <f t="shared" si="91"/>
        <v>0.00314332028000539</v>
      </c>
      <c r="H659" s="852">
        <f t="shared" si="92"/>
        <v>0.0100804396921278</v>
      </c>
      <c r="I659" s="836">
        <f t="shared" si="93"/>
        <v>0.01</v>
      </c>
    </row>
    <row r="660" spans="2:9">
      <c r="B660" s="835"/>
      <c r="C660" s="697" t="s">
        <v>2956</v>
      </c>
      <c r="D660" s="697">
        <v>702</v>
      </c>
      <c r="E660" s="697">
        <v>161452.98</v>
      </c>
      <c r="F660" s="697">
        <v>1</v>
      </c>
      <c r="G660" s="852">
        <f t="shared" si="91"/>
        <v>0.00230817033113367</v>
      </c>
      <c r="H660" s="852">
        <f t="shared" si="92"/>
        <v>0.00486476230229265</v>
      </c>
      <c r="I660" s="836">
        <f t="shared" si="93"/>
        <v>0.01</v>
      </c>
    </row>
    <row r="661" spans="2:9">
      <c r="B661" s="835"/>
      <c r="C661" s="697" t="s">
        <v>2996</v>
      </c>
      <c r="D661" s="697">
        <v>231</v>
      </c>
      <c r="E661" s="697">
        <v>43887.69</v>
      </c>
      <c r="F661" s="697">
        <v>1</v>
      </c>
      <c r="G661" s="852">
        <f t="shared" si="91"/>
        <v>0.000759526134603813</v>
      </c>
      <c r="H661" s="852">
        <f t="shared" si="92"/>
        <v>0.00132238612038444</v>
      </c>
      <c r="I661" s="836">
        <f t="shared" si="93"/>
        <v>0.01</v>
      </c>
    </row>
    <row r="662" spans="2:9">
      <c r="B662" s="835" t="s">
        <v>2882</v>
      </c>
      <c r="D662" s="697">
        <v>20334</v>
      </c>
      <c r="E662" s="697">
        <v>1415899.706</v>
      </c>
      <c r="F662" s="697">
        <v>10</v>
      </c>
      <c r="G662" s="852">
        <f t="shared" si="91"/>
        <v>0.0668580277966837</v>
      </c>
      <c r="H662" s="852">
        <f t="shared" si="92"/>
        <v>0.042662671903461</v>
      </c>
      <c r="I662" s="836">
        <f t="shared" si="93"/>
        <v>0.1</v>
      </c>
    </row>
    <row r="663" spans="2:9">
      <c r="B663" s="835"/>
      <c r="C663" s="869" t="s">
        <v>2810</v>
      </c>
      <c r="D663" s="869">
        <v>4279</v>
      </c>
      <c r="E663" s="869">
        <v>342277.2</v>
      </c>
      <c r="F663" s="869">
        <v>1</v>
      </c>
      <c r="G663" s="852">
        <f t="shared" si="91"/>
        <v>0.0140693174457564</v>
      </c>
      <c r="H663" s="852">
        <f t="shared" si="92"/>
        <v>0.0103132021440192</v>
      </c>
      <c r="I663" s="836">
        <f t="shared" si="93"/>
        <v>0.01</v>
      </c>
    </row>
    <row r="664" spans="2:9">
      <c r="B664" s="835"/>
      <c r="C664" s="697" t="s">
        <v>2926</v>
      </c>
      <c r="D664" s="697">
        <v>3991</v>
      </c>
      <c r="E664" s="697">
        <v>279330.1</v>
      </c>
      <c r="F664" s="697">
        <v>1</v>
      </c>
      <c r="G664" s="852">
        <f t="shared" si="91"/>
        <v>0.0131223757714451</v>
      </c>
      <c r="H664" s="852">
        <f t="shared" si="92"/>
        <v>0.0084165342775069</v>
      </c>
      <c r="I664" s="836">
        <f t="shared" si="93"/>
        <v>0.01</v>
      </c>
    </row>
    <row r="665" spans="2:9">
      <c r="B665" s="835"/>
      <c r="C665" s="697" t="s">
        <v>2999</v>
      </c>
      <c r="D665" s="697">
        <v>3104</v>
      </c>
      <c r="E665" s="697">
        <v>207129.94</v>
      </c>
      <c r="F665" s="697">
        <v>1</v>
      </c>
      <c r="G665" s="852">
        <f t="shared" si="91"/>
        <v>0.0102059269342434</v>
      </c>
      <c r="H665" s="852">
        <f t="shared" si="92"/>
        <v>0.00624106116708492</v>
      </c>
      <c r="I665" s="836">
        <f t="shared" si="93"/>
        <v>0.01</v>
      </c>
    </row>
    <row r="666" spans="2:9">
      <c r="B666" s="835"/>
      <c r="C666" s="697" t="s">
        <v>2847</v>
      </c>
      <c r="D666" s="697">
        <v>2695</v>
      </c>
      <c r="E666" s="697">
        <v>170485.7</v>
      </c>
      <c r="F666" s="697">
        <v>1</v>
      </c>
      <c r="G666" s="852">
        <f t="shared" si="91"/>
        <v>0.00886113823704449</v>
      </c>
      <c r="H666" s="852">
        <f t="shared" si="92"/>
        <v>0.00513692845087142</v>
      </c>
      <c r="I666" s="836">
        <f t="shared" si="93"/>
        <v>0.01</v>
      </c>
    </row>
    <row r="667" spans="2:9">
      <c r="B667" s="835"/>
      <c r="C667" s="697" t="s">
        <v>2875</v>
      </c>
      <c r="D667" s="697">
        <v>2305</v>
      </c>
      <c r="E667" s="697">
        <v>161326.94</v>
      </c>
      <c r="F667" s="697">
        <v>1</v>
      </c>
      <c r="G667" s="852">
        <f t="shared" si="91"/>
        <v>0.00757882138641467</v>
      </c>
      <c r="H667" s="852">
        <f t="shared" si="92"/>
        <v>0.00486096457343945</v>
      </c>
      <c r="I667" s="836">
        <f t="shared" si="93"/>
        <v>0.01</v>
      </c>
    </row>
    <row r="668" spans="2:9">
      <c r="B668" s="835"/>
      <c r="C668" s="697" t="s">
        <v>2859</v>
      </c>
      <c r="D668" s="697">
        <v>2032</v>
      </c>
      <c r="E668" s="697">
        <v>132059.67</v>
      </c>
      <c r="F668" s="697">
        <v>1</v>
      </c>
      <c r="G668" s="852">
        <f t="shared" si="91"/>
        <v>0.0066811995909738</v>
      </c>
      <c r="H668" s="852">
        <f t="shared" si="92"/>
        <v>0.00397910837117536</v>
      </c>
      <c r="I668" s="836">
        <f t="shared" si="93"/>
        <v>0.01</v>
      </c>
    </row>
    <row r="669" spans="2:9">
      <c r="B669" s="835"/>
      <c r="C669" s="697" t="s">
        <v>2941</v>
      </c>
      <c r="D669" s="697">
        <v>578</v>
      </c>
      <c r="E669" s="697">
        <v>35830.223</v>
      </c>
      <c r="F669" s="697">
        <v>1</v>
      </c>
      <c r="G669" s="852">
        <f t="shared" si="91"/>
        <v>0.00190045933247188</v>
      </c>
      <c r="H669" s="852">
        <f t="shared" si="92"/>
        <v>0.00107960545623338</v>
      </c>
      <c r="I669" s="836">
        <f t="shared" si="93"/>
        <v>0.01</v>
      </c>
    </row>
    <row r="670" spans="2:9">
      <c r="B670" s="835"/>
      <c r="C670" s="697" t="s">
        <v>2931</v>
      </c>
      <c r="D670" s="697">
        <v>577</v>
      </c>
      <c r="E670" s="697">
        <v>35623.98</v>
      </c>
      <c r="F670" s="697">
        <v>1</v>
      </c>
      <c r="G670" s="852">
        <f t="shared" si="91"/>
        <v>0.00189717134054719</v>
      </c>
      <c r="H670" s="852">
        <f t="shared" si="92"/>
        <v>0.00107339111957938</v>
      </c>
      <c r="I670" s="836">
        <f t="shared" si="93"/>
        <v>0.01</v>
      </c>
    </row>
    <row r="671" spans="2:9">
      <c r="B671" s="835"/>
      <c r="C671" s="697" t="s">
        <v>2987</v>
      </c>
      <c r="D671" s="697">
        <v>532</v>
      </c>
      <c r="E671" s="697">
        <v>34968.363</v>
      </c>
      <c r="F671" s="697">
        <v>1</v>
      </c>
      <c r="G671" s="852">
        <f t="shared" si="91"/>
        <v>0.00174921170393606</v>
      </c>
      <c r="H671" s="852">
        <f t="shared" si="92"/>
        <v>0.00105363663213454</v>
      </c>
      <c r="I671" s="836">
        <f t="shared" si="93"/>
        <v>0.01</v>
      </c>
    </row>
    <row r="672" spans="2:9">
      <c r="B672" s="835"/>
      <c r="C672" s="697" t="s">
        <v>2841</v>
      </c>
      <c r="D672" s="697">
        <v>241</v>
      </c>
      <c r="E672" s="697">
        <v>16867.59</v>
      </c>
      <c r="F672" s="697">
        <v>1</v>
      </c>
      <c r="G672" s="852">
        <f t="shared" si="91"/>
        <v>0.000792406053850732</v>
      </c>
      <c r="H672" s="852">
        <f t="shared" si="92"/>
        <v>0.000508239711416466</v>
      </c>
      <c r="I672" s="836">
        <f t="shared" si="93"/>
        <v>0.01</v>
      </c>
    </row>
    <row r="673" spans="2:9">
      <c r="B673" s="835" t="s">
        <v>2880</v>
      </c>
      <c r="D673" s="870">
        <v>13945</v>
      </c>
      <c r="E673" s="870">
        <v>2760257.51</v>
      </c>
      <c r="F673" s="870">
        <v>5</v>
      </c>
      <c r="G673" s="852">
        <f t="shared" si="91"/>
        <v>0.0458510473898276</v>
      </c>
      <c r="H673" s="852">
        <f t="shared" si="92"/>
        <v>0.0831697047602848</v>
      </c>
      <c r="I673" s="836">
        <f t="shared" si="93"/>
        <v>0.05</v>
      </c>
    </row>
    <row r="674" spans="2:9">
      <c r="B674" s="835"/>
      <c r="C674" s="697" t="s">
        <v>2875</v>
      </c>
      <c r="D674" s="697">
        <v>9972</v>
      </c>
      <c r="E674" s="697">
        <v>1994300.4</v>
      </c>
      <c r="F674" s="697">
        <v>1</v>
      </c>
      <c r="G674" s="852">
        <f t="shared" si="91"/>
        <v>0.032787855473027</v>
      </c>
      <c r="H674" s="852">
        <f t="shared" si="92"/>
        <v>0.0600905440417833</v>
      </c>
      <c r="I674" s="836">
        <f t="shared" si="93"/>
        <v>0.01</v>
      </c>
    </row>
    <row r="675" spans="2:9">
      <c r="B675" s="835"/>
      <c r="C675" s="697" t="s">
        <v>2952</v>
      </c>
      <c r="D675" s="697">
        <v>1895</v>
      </c>
      <c r="E675" s="697">
        <v>360031.06</v>
      </c>
      <c r="F675" s="697">
        <v>1</v>
      </c>
      <c r="G675" s="852">
        <f t="shared" si="91"/>
        <v>0.00623074469729102</v>
      </c>
      <c r="H675" s="852">
        <f t="shared" si="92"/>
        <v>0.0108481461806556</v>
      </c>
      <c r="I675" s="836">
        <f t="shared" si="93"/>
        <v>0.01</v>
      </c>
    </row>
    <row r="676" spans="2:9">
      <c r="B676" s="835"/>
      <c r="C676" s="697" t="s">
        <v>2941</v>
      </c>
      <c r="D676" s="697">
        <v>922</v>
      </c>
      <c r="E676" s="697">
        <v>166697.61</v>
      </c>
      <c r="F676" s="697">
        <v>1</v>
      </c>
      <c r="G676" s="852">
        <f t="shared" si="91"/>
        <v>0.00303152855456587</v>
      </c>
      <c r="H676" s="852">
        <f t="shared" si="92"/>
        <v>0.00502278898172262</v>
      </c>
      <c r="I676" s="836">
        <f t="shared" si="93"/>
        <v>0.01</v>
      </c>
    </row>
    <row r="677" spans="2:9">
      <c r="B677" s="835"/>
      <c r="C677" s="697" t="s">
        <v>2833</v>
      </c>
      <c r="D677" s="697">
        <v>666</v>
      </c>
      <c r="E677" s="697">
        <v>126533.34</v>
      </c>
      <c r="F677" s="697">
        <v>1</v>
      </c>
      <c r="G677" s="852">
        <f t="shared" si="91"/>
        <v>0.00218980262184476</v>
      </c>
      <c r="H677" s="852">
        <f t="shared" si="92"/>
        <v>0.0038125937496798</v>
      </c>
      <c r="I677" s="836">
        <f t="shared" si="93"/>
        <v>0.01</v>
      </c>
    </row>
    <row r="678" spans="2:9">
      <c r="B678" s="835"/>
      <c r="C678" s="697" t="s">
        <v>3016</v>
      </c>
      <c r="D678" s="697">
        <v>490</v>
      </c>
      <c r="E678" s="697">
        <v>112695.1</v>
      </c>
      <c r="F678" s="697">
        <v>1</v>
      </c>
      <c r="G678" s="852">
        <f t="shared" si="91"/>
        <v>0.001611116043099</v>
      </c>
      <c r="H678" s="852">
        <f t="shared" si="92"/>
        <v>0.00339563180644359</v>
      </c>
      <c r="I678" s="836">
        <f t="shared" si="93"/>
        <v>0.01</v>
      </c>
    </row>
    <row r="679" spans="2:9">
      <c r="B679" s="835" t="s">
        <v>2887</v>
      </c>
      <c r="D679" s="697">
        <v>13332</v>
      </c>
      <c r="E679" s="697">
        <v>1910386.67</v>
      </c>
      <c r="F679" s="697">
        <v>6</v>
      </c>
      <c r="G679" s="852">
        <f t="shared" si="91"/>
        <v>0.0438355083399915</v>
      </c>
      <c r="H679" s="852">
        <f t="shared" si="92"/>
        <v>0.0575621277168027</v>
      </c>
      <c r="I679" s="836">
        <f t="shared" si="93"/>
        <v>0.06</v>
      </c>
    </row>
    <row r="680" spans="2:9">
      <c r="B680" s="835"/>
      <c r="C680" s="697" t="s">
        <v>2885</v>
      </c>
      <c r="D680" s="697">
        <v>7579</v>
      </c>
      <c r="E680" s="697">
        <v>1136774.2</v>
      </c>
      <c r="F680" s="697">
        <v>1</v>
      </c>
      <c r="G680" s="852">
        <f t="shared" si="91"/>
        <v>0.0249196907972394</v>
      </c>
      <c r="H680" s="852">
        <f t="shared" si="92"/>
        <v>0.0342523022763586</v>
      </c>
      <c r="I680" s="836">
        <f t="shared" si="93"/>
        <v>0.01</v>
      </c>
    </row>
    <row r="681" spans="2:9">
      <c r="B681" s="835"/>
      <c r="C681" s="697" t="s">
        <v>2897</v>
      </c>
      <c r="D681" s="697">
        <v>1850</v>
      </c>
      <c r="E681" s="697">
        <v>277481.5</v>
      </c>
      <c r="F681" s="697">
        <v>1</v>
      </c>
      <c r="G681" s="852">
        <f t="shared" si="91"/>
        <v>0.00608278506067989</v>
      </c>
      <c r="H681" s="852">
        <f t="shared" si="92"/>
        <v>0.00836083385257812</v>
      </c>
      <c r="I681" s="836">
        <f t="shared" si="93"/>
        <v>0.01</v>
      </c>
    </row>
    <row r="682" spans="2:9">
      <c r="B682" s="835"/>
      <c r="C682" s="697" t="s">
        <v>2918</v>
      </c>
      <c r="D682" s="697">
        <v>1488</v>
      </c>
      <c r="E682" s="697">
        <v>133905.11</v>
      </c>
      <c r="F682" s="697">
        <v>1</v>
      </c>
      <c r="G682" s="852">
        <f t="shared" si="91"/>
        <v>0.00489253198394145</v>
      </c>
      <c r="H682" s="852">
        <f t="shared" si="92"/>
        <v>0.00403471358170255</v>
      </c>
      <c r="I682" s="836">
        <f t="shared" si="93"/>
        <v>0.01</v>
      </c>
    </row>
    <row r="683" spans="2:9">
      <c r="B683" s="835"/>
      <c r="C683" s="697" t="s">
        <v>2969</v>
      </c>
      <c r="D683" s="697">
        <v>1235</v>
      </c>
      <c r="E683" s="697">
        <v>185237.66</v>
      </c>
      <c r="F683" s="697">
        <v>1</v>
      </c>
      <c r="G683" s="852">
        <f t="shared" si="91"/>
        <v>0.00406067002699441</v>
      </c>
      <c r="H683" s="852">
        <f t="shared" si="92"/>
        <v>0.00558142181911355</v>
      </c>
      <c r="I683" s="836">
        <f t="shared" si="93"/>
        <v>0.01</v>
      </c>
    </row>
    <row r="684" spans="2:9">
      <c r="B684" s="835"/>
      <c r="C684" s="697" t="s">
        <v>2891</v>
      </c>
      <c r="D684" s="697">
        <v>815</v>
      </c>
      <c r="E684" s="697">
        <v>122241.85</v>
      </c>
      <c r="F684" s="697">
        <v>1</v>
      </c>
      <c r="G684" s="852">
        <f t="shared" si="91"/>
        <v>0.00267971341862384</v>
      </c>
      <c r="H684" s="852">
        <f t="shared" si="92"/>
        <v>0.00368328626478441</v>
      </c>
      <c r="I684" s="836">
        <f t="shared" si="93"/>
        <v>0.01</v>
      </c>
    </row>
    <row r="685" spans="2:9">
      <c r="B685" s="835"/>
      <c r="C685" s="697" t="s">
        <v>3012</v>
      </c>
      <c r="D685" s="697">
        <v>365</v>
      </c>
      <c r="E685" s="697">
        <v>54746.35</v>
      </c>
      <c r="F685" s="697">
        <v>1</v>
      </c>
      <c r="G685" s="852">
        <f t="shared" si="91"/>
        <v>0.00120011705251252</v>
      </c>
      <c r="H685" s="852">
        <f t="shared" si="92"/>
        <v>0.00164956992226541</v>
      </c>
      <c r="I685" s="836">
        <f t="shared" si="93"/>
        <v>0.01</v>
      </c>
    </row>
    <row r="686" spans="2:9">
      <c r="B686" s="835" t="s">
        <v>2864</v>
      </c>
      <c r="D686" s="697">
        <v>11434</v>
      </c>
      <c r="E686" s="697">
        <v>451119.21</v>
      </c>
      <c r="F686" s="697">
        <v>5</v>
      </c>
      <c r="G686" s="852">
        <f t="shared" si="91"/>
        <v>0.0375948996669264</v>
      </c>
      <c r="H686" s="852">
        <f t="shared" si="92"/>
        <v>0.0135927359572307</v>
      </c>
      <c r="I686" s="836">
        <f t="shared" si="93"/>
        <v>0.05</v>
      </c>
    </row>
    <row r="687" spans="2:9">
      <c r="B687" s="835"/>
      <c r="C687" s="697" t="s">
        <v>2859</v>
      </c>
      <c r="D687" s="697">
        <v>5301</v>
      </c>
      <c r="E687" s="697">
        <v>211987</v>
      </c>
      <c r="F687" s="697">
        <v>1</v>
      </c>
      <c r="G687" s="852">
        <f t="shared" si="91"/>
        <v>0.0174296451927914</v>
      </c>
      <c r="H687" s="852">
        <f t="shared" si="92"/>
        <v>0.00638740992068472</v>
      </c>
      <c r="I687" s="836">
        <f t="shared" si="93"/>
        <v>0.01</v>
      </c>
    </row>
    <row r="688" spans="2:9">
      <c r="B688" s="835"/>
      <c r="C688" s="697" t="s">
        <v>2914</v>
      </c>
      <c r="D688" s="697">
        <v>2946</v>
      </c>
      <c r="E688" s="697">
        <v>117810.55</v>
      </c>
      <c r="F688" s="697">
        <v>1</v>
      </c>
      <c r="G688" s="852">
        <f t="shared" si="91"/>
        <v>0.00968642421014214</v>
      </c>
      <c r="H688" s="852">
        <f t="shared" si="92"/>
        <v>0.00354976614524156</v>
      </c>
      <c r="I688" s="836">
        <f t="shared" si="93"/>
        <v>0.01</v>
      </c>
    </row>
    <row r="689" spans="2:9">
      <c r="B689" s="835"/>
      <c r="C689" s="697" t="s">
        <v>2964</v>
      </c>
      <c r="D689" s="697">
        <v>1613</v>
      </c>
      <c r="E689" s="697">
        <v>58912.56</v>
      </c>
      <c r="F689" s="697">
        <v>2</v>
      </c>
      <c r="G689" s="852">
        <f t="shared" si="91"/>
        <v>0.00530353097452793</v>
      </c>
      <c r="H689" s="852">
        <f t="shared" si="92"/>
        <v>0.00177510257797381</v>
      </c>
      <c r="I689" s="836">
        <f t="shared" si="93"/>
        <v>0.02</v>
      </c>
    </row>
    <row r="690" spans="2:9">
      <c r="B690" s="835"/>
      <c r="C690" s="697" t="s">
        <v>2901</v>
      </c>
      <c r="D690" s="697">
        <v>1574</v>
      </c>
      <c r="E690" s="697">
        <v>62409.1</v>
      </c>
      <c r="F690" s="697">
        <v>1</v>
      </c>
      <c r="G690" s="852">
        <f t="shared" si="91"/>
        <v>0.00517529928946495</v>
      </c>
      <c r="H690" s="852">
        <f t="shared" si="92"/>
        <v>0.00188045731333056</v>
      </c>
      <c r="I690" s="836">
        <f t="shared" si="93"/>
        <v>0.01</v>
      </c>
    </row>
    <row r="691" spans="2:9">
      <c r="B691" s="835" t="s">
        <v>2906</v>
      </c>
      <c r="D691" s="697">
        <v>11125</v>
      </c>
      <c r="E691" s="697">
        <v>1296486.805</v>
      </c>
      <c r="F691" s="697">
        <v>8</v>
      </c>
      <c r="G691" s="852">
        <f t="shared" ref="G691:G734" si="94">D691/$C$150</f>
        <v>0.0365789101621966</v>
      </c>
      <c r="H691" s="852">
        <f t="shared" ref="H691:H734" si="95">E691/$D$150</f>
        <v>0.0390646250963212</v>
      </c>
      <c r="I691" s="836">
        <f t="shared" ref="I691:I734" si="96">F691/$E$150</f>
        <v>0.08</v>
      </c>
    </row>
    <row r="692" spans="2:9">
      <c r="B692" s="835"/>
      <c r="C692" s="855" t="s">
        <v>2833</v>
      </c>
      <c r="D692" s="855">
        <v>3245</v>
      </c>
      <c r="E692" s="855">
        <v>389367.53</v>
      </c>
      <c r="F692" s="855">
        <v>1</v>
      </c>
      <c r="G692" s="852">
        <f t="shared" si="94"/>
        <v>0.010669533795625</v>
      </c>
      <c r="H692" s="852">
        <f t="shared" si="95"/>
        <v>0.0117320874577899</v>
      </c>
      <c r="I692" s="836">
        <f t="shared" si="96"/>
        <v>0.01</v>
      </c>
    </row>
    <row r="693" spans="2:9">
      <c r="B693" s="835"/>
      <c r="C693" s="697" t="s">
        <v>2941</v>
      </c>
      <c r="D693" s="697">
        <v>3022</v>
      </c>
      <c r="E693" s="697">
        <v>362609.76</v>
      </c>
      <c r="F693" s="697">
        <v>2</v>
      </c>
      <c r="G693" s="852">
        <f t="shared" si="94"/>
        <v>0.00993631159641872</v>
      </c>
      <c r="H693" s="852">
        <f t="shared" si="95"/>
        <v>0.0109258453507107</v>
      </c>
      <c r="I693" s="836">
        <f t="shared" si="96"/>
        <v>0.02</v>
      </c>
    </row>
    <row r="694" spans="2:9">
      <c r="B694" s="835"/>
      <c r="C694" s="697" t="s">
        <v>2954</v>
      </c>
      <c r="D694" s="697">
        <v>1757</v>
      </c>
      <c r="E694" s="697">
        <v>208081.52</v>
      </c>
      <c r="F694" s="697">
        <v>1</v>
      </c>
      <c r="G694" s="852">
        <f t="shared" si="94"/>
        <v>0.00577700181168355</v>
      </c>
      <c r="H694" s="852">
        <f t="shared" si="95"/>
        <v>0.0062697333570415</v>
      </c>
      <c r="I694" s="836">
        <f t="shared" si="96"/>
        <v>0.01</v>
      </c>
    </row>
    <row r="695" spans="2:9">
      <c r="B695" s="835"/>
      <c r="C695" s="697" t="s">
        <v>2994</v>
      </c>
      <c r="D695" s="697">
        <v>1010</v>
      </c>
      <c r="E695" s="697">
        <v>85829.805</v>
      </c>
      <c r="F695" s="697">
        <v>1</v>
      </c>
      <c r="G695" s="852">
        <f t="shared" si="94"/>
        <v>0.00332087184393875</v>
      </c>
      <c r="H695" s="852">
        <f t="shared" si="95"/>
        <v>0.00258614984856352</v>
      </c>
      <c r="I695" s="836">
        <f t="shared" si="96"/>
        <v>0.01</v>
      </c>
    </row>
    <row r="696" spans="2:9">
      <c r="B696" s="835"/>
      <c r="C696" s="697" t="s">
        <v>2847</v>
      </c>
      <c r="D696" s="697">
        <v>981</v>
      </c>
      <c r="E696" s="697">
        <v>117710.19</v>
      </c>
      <c r="F696" s="697">
        <v>1</v>
      </c>
      <c r="G696" s="852">
        <f t="shared" si="94"/>
        <v>0.00322552007812269</v>
      </c>
      <c r="H696" s="852">
        <f t="shared" si="95"/>
        <v>0.00354674218405696</v>
      </c>
      <c r="I696" s="836">
        <f t="shared" si="96"/>
        <v>0.01</v>
      </c>
    </row>
    <row r="697" spans="2:9">
      <c r="B697" s="835"/>
      <c r="C697" s="697" t="s">
        <v>2991</v>
      </c>
      <c r="D697" s="697">
        <v>600</v>
      </c>
      <c r="E697" s="697">
        <v>71994</v>
      </c>
      <c r="F697" s="697">
        <v>1</v>
      </c>
      <c r="G697" s="852">
        <f t="shared" si="94"/>
        <v>0.0019727951548151</v>
      </c>
      <c r="H697" s="852">
        <f t="shared" si="95"/>
        <v>0.00216926127465258</v>
      </c>
      <c r="I697" s="836">
        <f t="shared" si="96"/>
        <v>0.01</v>
      </c>
    </row>
    <row r="698" spans="2:9">
      <c r="B698" s="835"/>
      <c r="C698" s="697" t="s">
        <v>2891</v>
      </c>
      <c r="D698" s="697">
        <v>510</v>
      </c>
      <c r="E698" s="697">
        <v>60894</v>
      </c>
      <c r="F698" s="697">
        <v>1</v>
      </c>
      <c r="G698" s="852">
        <f t="shared" si="94"/>
        <v>0.00167687588159283</v>
      </c>
      <c r="H698" s="852">
        <f t="shared" si="95"/>
        <v>0.00183480562350604</v>
      </c>
      <c r="I698" s="836">
        <f t="shared" si="96"/>
        <v>0.01</v>
      </c>
    </row>
    <row r="699" spans="2:9">
      <c r="B699" s="835" t="s">
        <v>2890</v>
      </c>
      <c r="D699" s="697">
        <v>10248</v>
      </c>
      <c r="E699" s="697">
        <v>1638632.6</v>
      </c>
      <c r="F699" s="697">
        <v>3</v>
      </c>
      <c r="G699" s="852">
        <f t="shared" si="94"/>
        <v>0.0336953412442419</v>
      </c>
      <c r="H699" s="852">
        <f t="shared" si="95"/>
        <v>0.0493738678579224</v>
      </c>
      <c r="I699" s="836">
        <f t="shared" si="96"/>
        <v>0.03</v>
      </c>
    </row>
    <row r="700" spans="2:9">
      <c r="B700" s="835"/>
      <c r="C700" s="697" t="s">
        <v>2841</v>
      </c>
      <c r="D700" s="697">
        <v>5320</v>
      </c>
      <c r="E700" s="697">
        <v>850934</v>
      </c>
      <c r="F700" s="697">
        <v>1</v>
      </c>
      <c r="G700" s="852">
        <f t="shared" si="94"/>
        <v>0.0174921170393606</v>
      </c>
      <c r="H700" s="852">
        <f t="shared" si="95"/>
        <v>0.0256396112660113</v>
      </c>
      <c r="I700" s="836">
        <f t="shared" si="96"/>
        <v>0.01</v>
      </c>
    </row>
    <row r="701" spans="2:9">
      <c r="B701" s="835"/>
      <c r="C701" s="697" t="s">
        <v>2897</v>
      </c>
      <c r="D701" s="697">
        <v>4224</v>
      </c>
      <c r="E701" s="697">
        <v>675797.8</v>
      </c>
      <c r="F701" s="697">
        <v>1</v>
      </c>
      <c r="G701" s="852">
        <f t="shared" si="94"/>
        <v>0.0138884778898983</v>
      </c>
      <c r="H701" s="852">
        <f t="shared" si="95"/>
        <v>0.0203625579497654</v>
      </c>
      <c r="I701" s="836">
        <f t="shared" si="96"/>
        <v>0.01</v>
      </c>
    </row>
    <row r="702" spans="2:9">
      <c r="B702" s="835"/>
      <c r="C702" s="697" t="s">
        <v>2891</v>
      </c>
      <c r="D702" s="697">
        <v>704</v>
      </c>
      <c r="E702" s="697">
        <v>111900.8</v>
      </c>
      <c r="F702" s="697">
        <v>1</v>
      </c>
      <c r="G702" s="852">
        <f t="shared" si="94"/>
        <v>0.00231474631498305</v>
      </c>
      <c r="H702" s="852">
        <f t="shared" si="95"/>
        <v>0.00337169864214578</v>
      </c>
      <c r="I702" s="836">
        <f t="shared" si="96"/>
        <v>0.01</v>
      </c>
    </row>
    <row r="703" spans="2:9">
      <c r="B703" s="835" t="s">
        <v>2866</v>
      </c>
      <c r="D703" s="697">
        <v>10072</v>
      </c>
      <c r="E703" s="697">
        <v>596203.979</v>
      </c>
      <c r="F703" s="697">
        <v>4</v>
      </c>
      <c r="G703" s="852">
        <f t="shared" si="94"/>
        <v>0.0331166546654961</v>
      </c>
      <c r="H703" s="852">
        <f t="shared" si="95"/>
        <v>0.0179643054065405</v>
      </c>
      <c r="I703" s="836">
        <f t="shared" si="96"/>
        <v>0.04</v>
      </c>
    </row>
    <row r="704" spans="2:9">
      <c r="B704" s="835"/>
      <c r="C704" s="697" t="s">
        <v>2841</v>
      </c>
      <c r="D704" s="697">
        <v>9234</v>
      </c>
      <c r="E704" s="697">
        <v>550106.8</v>
      </c>
      <c r="F704" s="697">
        <v>2</v>
      </c>
      <c r="G704" s="852">
        <f t="shared" si="94"/>
        <v>0.0303613174326044</v>
      </c>
      <c r="H704" s="852">
        <f t="shared" si="95"/>
        <v>0.0165753448643366</v>
      </c>
      <c r="I704" s="836">
        <f t="shared" si="96"/>
        <v>0.02</v>
      </c>
    </row>
    <row r="705" spans="2:9">
      <c r="B705" s="835"/>
      <c r="C705" s="697" t="s">
        <v>2931</v>
      </c>
      <c r="D705" s="697">
        <v>622</v>
      </c>
      <c r="E705" s="697">
        <v>33469.82</v>
      </c>
      <c r="F705" s="697">
        <v>1</v>
      </c>
      <c r="G705" s="852">
        <f t="shared" si="94"/>
        <v>0.00204513097715832</v>
      </c>
      <c r="H705" s="852">
        <f t="shared" si="95"/>
        <v>0.00100848382359075</v>
      </c>
      <c r="I705" s="836">
        <f t="shared" si="96"/>
        <v>0.01</v>
      </c>
    </row>
    <row r="706" spans="2:9">
      <c r="B706" s="835"/>
      <c r="C706" s="697" t="s">
        <v>3014</v>
      </c>
      <c r="D706" s="697">
        <v>216</v>
      </c>
      <c r="E706" s="697">
        <v>12627.359</v>
      </c>
      <c r="F706" s="697">
        <v>1</v>
      </c>
      <c r="G706" s="852">
        <f t="shared" si="94"/>
        <v>0.000710206255733436</v>
      </c>
      <c r="H706" s="852">
        <f t="shared" si="95"/>
        <v>0.000380476718613158</v>
      </c>
      <c r="I706" s="836">
        <f t="shared" si="96"/>
        <v>0.01</v>
      </c>
    </row>
    <row r="707" spans="2:9">
      <c r="B707" s="835" t="s">
        <v>2871</v>
      </c>
      <c r="D707" s="697">
        <v>7304</v>
      </c>
      <c r="E707" s="697">
        <v>1460474.16</v>
      </c>
      <c r="F707" s="697">
        <v>2</v>
      </c>
      <c r="G707" s="852">
        <f t="shared" si="94"/>
        <v>0.0240154930179491</v>
      </c>
      <c r="H707" s="852">
        <f t="shared" si="95"/>
        <v>0.0440057510058998</v>
      </c>
      <c r="I707" s="836">
        <f t="shared" si="96"/>
        <v>0.02</v>
      </c>
    </row>
    <row r="708" spans="2:9">
      <c r="B708" s="835"/>
      <c r="C708" s="697" t="s">
        <v>2869</v>
      </c>
      <c r="D708" s="697">
        <v>6319</v>
      </c>
      <c r="E708" s="697">
        <v>1263484</v>
      </c>
      <c r="F708" s="697">
        <v>1</v>
      </c>
      <c r="G708" s="852">
        <f t="shared" si="94"/>
        <v>0.0207768209721277</v>
      </c>
      <c r="H708" s="852">
        <f t="shared" si="95"/>
        <v>0.0380702129669575</v>
      </c>
      <c r="I708" s="836">
        <f t="shared" si="96"/>
        <v>0.01</v>
      </c>
    </row>
    <row r="709" spans="2:9">
      <c r="B709" s="835"/>
      <c r="C709" s="697" t="s">
        <v>2833</v>
      </c>
      <c r="D709" s="697">
        <v>985</v>
      </c>
      <c r="E709" s="697">
        <v>196990.16</v>
      </c>
      <c r="F709" s="697">
        <v>1</v>
      </c>
      <c r="G709" s="852">
        <f t="shared" si="94"/>
        <v>0.00323867204582146</v>
      </c>
      <c r="H709" s="852">
        <f t="shared" si="95"/>
        <v>0.00593553803894234</v>
      </c>
      <c r="I709" s="836">
        <f t="shared" si="96"/>
        <v>0.01</v>
      </c>
    </row>
    <row r="710" spans="2:9">
      <c r="B710" s="835" t="s">
        <v>2939</v>
      </c>
      <c r="D710" s="697">
        <v>6845</v>
      </c>
      <c r="E710" s="697">
        <v>523813.385</v>
      </c>
      <c r="F710" s="697">
        <v>7</v>
      </c>
      <c r="G710" s="852">
        <f t="shared" si="94"/>
        <v>0.0225063047245156</v>
      </c>
      <c r="H710" s="852">
        <f t="shared" si="95"/>
        <v>0.0157830943026527</v>
      </c>
      <c r="I710" s="836">
        <f t="shared" si="96"/>
        <v>0.07</v>
      </c>
    </row>
    <row r="711" spans="2:9">
      <c r="B711" s="835"/>
      <c r="C711" s="697" t="s">
        <v>2941</v>
      </c>
      <c r="D711" s="697">
        <v>1583</v>
      </c>
      <c r="E711" s="697">
        <v>126624.164</v>
      </c>
      <c r="F711" s="697">
        <v>1</v>
      </c>
      <c r="G711" s="852">
        <f t="shared" si="94"/>
        <v>0.00520489121678717</v>
      </c>
      <c r="H711" s="852">
        <f t="shared" si="95"/>
        <v>0.00381533038031582</v>
      </c>
      <c r="I711" s="836">
        <f t="shared" si="96"/>
        <v>0.01</v>
      </c>
    </row>
    <row r="712" spans="2:9">
      <c r="B712" s="835"/>
      <c r="C712" s="697" t="s">
        <v>2847</v>
      </c>
      <c r="D712" s="697">
        <v>1556</v>
      </c>
      <c r="E712" s="697">
        <v>112644.64</v>
      </c>
      <c r="F712" s="697">
        <v>2</v>
      </c>
      <c r="G712" s="852">
        <f t="shared" si="94"/>
        <v>0.00511611543482049</v>
      </c>
      <c r="H712" s="852">
        <f t="shared" si="95"/>
        <v>0.00339411138913216</v>
      </c>
      <c r="I712" s="836">
        <f t="shared" si="96"/>
        <v>0.02</v>
      </c>
    </row>
    <row r="713" spans="2:9">
      <c r="B713" s="835"/>
      <c r="C713" s="697" t="s">
        <v>2875</v>
      </c>
      <c r="D713" s="697">
        <v>1341</v>
      </c>
      <c r="E713" s="697">
        <v>107266.586</v>
      </c>
      <c r="F713" s="697">
        <v>1</v>
      </c>
      <c r="G713" s="852">
        <f t="shared" si="94"/>
        <v>0.00440919717101175</v>
      </c>
      <c r="H713" s="852">
        <f t="shared" si="95"/>
        <v>0.00323206449251313</v>
      </c>
      <c r="I713" s="836">
        <f t="shared" si="96"/>
        <v>0.01</v>
      </c>
    </row>
    <row r="714" spans="2:9">
      <c r="B714" s="835"/>
      <c r="C714" s="697" t="s">
        <v>2959</v>
      </c>
      <c r="D714" s="697">
        <v>1109</v>
      </c>
      <c r="E714" s="697">
        <v>70920.555</v>
      </c>
      <c r="F714" s="697">
        <v>1</v>
      </c>
      <c r="G714" s="852">
        <f t="shared" si="94"/>
        <v>0.00364638304448324</v>
      </c>
      <c r="H714" s="852">
        <f t="shared" si="95"/>
        <v>0.00213691715335123</v>
      </c>
      <c r="I714" s="836">
        <f t="shared" si="96"/>
        <v>0.01</v>
      </c>
    </row>
    <row r="715" spans="2:9">
      <c r="B715" s="835"/>
      <c r="C715" s="697" t="s">
        <v>2967</v>
      </c>
      <c r="D715" s="697">
        <v>667</v>
      </c>
      <c r="E715" s="697">
        <v>53353.33</v>
      </c>
      <c r="F715" s="697">
        <v>1</v>
      </c>
      <c r="G715" s="852">
        <f t="shared" si="94"/>
        <v>0.00219309061376945</v>
      </c>
      <c r="H715" s="852">
        <f t="shared" si="95"/>
        <v>0.00160759664198071</v>
      </c>
      <c r="I715" s="836">
        <f t="shared" si="96"/>
        <v>0.01</v>
      </c>
    </row>
    <row r="716" spans="2:9">
      <c r="B716" s="835"/>
      <c r="C716" s="697" t="s">
        <v>3008</v>
      </c>
      <c r="D716" s="697">
        <v>589</v>
      </c>
      <c r="E716" s="697">
        <v>53004.11</v>
      </c>
      <c r="F716" s="697">
        <v>1</v>
      </c>
      <c r="G716" s="852">
        <f t="shared" si="94"/>
        <v>0.00193662724364349</v>
      </c>
      <c r="H716" s="852">
        <f t="shared" si="95"/>
        <v>0.00159707424535969</v>
      </c>
      <c r="I716" s="836">
        <f t="shared" si="96"/>
        <v>0.01</v>
      </c>
    </row>
    <row r="717" spans="2:9">
      <c r="B717" s="835" t="s">
        <v>2913</v>
      </c>
      <c r="D717" s="697">
        <v>3891</v>
      </c>
      <c r="E717" s="697">
        <v>597582.11</v>
      </c>
      <c r="F717" s="697">
        <v>3</v>
      </c>
      <c r="G717" s="852">
        <f t="shared" si="94"/>
        <v>0.0127935765789759</v>
      </c>
      <c r="H717" s="852">
        <f t="shared" si="95"/>
        <v>0.0180058300642856</v>
      </c>
      <c r="I717" s="836">
        <f t="shared" si="96"/>
        <v>0.03</v>
      </c>
    </row>
    <row r="718" spans="2:9">
      <c r="B718" s="835"/>
      <c r="C718" s="697" t="s">
        <v>2891</v>
      </c>
      <c r="D718" s="697">
        <v>2205</v>
      </c>
      <c r="E718" s="697">
        <v>352777.97</v>
      </c>
      <c r="F718" s="697">
        <v>1</v>
      </c>
      <c r="G718" s="852">
        <f t="shared" si="94"/>
        <v>0.00725002219394549</v>
      </c>
      <c r="H718" s="852">
        <f t="shared" si="95"/>
        <v>0.0106296023122975</v>
      </c>
      <c r="I718" s="836">
        <f t="shared" si="96"/>
        <v>0.01</v>
      </c>
    </row>
    <row r="719" spans="2:9">
      <c r="B719" s="835"/>
      <c r="C719" s="697" t="s">
        <v>2961</v>
      </c>
      <c r="D719" s="697">
        <v>872</v>
      </c>
      <c r="E719" s="697">
        <v>113351.28</v>
      </c>
      <c r="F719" s="697">
        <v>1</v>
      </c>
      <c r="G719" s="852">
        <f t="shared" si="94"/>
        <v>0.00286712895833128</v>
      </c>
      <c r="H719" s="852">
        <f t="shared" si="95"/>
        <v>0.0034154032577201</v>
      </c>
      <c r="I719" s="836">
        <f t="shared" si="96"/>
        <v>0.01</v>
      </c>
    </row>
    <row r="720" spans="2:9">
      <c r="B720" s="835"/>
      <c r="C720" s="697" t="s">
        <v>2980</v>
      </c>
      <c r="D720" s="697">
        <v>814</v>
      </c>
      <c r="E720" s="697">
        <v>131452.86</v>
      </c>
      <c r="F720" s="697">
        <v>1</v>
      </c>
      <c r="G720" s="852">
        <f t="shared" si="94"/>
        <v>0.00267642542669915</v>
      </c>
      <c r="H720" s="852">
        <f t="shared" si="95"/>
        <v>0.00396082449426795</v>
      </c>
      <c r="I720" s="836">
        <f t="shared" si="96"/>
        <v>0.01</v>
      </c>
    </row>
    <row r="721" spans="2:9">
      <c r="B721" s="835" t="s">
        <v>3006</v>
      </c>
      <c r="D721" s="697">
        <v>3836</v>
      </c>
      <c r="E721" s="697">
        <v>22478.96</v>
      </c>
      <c r="F721" s="697">
        <v>1</v>
      </c>
      <c r="G721" s="852">
        <f t="shared" si="94"/>
        <v>0.0126127370231179</v>
      </c>
      <c r="H721" s="852">
        <f t="shared" si="95"/>
        <v>0.000677316685035757</v>
      </c>
      <c r="I721" s="836">
        <f t="shared" si="96"/>
        <v>0.01</v>
      </c>
    </row>
    <row r="722" spans="2:9">
      <c r="B722" s="835"/>
      <c r="C722" s="697" t="s">
        <v>2859</v>
      </c>
      <c r="D722" s="697">
        <v>3836</v>
      </c>
      <c r="E722" s="697">
        <v>22478.96</v>
      </c>
      <c r="F722" s="697">
        <v>1</v>
      </c>
      <c r="G722" s="852">
        <f t="shared" si="94"/>
        <v>0.0126127370231179</v>
      </c>
      <c r="H722" s="852">
        <f t="shared" si="95"/>
        <v>0.000677316685035757</v>
      </c>
      <c r="I722" s="836">
        <f t="shared" si="96"/>
        <v>0.01</v>
      </c>
    </row>
    <row r="723" spans="2:9">
      <c r="B723" s="835" t="s">
        <v>2924</v>
      </c>
      <c r="D723" s="870">
        <v>3212</v>
      </c>
      <c r="E723" s="870">
        <v>577089.728</v>
      </c>
      <c r="F723" s="870">
        <v>3</v>
      </c>
      <c r="G723" s="852">
        <f t="shared" si="94"/>
        <v>0.0105610300621102</v>
      </c>
      <c r="H723" s="852">
        <f t="shared" si="95"/>
        <v>0.0173883712385781</v>
      </c>
      <c r="I723" s="836">
        <f t="shared" si="96"/>
        <v>0.03</v>
      </c>
    </row>
    <row r="724" spans="2:9">
      <c r="B724" s="835"/>
      <c r="C724" s="697" t="s">
        <v>2945</v>
      </c>
      <c r="D724" s="697">
        <v>1815</v>
      </c>
      <c r="E724" s="697">
        <v>326681.88</v>
      </c>
      <c r="F724" s="697">
        <v>1</v>
      </c>
      <c r="G724" s="852">
        <f t="shared" si="94"/>
        <v>0.00596770534331568</v>
      </c>
      <c r="H724" s="852">
        <f t="shared" si="95"/>
        <v>0.00984329737776343</v>
      </c>
      <c r="I724" s="836">
        <f t="shared" si="96"/>
        <v>0.01</v>
      </c>
    </row>
    <row r="725" spans="2:9">
      <c r="B725" s="835"/>
      <c r="C725" s="697" t="s">
        <v>2891</v>
      </c>
      <c r="D725" s="697">
        <v>1034</v>
      </c>
      <c r="E725" s="697">
        <v>185086</v>
      </c>
      <c r="F725" s="697">
        <v>1</v>
      </c>
      <c r="G725" s="852">
        <f t="shared" si="94"/>
        <v>0.00339978365013136</v>
      </c>
      <c r="H725" s="852">
        <f t="shared" si="95"/>
        <v>0.00557685213046013</v>
      </c>
      <c r="I725" s="836">
        <f t="shared" si="96"/>
        <v>0.01</v>
      </c>
    </row>
    <row r="726" spans="2:9">
      <c r="B726" s="835"/>
      <c r="C726" s="697" t="s">
        <v>2959</v>
      </c>
      <c r="D726" s="697">
        <v>363</v>
      </c>
      <c r="E726" s="697">
        <v>65321.848</v>
      </c>
      <c r="F726" s="697">
        <v>1</v>
      </c>
      <c r="G726" s="852">
        <f t="shared" si="94"/>
        <v>0.00119354106866314</v>
      </c>
      <c r="H726" s="852">
        <f t="shared" si="95"/>
        <v>0.0019682217303545</v>
      </c>
      <c r="I726" s="836">
        <f t="shared" si="96"/>
        <v>0.01</v>
      </c>
    </row>
    <row r="727" spans="2:9">
      <c r="B727" s="835" t="s">
        <v>2937</v>
      </c>
      <c r="D727" s="697">
        <v>2527</v>
      </c>
      <c r="E727" s="697">
        <v>318510.93</v>
      </c>
      <c r="F727" s="697">
        <v>3</v>
      </c>
      <c r="G727" s="852">
        <f t="shared" si="94"/>
        <v>0.00830875559369626</v>
      </c>
      <c r="H727" s="852">
        <f t="shared" si="95"/>
        <v>0.00959709734148092</v>
      </c>
      <c r="I727" s="836">
        <f t="shared" si="96"/>
        <v>0.03</v>
      </c>
    </row>
    <row r="728" spans="2:9">
      <c r="B728" s="835"/>
      <c r="C728" s="697" t="s">
        <v>2935</v>
      </c>
      <c r="D728" s="697">
        <v>1381</v>
      </c>
      <c r="E728" s="697">
        <v>170097.77</v>
      </c>
      <c r="F728" s="697">
        <v>1</v>
      </c>
      <c r="G728" s="852">
        <f t="shared" si="94"/>
        <v>0.00454071684799942</v>
      </c>
      <c r="H728" s="852">
        <f t="shared" si="95"/>
        <v>0.00512523967783094</v>
      </c>
      <c r="I728" s="836">
        <f t="shared" si="96"/>
        <v>0.01</v>
      </c>
    </row>
    <row r="729" spans="2:9">
      <c r="B729" s="835"/>
      <c r="C729" s="697" t="s">
        <v>2961</v>
      </c>
      <c r="D729" s="697">
        <v>585</v>
      </c>
      <c r="E729" s="697">
        <v>76044.16</v>
      </c>
      <c r="F729" s="697">
        <v>1</v>
      </c>
      <c r="G729" s="852">
        <f t="shared" si="94"/>
        <v>0.00192347527594472</v>
      </c>
      <c r="H729" s="852">
        <f t="shared" si="95"/>
        <v>0.00229129721159381</v>
      </c>
      <c r="I729" s="836">
        <f t="shared" si="96"/>
        <v>0.01</v>
      </c>
    </row>
    <row r="730" spans="2:9">
      <c r="B730" s="835"/>
      <c r="C730" s="697" t="s">
        <v>3001</v>
      </c>
      <c r="D730" s="697">
        <v>561</v>
      </c>
      <c r="E730" s="697">
        <v>72369</v>
      </c>
      <c r="F730" s="697">
        <v>1</v>
      </c>
      <c r="G730" s="852">
        <f t="shared" si="94"/>
        <v>0.00184456346975212</v>
      </c>
      <c r="H730" s="852">
        <f t="shared" si="95"/>
        <v>0.00218056045205618</v>
      </c>
      <c r="I730" s="836">
        <f t="shared" si="96"/>
        <v>0.01</v>
      </c>
    </row>
    <row r="731" spans="2:9">
      <c r="B731" s="835" t="s">
        <v>2984</v>
      </c>
      <c r="D731" s="697">
        <v>1174</v>
      </c>
      <c r="E731" s="697">
        <v>162318.27</v>
      </c>
      <c r="F731" s="697">
        <v>2</v>
      </c>
      <c r="G731" s="852">
        <f t="shared" si="94"/>
        <v>0.00386010251958821</v>
      </c>
      <c r="H731" s="852">
        <f t="shared" si="95"/>
        <v>0.00489083447620081</v>
      </c>
      <c r="I731" s="836">
        <f t="shared" si="96"/>
        <v>0.02</v>
      </c>
    </row>
    <row r="732" spans="2:9">
      <c r="B732" s="835"/>
      <c r="C732" s="697" t="s">
        <v>2982</v>
      </c>
      <c r="D732" s="697">
        <v>768</v>
      </c>
      <c r="E732" s="697">
        <v>107512.33</v>
      </c>
      <c r="F732" s="697">
        <v>1</v>
      </c>
      <c r="G732" s="852">
        <f t="shared" si="94"/>
        <v>0.00252517779816333</v>
      </c>
      <c r="H732" s="852">
        <f t="shared" si="95"/>
        <v>0.00323946903931812</v>
      </c>
      <c r="I732" s="836">
        <f t="shared" si="96"/>
        <v>0.01</v>
      </c>
    </row>
    <row r="733" spans="2:9">
      <c r="B733" s="835"/>
      <c r="C733" s="697" t="s">
        <v>2973</v>
      </c>
      <c r="D733" s="697">
        <v>406</v>
      </c>
      <c r="E733" s="697">
        <v>54805.94</v>
      </c>
      <c r="F733" s="697">
        <v>1</v>
      </c>
      <c r="G733" s="852">
        <f t="shared" si="94"/>
        <v>0.00133492472142488</v>
      </c>
      <c r="H733" s="852">
        <f t="shared" si="95"/>
        <v>0.00165136543688269</v>
      </c>
      <c r="I733" s="836">
        <f t="shared" si="96"/>
        <v>0.01</v>
      </c>
    </row>
    <row r="734" spans="2:9">
      <c r="B734" s="835" t="s">
        <v>3102</v>
      </c>
      <c r="D734" s="697">
        <v>304137</v>
      </c>
      <c r="E734" s="697">
        <v>33188256.685</v>
      </c>
      <c r="F734" s="697">
        <v>100</v>
      </c>
      <c r="G734" s="852">
        <f t="shared" si="94"/>
        <v>1</v>
      </c>
      <c r="H734" s="852">
        <f t="shared" si="95"/>
        <v>1</v>
      </c>
      <c r="I734" s="836">
        <f t="shared" si="96"/>
        <v>1</v>
      </c>
    </row>
    <row r="735" spans="2:9">
      <c r="B735" s="853" t="s">
        <v>3147</v>
      </c>
      <c r="C735" s="858"/>
      <c r="D735" s="857"/>
      <c r="E735" s="858"/>
      <c r="F735" s="858"/>
      <c r="G735" s="858"/>
      <c r="H735" s="858"/>
      <c r="I735" s="859"/>
    </row>
    <row r="736" spans="2:9">
      <c r="B736" s="853"/>
      <c r="C736" s="858"/>
      <c r="D736" s="857"/>
      <c r="E736" s="858"/>
      <c r="F736" s="858"/>
      <c r="G736" s="858"/>
      <c r="H736" s="858"/>
      <c r="I736" s="859"/>
    </row>
    <row r="737" spans="1:9">
      <c r="B737" s="853"/>
      <c r="C737" s="858"/>
      <c r="D737" s="857"/>
      <c r="E737" s="858"/>
      <c r="F737" s="858"/>
      <c r="G737" s="858"/>
      <c r="H737" s="858"/>
      <c r="I737" s="859"/>
    </row>
    <row r="738" spans="1:9">
      <c r="B738" s="853"/>
      <c r="C738" s="858"/>
      <c r="D738" s="857"/>
      <c r="E738" s="858"/>
      <c r="F738" s="858"/>
      <c r="G738" s="858"/>
      <c r="H738" s="858"/>
      <c r="I738" s="859"/>
    </row>
    <row r="739" spans="1:9">
      <c r="B739" s="853"/>
      <c r="C739" s="858"/>
      <c r="D739" s="857"/>
      <c r="E739" s="858"/>
      <c r="F739" s="858"/>
      <c r="G739" s="858"/>
      <c r="H739" s="858"/>
      <c r="I739" s="859"/>
    </row>
    <row r="740" spans="1:9">
      <c r="B740" s="860"/>
      <c r="C740" s="863"/>
      <c r="D740" s="862"/>
      <c r="E740" s="863"/>
      <c r="F740" s="863"/>
      <c r="G740" s="863"/>
      <c r="H740" s="863"/>
      <c r="I740" s="864"/>
    </row>
    <row r="742" ht="17.25" spans="1:9">
      <c r="A742" s="829" t="s">
        <v>3148</v>
      </c>
      <c r="B742" s="830" t="s">
        <v>2805</v>
      </c>
      <c r="C742" s="831" t="s">
        <v>2790</v>
      </c>
      <c r="D742" s="831" t="s">
        <v>3098</v>
      </c>
      <c r="E742" s="831" t="s">
        <v>3099</v>
      </c>
      <c r="F742" s="831" t="s">
        <v>3100</v>
      </c>
      <c r="G742" s="833" t="s">
        <v>3022</v>
      </c>
      <c r="H742" s="833" t="s">
        <v>3023</v>
      </c>
      <c r="I742" s="834" t="s">
        <v>3101</v>
      </c>
    </row>
    <row r="743" spans="1:9">
      <c r="B743" s="835" t="s">
        <v>2820</v>
      </c>
      <c r="D743" s="697">
        <v>62949</v>
      </c>
      <c r="E743" s="697">
        <v>5650633.572</v>
      </c>
      <c r="F743" s="697">
        <v>9</v>
      </c>
      <c r="G743" s="852">
        <f t="shared" ref="G743:G806" si="97">D743/$C$150</f>
        <v>0.206975803667426</v>
      </c>
      <c r="H743" s="852">
        <f t="shared" ref="H743:H806" si="98">E743/$D$150</f>
        <v>0.17026002979403</v>
      </c>
      <c r="I743" s="836">
        <f t="shared" ref="I743:I806" si="99">F743/$E$150</f>
        <v>0.09</v>
      </c>
    </row>
    <row r="744" spans="1:9">
      <c r="B744" s="835"/>
      <c r="C744" s="697" t="s">
        <v>2809</v>
      </c>
      <c r="D744" s="697">
        <v>40677</v>
      </c>
      <c r="E744" s="697">
        <v>3651033.252</v>
      </c>
      <c r="F744" s="697">
        <v>7</v>
      </c>
      <c r="G744" s="852">
        <f t="shared" si="97"/>
        <v>0.13374564752069</v>
      </c>
      <c r="H744" s="852">
        <f t="shared" si="98"/>
        <v>0.1100097931221</v>
      </c>
      <c r="I744" s="836">
        <f t="shared" si="99"/>
        <v>0.07</v>
      </c>
    </row>
    <row r="745" spans="1:9">
      <c r="B745" s="835"/>
      <c r="C745" s="697" t="s">
        <v>2852</v>
      </c>
      <c r="D745" s="697">
        <v>22272</v>
      </c>
      <c r="E745" s="697">
        <v>1999600.32</v>
      </c>
      <c r="F745" s="697">
        <v>2</v>
      </c>
      <c r="G745" s="852">
        <f t="shared" si="97"/>
        <v>0.0732301561467365</v>
      </c>
      <c r="H745" s="852">
        <f t="shared" si="98"/>
        <v>0.0602502366719296</v>
      </c>
      <c r="I745" s="836">
        <f t="shared" si="99"/>
        <v>0.02</v>
      </c>
    </row>
    <row r="746" spans="1:9">
      <c r="B746" s="835" t="s">
        <v>2840</v>
      </c>
      <c r="D746" s="697">
        <v>47906</v>
      </c>
      <c r="E746" s="697">
        <v>5244223.682</v>
      </c>
      <c r="F746" s="697">
        <v>9</v>
      </c>
      <c r="G746" s="852">
        <f t="shared" si="97"/>
        <v>0.157514541144287</v>
      </c>
      <c r="H746" s="852">
        <f t="shared" si="98"/>
        <v>0.15801443660553</v>
      </c>
      <c r="I746" s="836">
        <f t="shared" si="99"/>
        <v>0.09</v>
      </c>
    </row>
    <row r="747" spans="1:9">
      <c r="B747" s="835"/>
      <c r="C747" s="697" t="s">
        <v>2809</v>
      </c>
      <c r="D747" s="697">
        <v>34563</v>
      </c>
      <c r="E747" s="697">
        <v>3780885.2</v>
      </c>
      <c r="F747" s="697">
        <v>6</v>
      </c>
      <c r="G747" s="852">
        <f t="shared" si="97"/>
        <v>0.113642864893124</v>
      </c>
      <c r="H747" s="852">
        <f t="shared" si="98"/>
        <v>0.11392238031318</v>
      </c>
      <c r="I747" s="836">
        <f t="shared" si="99"/>
        <v>0.06</v>
      </c>
    </row>
    <row r="748" spans="1:9">
      <c r="B748" s="835"/>
      <c r="C748" s="697" t="s">
        <v>2832</v>
      </c>
      <c r="D748" s="697">
        <v>12492</v>
      </c>
      <c r="E748" s="697">
        <v>1369736.998</v>
      </c>
      <c r="F748" s="697">
        <v>2</v>
      </c>
      <c r="G748" s="852">
        <f t="shared" si="97"/>
        <v>0.0410735951232504</v>
      </c>
      <c r="H748" s="852">
        <f t="shared" si="98"/>
        <v>0.0412717368978008</v>
      </c>
      <c r="I748" s="836">
        <f t="shared" si="99"/>
        <v>0.02</v>
      </c>
    </row>
    <row r="749" spans="1:9">
      <c r="B749" s="835"/>
      <c r="C749" s="697" t="s">
        <v>3005</v>
      </c>
      <c r="D749" s="697">
        <v>851</v>
      </c>
      <c r="E749" s="697">
        <v>93601.484</v>
      </c>
      <c r="F749" s="697">
        <v>1</v>
      </c>
      <c r="G749" s="852">
        <f t="shared" si="97"/>
        <v>0.00279808112791275</v>
      </c>
      <c r="H749" s="852">
        <f t="shared" si="98"/>
        <v>0.00282031939454972</v>
      </c>
      <c r="I749" s="836">
        <f t="shared" si="99"/>
        <v>0.01</v>
      </c>
    </row>
    <row r="750" spans="1:9">
      <c r="B750" s="835" t="s">
        <v>2830</v>
      </c>
      <c r="D750" s="697">
        <v>30081</v>
      </c>
      <c r="E750" s="697">
        <v>2536849.225</v>
      </c>
      <c r="F750" s="697">
        <v>7</v>
      </c>
      <c r="G750" s="852">
        <f t="shared" si="97"/>
        <v>0.098906085086655</v>
      </c>
      <c r="H750" s="852">
        <f t="shared" si="98"/>
        <v>0.0764381585052213</v>
      </c>
      <c r="I750" s="836">
        <f t="shared" si="99"/>
        <v>0.07</v>
      </c>
    </row>
    <row r="751" spans="1:9">
      <c r="B751" s="835"/>
      <c r="C751" s="697" t="s">
        <v>2824</v>
      </c>
      <c r="D751" s="697">
        <v>23277</v>
      </c>
      <c r="E751" s="697">
        <v>1864972.86</v>
      </c>
      <c r="F751" s="697">
        <v>2</v>
      </c>
      <c r="G751" s="852">
        <f t="shared" si="97"/>
        <v>0.0765345880310518</v>
      </c>
      <c r="H751" s="852">
        <f t="shared" si="98"/>
        <v>0.0561937578614338</v>
      </c>
      <c r="I751" s="836">
        <f t="shared" si="99"/>
        <v>0.02</v>
      </c>
    </row>
    <row r="752" spans="1:9">
      <c r="B752" s="835"/>
      <c r="C752" s="697" t="s">
        <v>2852</v>
      </c>
      <c r="D752" s="697">
        <v>3916</v>
      </c>
      <c r="E752" s="697">
        <v>391560.84</v>
      </c>
      <c r="F752" s="697">
        <v>2</v>
      </c>
      <c r="G752" s="852">
        <f t="shared" si="97"/>
        <v>0.0128757763770932</v>
      </c>
      <c r="H752" s="852">
        <f t="shared" si="98"/>
        <v>0.0117981743878995</v>
      </c>
      <c r="I752" s="836">
        <f t="shared" si="99"/>
        <v>0.02</v>
      </c>
    </row>
    <row r="753" spans="2:9">
      <c r="B753" s="835"/>
      <c r="C753" s="697" t="s">
        <v>2809</v>
      </c>
      <c r="D753" s="697">
        <v>2888</v>
      </c>
      <c r="E753" s="697">
        <v>280315.525</v>
      </c>
      <c r="F753" s="697">
        <v>3</v>
      </c>
      <c r="G753" s="852">
        <f t="shared" si="97"/>
        <v>0.00949572067851001</v>
      </c>
      <c r="H753" s="852">
        <f t="shared" si="98"/>
        <v>0.00844622625588808</v>
      </c>
      <c r="I753" s="836">
        <f t="shared" si="99"/>
        <v>0.03</v>
      </c>
    </row>
    <row r="754" spans="2:9">
      <c r="B754" s="835" t="s">
        <v>2916</v>
      </c>
      <c r="D754" s="697">
        <v>22156</v>
      </c>
      <c r="E754" s="697">
        <v>1094253.623</v>
      </c>
      <c r="F754" s="697">
        <v>6</v>
      </c>
      <c r="G754" s="852">
        <f t="shared" si="97"/>
        <v>0.0728487490834722</v>
      </c>
      <c r="H754" s="852">
        <f t="shared" si="98"/>
        <v>0.0329711088288216</v>
      </c>
      <c r="I754" s="836">
        <f t="shared" si="99"/>
        <v>0.06</v>
      </c>
    </row>
    <row r="755" spans="2:9">
      <c r="B755" s="835"/>
      <c r="C755" s="697" t="s">
        <v>2824</v>
      </c>
      <c r="D755" s="697">
        <v>17432</v>
      </c>
      <c r="E755" s="697">
        <v>871425.7</v>
      </c>
      <c r="F755" s="697">
        <v>1</v>
      </c>
      <c r="G755" s="852">
        <f t="shared" si="97"/>
        <v>0.057316275231228</v>
      </c>
      <c r="H755" s="852">
        <f t="shared" si="98"/>
        <v>0.0262570495422815</v>
      </c>
      <c r="I755" s="836">
        <f t="shared" si="99"/>
        <v>0.01</v>
      </c>
    </row>
    <row r="756" spans="2:9">
      <c r="B756" s="835"/>
      <c r="C756" s="697" t="s">
        <v>2809</v>
      </c>
      <c r="D756" s="697">
        <v>4114</v>
      </c>
      <c r="E756" s="697">
        <v>192334.023</v>
      </c>
      <c r="F756" s="697">
        <v>4</v>
      </c>
      <c r="G756" s="852">
        <f t="shared" si="97"/>
        <v>0.0135267987781822</v>
      </c>
      <c r="H756" s="852">
        <f t="shared" si="98"/>
        <v>0.00579524332433311</v>
      </c>
      <c r="I756" s="836">
        <f t="shared" si="99"/>
        <v>0.04</v>
      </c>
    </row>
    <row r="757" spans="2:9">
      <c r="B757" s="835"/>
      <c r="C757" s="697" t="s">
        <v>2986</v>
      </c>
      <c r="D757" s="697">
        <v>610</v>
      </c>
      <c r="E757" s="697">
        <v>30493.9</v>
      </c>
      <c r="F757" s="697">
        <v>1</v>
      </c>
      <c r="G757" s="852">
        <f t="shared" si="97"/>
        <v>0.00200567507406202</v>
      </c>
      <c r="H757" s="852">
        <f t="shared" si="98"/>
        <v>0.000918815962206965</v>
      </c>
      <c r="I757" s="836">
        <f t="shared" si="99"/>
        <v>0.01</v>
      </c>
    </row>
    <row r="758" spans="2:9">
      <c r="B758" s="835" t="s">
        <v>2857</v>
      </c>
      <c r="D758" s="697">
        <v>21766</v>
      </c>
      <c r="E758" s="697">
        <v>4931042.56</v>
      </c>
      <c r="F758" s="697">
        <v>7</v>
      </c>
      <c r="G758" s="852">
        <f t="shared" si="97"/>
        <v>0.0715664322328424</v>
      </c>
      <c r="H758" s="852">
        <f t="shared" si="98"/>
        <v>0.1485779324537</v>
      </c>
      <c r="I758" s="836">
        <f t="shared" si="99"/>
        <v>0.07</v>
      </c>
    </row>
    <row r="759" spans="2:9">
      <c r="B759" s="835"/>
      <c r="C759" s="697" t="s">
        <v>2809</v>
      </c>
      <c r="D759" s="697">
        <v>14583</v>
      </c>
      <c r="E759" s="697">
        <v>3145935.89</v>
      </c>
      <c r="F759" s="697">
        <v>3</v>
      </c>
      <c r="G759" s="852">
        <f t="shared" si="97"/>
        <v>0.047948786237781</v>
      </c>
      <c r="H759" s="852">
        <f t="shared" si="98"/>
        <v>0.0947906339238921</v>
      </c>
      <c r="I759" s="836">
        <f t="shared" si="99"/>
        <v>0.03</v>
      </c>
    </row>
    <row r="760" spans="2:9">
      <c r="B760" s="835"/>
      <c r="C760" s="697" t="s">
        <v>2852</v>
      </c>
      <c r="D760" s="697">
        <v>3672</v>
      </c>
      <c r="E760" s="697">
        <v>1019782.98</v>
      </c>
      <c r="F760" s="697">
        <v>2</v>
      </c>
      <c r="G760" s="852">
        <f t="shared" si="97"/>
        <v>0.0120735063474684</v>
      </c>
      <c r="H760" s="852">
        <f t="shared" si="98"/>
        <v>0.0307272234778426</v>
      </c>
      <c r="I760" s="836">
        <f t="shared" si="99"/>
        <v>0.02</v>
      </c>
    </row>
    <row r="761" spans="2:9">
      <c r="B761" s="835"/>
      <c r="C761" s="697" t="s">
        <v>2832</v>
      </c>
      <c r="D761" s="697">
        <v>3511</v>
      </c>
      <c r="E761" s="697">
        <v>765323.69</v>
      </c>
      <c r="F761" s="697">
        <v>2</v>
      </c>
      <c r="G761" s="852">
        <f t="shared" si="97"/>
        <v>0.011544139647593</v>
      </c>
      <c r="H761" s="852">
        <f t="shared" si="98"/>
        <v>0.0230600750519656</v>
      </c>
      <c r="I761" s="836">
        <f t="shared" si="99"/>
        <v>0.02</v>
      </c>
    </row>
    <row r="762" spans="2:9">
      <c r="B762" s="835" t="s">
        <v>2882</v>
      </c>
      <c r="D762" s="697">
        <v>20334</v>
      </c>
      <c r="E762" s="697">
        <v>1415899.706</v>
      </c>
      <c r="F762" s="697">
        <v>10</v>
      </c>
      <c r="G762" s="852">
        <f t="shared" si="97"/>
        <v>0.0668580277966837</v>
      </c>
      <c r="H762" s="852">
        <f t="shared" si="98"/>
        <v>0.042662671903461</v>
      </c>
      <c r="I762" s="836">
        <f t="shared" si="99"/>
        <v>0.1</v>
      </c>
    </row>
    <row r="763" spans="2:9">
      <c r="B763" s="835"/>
      <c r="C763" s="697" t="s">
        <v>2809</v>
      </c>
      <c r="D763" s="697">
        <v>10945</v>
      </c>
      <c r="E763" s="697">
        <v>728399.943</v>
      </c>
      <c r="F763" s="697">
        <v>5</v>
      </c>
      <c r="G763" s="852">
        <f t="shared" si="97"/>
        <v>0.0359870716157521</v>
      </c>
      <c r="H763" s="852">
        <f t="shared" si="98"/>
        <v>0.021947520471276</v>
      </c>
      <c r="I763" s="836">
        <f t="shared" si="99"/>
        <v>0.05</v>
      </c>
    </row>
    <row r="764" spans="2:9">
      <c r="B764" s="835"/>
      <c r="C764" s="697" t="s">
        <v>2881</v>
      </c>
      <c r="D764" s="697">
        <v>6311</v>
      </c>
      <c r="E764" s="697">
        <v>474336.87</v>
      </c>
      <c r="F764" s="697">
        <v>2</v>
      </c>
      <c r="G764" s="852">
        <f t="shared" si="97"/>
        <v>0.0207505170367302</v>
      </c>
      <c r="H764" s="852">
        <f t="shared" si="98"/>
        <v>0.0142923105151945</v>
      </c>
      <c r="I764" s="836">
        <f t="shared" si="99"/>
        <v>0.02</v>
      </c>
    </row>
    <row r="765" spans="2:9">
      <c r="B765" s="835"/>
      <c r="C765" s="697" t="s">
        <v>2852</v>
      </c>
      <c r="D765" s="697">
        <v>2305</v>
      </c>
      <c r="E765" s="697">
        <v>161326.94</v>
      </c>
      <c r="F765" s="697">
        <v>1</v>
      </c>
      <c r="G765" s="852">
        <f t="shared" si="97"/>
        <v>0.00757882138641467</v>
      </c>
      <c r="H765" s="852">
        <f t="shared" si="98"/>
        <v>0.00486096457343945</v>
      </c>
      <c r="I765" s="836">
        <f t="shared" si="99"/>
        <v>0.01</v>
      </c>
    </row>
    <row r="766" spans="2:9">
      <c r="B766" s="835"/>
      <c r="C766" s="697" t="s">
        <v>2986</v>
      </c>
      <c r="D766" s="697">
        <v>532</v>
      </c>
      <c r="E766" s="697">
        <v>34968.363</v>
      </c>
      <c r="F766" s="697">
        <v>1</v>
      </c>
      <c r="G766" s="852">
        <f t="shared" si="97"/>
        <v>0.00174921170393606</v>
      </c>
      <c r="H766" s="852">
        <f t="shared" si="98"/>
        <v>0.00105363663213454</v>
      </c>
      <c r="I766" s="836">
        <f t="shared" si="99"/>
        <v>0.01</v>
      </c>
    </row>
    <row r="767" spans="2:9">
      <c r="B767" s="835"/>
      <c r="C767" s="697" t="s">
        <v>2832</v>
      </c>
      <c r="D767" s="697">
        <v>241</v>
      </c>
      <c r="E767" s="697">
        <v>16867.59</v>
      </c>
      <c r="F767" s="697">
        <v>1</v>
      </c>
      <c r="G767" s="852">
        <f t="shared" si="97"/>
        <v>0.000792406053850732</v>
      </c>
      <c r="H767" s="852">
        <f t="shared" si="98"/>
        <v>0.000508239711416466</v>
      </c>
      <c r="I767" s="836">
        <f t="shared" si="99"/>
        <v>0.01</v>
      </c>
    </row>
    <row r="768" spans="2:9">
      <c r="B768" s="835" t="s">
        <v>2880</v>
      </c>
      <c r="D768" s="870">
        <v>13945</v>
      </c>
      <c r="E768" s="870">
        <v>2760257.51</v>
      </c>
      <c r="F768" s="870">
        <v>5</v>
      </c>
      <c r="G768" s="852">
        <f t="shared" si="97"/>
        <v>0.0458510473898276</v>
      </c>
      <c r="H768" s="852">
        <f t="shared" si="98"/>
        <v>0.0831697047602848</v>
      </c>
      <c r="I768" s="836">
        <f t="shared" si="99"/>
        <v>0.05</v>
      </c>
    </row>
    <row r="769" spans="2:9">
      <c r="B769" s="835"/>
      <c r="C769" s="697" t="s">
        <v>2832</v>
      </c>
      <c r="D769" s="697">
        <v>10638</v>
      </c>
      <c r="E769" s="697">
        <v>2120833.74</v>
      </c>
      <c r="F769" s="697">
        <v>2</v>
      </c>
      <c r="G769" s="852">
        <f t="shared" si="97"/>
        <v>0.0349776580948717</v>
      </c>
      <c r="H769" s="852">
        <f t="shared" si="98"/>
        <v>0.0639031377914631</v>
      </c>
      <c r="I769" s="836">
        <f t="shared" si="99"/>
        <v>0.02</v>
      </c>
    </row>
    <row r="770" spans="2:9">
      <c r="B770" s="835"/>
      <c r="C770" s="697" t="s">
        <v>2852</v>
      </c>
      <c r="D770" s="697">
        <v>1895</v>
      </c>
      <c r="E770" s="697">
        <v>360031.06</v>
      </c>
      <c r="F770" s="697">
        <v>1</v>
      </c>
      <c r="G770" s="852">
        <f t="shared" si="97"/>
        <v>0.00623074469729102</v>
      </c>
      <c r="H770" s="852">
        <f t="shared" si="98"/>
        <v>0.0108481461806556</v>
      </c>
      <c r="I770" s="836">
        <f t="shared" si="99"/>
        <v>0.01</v>
      </c>
    </row>
    <row r="771" spans="2:9">
      <c r="B771" s="835"/>
      <c r="C771" s="697" t="s">
        <v>2809</v>
      </c>
      <c r="D771" s="697">
        <v>1412</v>
      </c>
      <c r="E771" s="697">
        <v>279392.71</v>
      </c>
      <c r="F771" s="697">
        <v>2</v>
      </c>
      <c r="G771" s="852">
        <f t="shared" si="97"/>
        <v>0.00464264459766487</v>
      </c>
      <c r="H771" s="852">
        <f t="shared" si="98"/>
        <v>0.00841842078816621</v>
      </c>
      <c r="I771" s="836">
        <f t="shared" si="99"/>
        <v>0.02</v>
      </c>
    </row>
    <row r="772" spans="2:9">
      <c r="B772" s="835" t="s">
        <v>2887</v>
      </c>
      <c r="D772" s="697">
        <v>13332</v>
      </c>
      <c r="E772" s="697">
        <v>1910386.67</v>
      </c>
      <c r="F772" s="697">
        <v>6</v>
      </c>
      <c r="G772" s="852">
        <f t="shared" si="97"/>
        <v>0.0438355083399915</v>
      </c>
      <c r="H772" s="852">
        <f t="shared" si="98"/>
        <v>0.0575621277168027</v>
      </c>
      <c r="I772" s="836">
        <f t="shared" si="99"/>
        <v>0.06</v>
      </c>
    </row>
    <row r="773" spans="2:9">
      <c r="B773" s="835"/>
      <c r="C773" s="697" t="s">
        <v>2824</v>
      </c>
      <c r="D773" s="697">
        <v>7579</v>
      </c>
      <c r="E773" s="697">
        <v>1136774.2</v>
      </c>
      <c r="F773" s="697">
        <v>1</v>
      </c>
      <c r="G773" s="852">
        <f t="shared" si="97"/>
        <v>0.0249196907972394</v>
      </c>
      <c r="H773" s="852">
        <f t="shared" si="98"/>
        <v>0.0342523022763586</v>
      </c>
      <c r="I773" s="836">
        <f t="shared" si="99"/>
        <v>0.01</v>
      </c>
    </row>
    <row r="774" spans="2:9">
      <c r="B774" s="835"/>
      <c r="C774" s="697" t="s">
        <v>2809</v>
      </c>
      <c r="D774" s="697">
        <v>4153</v>
      </c>
      <c r="E774" s="697">
        <v>533628.46</v>
      </c>
      <c r="F774" s="697">
        <v>3</v>
      </c>
      <c r="G774" s="852">
        <f t="shared" si="97"/>
        <v>0.0136550304632452</v>
      </c>
      <c r="H774" s="852">
        <f t="shared" si="98"/>
        <v>0.0160788336990651</v>
      </c>
      <c r="I774" s="836">
        <f t="shared" si="99"/>
        <v>0.03</v>
      </c>
    </row>
    <row r="775" spans="2:9">
      <c r="B775" s="835"/>
      <c r="C775" s="697" t="s">
        <v>2852</v>
      </c>
      <c r="D775" s="697">
        <v>1600</v>
      </c>
      <c r="E775" s="697">
        <v>239984.01</v>
      </c>
      <c r="F775" s="697">
        <v>2</v>
      </c>
      <c r="G775" s="852">
        <f t="shared" si="97"/>
        <v>0.00526078707950693</v>
      </c>
      <c r="H775" s="852">
        <f t="shared" si="98"/>
        <v>0.00723099174137896</v>
      </c>
      <c r="I775" s="836">
        <f t="shared" si="99"/>
        <v>0.02</v>
      </c>
    </row>
    <row r="776" spans="2:9">
      <c r="B776" s="835" t="s">
        <v>2864</v>
      </c>
      <c r="D776" s="697">
        <v>11434</v>
      </c>
      <c r="E776" s="697">
        <v>451119.21</v>
      </c>
      <c r="F776" s="697">
        <v>5</v>
      </c>
      <c r="G776" s="852">
        <f t="shared" si="97"/>
        <v>0.0375948996669264</v>
      </c>
      <c r="H776" s="852">
        <f t="shared" si="98"/>
        <v>0.0135927359572307</v>
      </c>
      <c r="I776" s="836">
        <f t="shared" si="99"/>
        <v>0.05</v>
      </c>
    </row>
    <row r="777" spans="2:9">
      <c r="B777" s="835"/>
      <c r="C777" s="697" t="s">
        <v>2809</v>
      </c>
      <c r="D777" s="697">
        <v>10313</v>
      </c>
      <c r="E777" s="697">
        <v>410897.73</v>
      </c>
      <c r="F777" s="697">
        <v>4</v>
      </c>
      <c r="G777" s="852">
        <f t="shared" si="97"/>
        <v>0.0339090607193469</v>
      </c>
      <c r="H777" s="852">
        <f t="shared" si="98"/>
        <v>0.0123808169226831</v>
      </c>
      <c r="I777" s="836">
        <f t="shared" si="99"/>
        <v>0.04</v>
      </c>
    </row>
    <row r="778" spans="2:9">
      <c r="B778" s="835"/>
      <c r="C778" s="697" t="s">
        <v>2963</v>
      </c>
      <c r="D778" s="697">
        <v>1121</v>
      </c>
      <c r="E778" s="697">
        <v>40221.48</v>
      </c>
      <c r="F778" s="697">
        <v>1</v>
      </c>
      <c r="G778" s="852">
        <f t="shared" si="97"/>
        <v>0.00368583894757954</v>
      </c>
      <c r="H778" s="852">
        <f t="shared" si="98"/>
        <v>0.00121191903454751</v>
      </c>
      <c r="I778" s="836">
        <f t="shared" si="99"/>
        <v>0.01</v>
      </c>
    </row>
    <row r="779" spans="2:9">
      <c r="B779" s="835" t="s">
        <v>2906</v>
      </c>
      <c r="D779" s="697">
        <v>11125</v>
      </c>
      <c r="E779" s="697">
        <v>1296486.805</v>
      </c>
      <c r="F779" s="697">
        <v>8</v>
      </c>
      <c r="G779" s="852">
        <f t="shared" si="97"/>
        <v>0.0365789101621966</v>
      </c>
      <c r="H779" s="852">
        <f t="shared" si="98"/>
        <v>0.0390646250963212</v>
      </c>
      <c r="I779" s="836">
        <f t="shared" si="99"/>
        <v>0.08</v>
      </c>
    </row>
    <row r="780" spans="2:9">
      <c r="B780" s="835"/>
      <c r="C780" s="697" t="s">
        <v>2809</v>
      </c>
      <c r="D780" s="697">
        <v>11125</v>
      </c>
      <c r="E780" s="697">
        <v>1296486.805</v>
      </c>
      <c r="F780" s="697">
        <v>8</v>
      </c>
      <c r="G780" s="852">
        <f t="shared" si="97"/>
        <v>0.0365789101621966</v>
      </c>
      <c r="H780" s="852">
        <f t="shared" si="98"/>
        <v>0.0390646250963212</v>
      </c>
      <c r="I780" s="836">
        <f t="shared" si="99"/>
        <v>0.08</v>
      </c>
    </row>
    <row r="781" spans="2:9">
      <c r="B781" s="835" t="s">
        <v>2890</v>
      </c>
      <c r="D781" s="697">
        <v>10248</v>
      </c>
      <c r="E781" s="697">
        <v>1638632.6</v>
      </c>
      <c r="F781" s="697">
        <v>3</v>
      </c>
      <c r="G781" s="852">
        <f t="shared" si="97"/>
        <v>0.0336953412442419</v>
      </c>
      <c r="H781" s="852">
        <f t="shared" si="98"/>
        <v>0.0493738678579224</v>
      </c>
      <c r="I781" s="836">
        <f t="shared" si="99"/>
        <v>0.03</v>
      </c>
    </row>
    <row r="782" spans="2:9">
      <c r="B782" s="835"/>
      <c r="C782" s="697" t="s">
        <v>2832</v>
      </c>
      <c r="D782" s="697">
        <v>6024</v>
      </c>
      <c r="E782" s="697">
        <v>962834.8</v>
      </c>
      <c r="F782" s="697">
        <v>2</v>
      </c>
      <c r="G782" s="852">
        <f t="shared" si="97"/>
        <v>0.0198068633543436</v>
      </c>
      <c r="H782" s="852">
        <f t="shared" si="98"/>
        <v>0.0290113099081571</v>
      </c>
      <c r="I782" s="836">
        <f t="shared" si="99"/>
        <v>0.02</v>
      </c>
    </row>
    <row r="783" spans="2:9">
      <c r="B783" s="835"/>
      <c r="C783" s="697" t="s">
        <v>2852</v>
      </c>
      <c r="D783" s="697">
        <v>4224</v>
      </c>
      <c r="E783" s="697">
        <v>675797.8</v>
      </c>
      <c r="F783" s="697">
        <v>1</v>
      </c>
      <c r="G783" s="852">
        <f t="shared" si="97"/>
        <v>0.0138884778898983</v>
      </c>
      <c r="H783" s="852">
        <f t="shared" si="98"/>
        <v>0.0203625579497654</v>
      </c>
      <c r="I783" s="836">
        <f t="shared" si="99"/>
        <v>0.01</v>
      </c>
    </row>
    <row r="784" spans="2:9">
      <c r="B784" s="835" t="s">
        <v>2866</v>
      </c>
      <c r="D784" s="697">
        <v>10072</v>
      </c>
      <c r="E784" s="697">
        <v>596203.979</v>
      </c>
      <c r="F784" s="697">
        <v>4</v>
      </c>
      <c r="G784" s="852">
        <f t="shared" si="97"/>
        <v>0.0331166546654961</v>
      </c>
      <c r="H784" s="852">
        <f t="shared" si="98"/>
        <v>0.0179643054065405</v>
      </c>
      <c r="I784" s="836">
        <f t="shared" si="99"/>
        <v>0.04</v>
      </c>
    </row>
    <row r="785" spans="2:9">
      <c r="B785" s="835"/>
      <c r="C785" s="697" t="s">
        <v>2809</v>
      </c>
      <c r="D785" s="697">
        <v>9572</v>
      </c>
      <c r="E785" s="697">
        <v>567778.979</v>
      </c>
      <c r="F785" s="697">
        <v>3</v>
      </c>
      <c r="G785" s="852">
        <f t="shared" si="97"/>
        <v>0.0314726587031502</v>
      </c>
      <c r="H785" s="852">
        <f t="shared" si="98"/>
        <v>0.0171078277593477</v>
      </c>
      <c r="I785" s="836">
        <f t="shared" si="99"/>
        <v>0.03</v>
      </c>
    </row>
    <row r="786" spans="2:9">
      <c r="B786" s="835"/>
      <c r="C786" s="697" t="s">
        <v>2881</v>
      </c>
      <c r="D786" s="697">
        <v>500</v>
      </c>
      <c r="E786" s="697">
        <v>28425</v>
      </c>
      <c r="F786" s="697">
        <v>1</v>
      </c>
      <c r="G786" s="852">
        <f t="shared" si="97"/>
        <v>0.00164399596234592</v>
      </c>
      <c r="H786" s="852">
        <f t="shared" si="98"/>
        <v>0.000856477647192815</v>
      </c>
      <c r="I786" s="836">
        <f t="shared" si="99"/>
        <v>0.01</v>
      </c>
    </row>
    <row r="787" spans="2:9">
      <c r="B787" s="835" t="s">
        <v>2871</v>
      </c>
      <c r="D787" s="697">
        <v>7304</v>
      </c>
      <c r="E787" s="697">
        <v>1460474.16</v>
      </c>
      <c r="F787" s="697">
        <v>2</v>
      </c>
      <c r="G787" s="852">
        <f t="shared" si="97"/>
        <v>0.0240154930179491</v>
      </c>
      <c r="H787" s="852">
        <f t="shared" si="98"/>
        <v>0.0440057510058998</v>
      </c>
      <c r="I787" s="836">
        <f t="shared" si="99"/>
        <v>0.02</v>
      </c>
    </row>
    <row r="788" spans="2:9">
      <c r="B788" s="835"/>
      <c r="C788" s="697" t="s">
        <v>2809</v>
      </c>
      <c r="D788" s="697">
        <v>7304</v>
      </c>
      <c r="E788" s="697">
        <v>1460474.16</v>
      </c>
      <c r="F788" s="697">
        <v>2</v>
      </c>
      <c r="G788" s="852">
        <f t="shared" si="97"/>
        <v>0.0240154930179491</v>
      </c>
      <c r="H788" s="852">
        <f t="shared" si="98"/>
        <v>0.0440057510058998</v>
      </c>
      <c r="I788" s="836">
        <f t="shared" si="99"/>
        <v>0.02</v>
      </c>
    </row>
    <row r="789" spans="2:9">
      <c r="B789" s="835" t="s">
        <v>2939</v>
      </c>
      <c r="D789" s="697">
        <v>6845</v>
      </c>
      <c r="E789" s="697">
        <v>523813.385</v>
      </c>
      <c r="F789" s="697">
        <v>7</v>
      </c>
      <c r="G789" s="852">
        <f t="shared" si="97"/>
        <v>0.0225063047245156</v>
      </c>
      <c r="H789" s="852">
        <f t="shared" si="98"/>
        <v>0.0157830943026527</v>
      </c>
      <c r="I789" s="836">
        <f t="shared" si="99"/>
        <v>0.07</v>
      </c>
    </row>
    <row r="790" spans="2:9">
      <c r="B790" s="835"/>
      <c r="C790" s="697" t="s">
        <v>2852</v>
      </c>
      <c r="D790" s="697">
        <v>3513</v>
      </c>
      <c r="E790" s="697">
        <v>286894.86</v>
      </c>
      <c r="F790" s="697">
        <v>3</v>
      </c>
      <c r="G790" s="852">
        <f t="shared" si="97"/>
        <v>0.0115507156314424</v>
      </c>
      <c r="H790" s="852">
        <f t="shared" si="98"/>
        <v>0.00864446911818863</v>
      </c>
      <c r="I790" s="836">
        <f t="shared" si="99"/>
        <v>0.03</v>
      </c>
    </row>
    <row r="791" spans="2:9">
      <c r="B791" s="835"/>
      <c r="C791" s="697" t="s">
        <v>2809</v>
      </c>
      <c r="D791" s="697">
        <v>1556</v>
      </c>
      <c r="E791" s="697">
        <v>112644.64</v>
      </c>
      <c r="F791" s="697">
        <v>2</v>
      </c>
      <c r="G791" s="852">
        <f t="shared" si="97"/>
        <v>0.00511611543482049</v>
      </c>
      <c r="H791" s="852">
        <f t="shared" si="98"/>
        <v>0.00339411138913216</v>
      </c>
      <c r="I791" s="836">
        <f t="shared" si="99"/>
        <v>0.02</v>
      </c>
    </row>
    <row r="792" spans="2:9">
      <c r="B792" s="835"/>
      <c r="C792" s="697" t="s">
        <v>2958</v>
      </c>
      <c r="D792" s="697">
        <v>1109</v>
      </c>
      <c r="E792" s="697">
        <v>70920.555</v>
      </c>
      <c r="F792" s="697">
        <v>1</v>
      </c>
      <c r="G792" s="852">
        <f t="shared" si="97"/>
        <v>0.00364638304448324</v>
      </c>
      <c r="H792" s="852">
        <f t="shared" si="98"/>
        <v>0.00213691715335123</v>
      </c>
      <c r="I792" s="836">
        <f t="shared" si="99"/>
        <v>0.01</v>
      </c>
    </row>
    <row r="793" spans="2:9">
      <c r="B793" s="835"/>
      <c r="C793" s="697" t="s">
        <v>2832</v>
      </c>
      <c r="D793" s="697">
        <v>667</v>
      </c>
      <c r="E793" s="697">
        <v>53353.33</v>
      </c>
      <c r="F793" s="697">
        <v>1</v>
      </c>
      <c r="G793" s="852">
        <f t="shared" si="97"/>
        <v>0.00219309061376945</v>
      </c>
      <c r="H793" s="852">
        <f t="shared" si="98"/>
        <v>0.00160759664198071</v>
      </c>
      <c r="I793" s="836">
        <f t="shared" si="99"/>
        <v>0.01</v>
      </c>
    </row>
    <row r="794" spans="2:9">
      <c r="B794" s="835" t="s">
        <v>2913</v>
      </c>
      <c r="D794" s="697">
        <v>3891</v>
      </c>
      <c r="E794" s="697">
        <v>597582.11</v>
      </c>
      <c r="F794" s="697">
        <v>3</v>
      </c>
      <c r="G794" s="852">
        <f t="shared" si="97"/>
        <v>0.0127935765789759</v>
      </c>
      <c r="H794" s="852">
        <f t="shared" si="98"/>
        <v>0.0180058300642856</v>
      </c>
      <c r="I794" s="836">
        <f t="shared" si="99"/>
        <v>0.03</v>
      </c>
    </row>
    <row r="795" spans="2:9">
      <c r="B795" s="835"/>
      <c r="C795" s="697" t="s">
        <v>2852</v>
      </c>
      <c r="D795" s="697">
        <v>2205</v>
      </c>
      <c r="E795" s="697">
        <v>352777.97</v>
      </c>
      <c r="F795" s="697">
        <v>1</v>
      </c>
      <c r="G795" s="852">
        <f t="shared" si="97"/>
        <v>0.00725002219394549</v>
      </c>
      <c r="H795" s="852">
        <f t="shared" si="98"/>
        <v>0.0106296023122975</v>
      </c>
      <c r="I795" s="836">
        <f t="shared" si="99"/>
        <v>0.01</v>
      </c>
    </row>
    <row r="796" spans="2:9">
      <c r="B796" s="835"/>
      <c r="C796" s="697" t="s">
        <v>2832</v>
      </c>
      <c r="D796" s="697">
        <v>872</v>
      </c>
      <c r="E796" s="697">
        <v>113351.28</v>
      </c>
      <c r="F796" s="697">
        <v>1</v>
      </c>
      <c r="G796" s="852">
        <f t="shared" si="97"/>
        <v>0.00286712895833128</v>
      </c>
      <c r="H796" s="852">
        <f t="shared" si="98"/>
        <v>0.0034154032577201</v>
      </c>
      <c r="I796" s="836">
        <f t="shared" si="99"/>
        <v>0.01</v>
      </c>
    </row>
    <row r="797" spans="2:9">
      <c r="B797" s="835"/>
      <c r="C797" s="697" t="s">
        <v>2809</v>
      </c>
      <c r="D797" s="697">
        <v>814</v>
      </c>
      <c r="E797" s="697">
        <v>131452.86</v>
      </c>
      <c r="F797" s="697">
        <v>1</v>
      </c>
      <c r="G797" s="852">
        <f t="shared" si="97"/>
        <v>0.00267642542669915</v>
      </c>
      <c r="H797" s="852">
        <f t="shared" si="98"/>
        <v>0.00396082449426795</v>
      </c>
      <c r="I797" s="836">
        <f t="shared" si="99"/>
        <v>0.01</v>
      </c>
    </row>
    <row r="798" spans="2:9">
      <c r="B798" s="835" t="s">
        <v>3006</v>
      </c>
      <c r="D798" s="697">
        <v>3836</v>
      </c>
      <c r="E798" s="697">
        <v>22478.96</v>
      </c>
      <c r="F798" s="697">
        <v>1</v>
      </c>
      <c r="G798" s="852">
        <f t="shared" si="97"/>
        <v>0.0126127370231179</v>
      </c>
      <c r="H798" s="852">
        <f t="shared" si="98"/>
        <v>0.000677316685035757</v>
      </c>
      <c r="I798" s="836">
        <f t="shared" si="99"/>
        <v>0.01</v>
      </c>
    </row>
    <row r="799" spans="2:9">
      <c r="B799" s="835"/>
      <c r="C799" s="697" t="s">
        <v>3005</v>
      </c>
      <c r="D799" s="697">
        <v>3836</v>
      </c>
      <c r="E799" s="697">
        <v>22478.96</v>
      </c>
      <c r="F799" s="697">
        <v>1</v>
      </c>
      <c r="G799" s="852">
        <f t="shared" si="97"/>
        <v>0.0126127370231179</v>
      </c>
      <c r="H799" s="852">
        <f t="shared" si="98"/>
        <v>0.000677316685035757</v>
      </c>
      <c r="I799" s="836">
        <f t="shared" si="99"/>
        <v>0.01</v>
      </c>
    </row>
    <row r="800" spans="2:9">
      <c r="B800" s="835" t="s">
        <v>2924</v>
      </c>
      <c r="D800" s="870">
        <v>3212</v>
      </c>
      <c r="E800" s="870">
        <v>577089.728</v>
      </c>
      <c r="F800" s="870">
        <v>3</v>
      </c>
      <c r="G800" s="852">
        <f t="shared" si="97"/>
        <v>0.0105610300621102</v>
      </c>
      <c r="H800" s="852">
        <f t="shared" si="98"/>
        <v>0.0173883712385781</v>
      </c>
      <c r="I800" s="836">
        <f t="shared" si="99"/>
        <v>0.03</v>
      </c>
    </row>
    <row r="801" spans="1:9">
      <c r="B801" s="835"/>
      <c r="C801" s="697" t="s">
        <v>2809</v>
      </c>
      <c r="D801" s="697">
        <v>1815</v>
      </c>
      <c r="E801" s="697">
        <v>326681.88</v>
      </c>
      <c r="F801" s="697">
        <v>1</v>
      </c>
      <c r="G801" s="852">
        <f t="shared" si="97"/>
        <v>0.00596770534331568</v>
      </c>
      <c r="H801" s="852">
        <f t="shared" si="98"/>
        <v>0.00984329737776343</v>
      </c>
      <c r="I801" s="836">
        <f t="shared" si="99"/>
        <v>0.01</v>
      </c>
    </row>
    <row r="802" spans="1:9">
      <c r="B802" s="835"/>
      <c r="C802" s="697" t="s">
        <v>2852</v>
      </c>
      <c r="D802" s="697">
        <v>1034</v>
      </c>
      <c r="E802" s="697">
        <v>185086</v>
      </c>
      <c r="F802" s="697">
        <v>1</v>
      </c>
      <c r="G802" s="852">
        <f t="shared" si="97"/>
        <v>0.00339978365013136</v>
      </c>
      <c r="H802" s="852">
        <f t="shared" si="98"/>
        <v>0.00557685213046013</v>
      </c>
      <c r="I802" s="836">
        <f t="shared" si="99"/>
        <v>0.01</v>
      </c>
    </row>
    <row r="803" spans="1:9">
      <c r="B803" s="835"/>
      <c r="C803" s="697" t="s">
        <v>2986</v>
      </c>
      <c r="D803" s="697">
        <v>363</v>
      </c>
      <c r="E803" s="697">
        <v>65321.848</v>
      </c>
      <c r="F803" s="697">
        <v>1</v>
      </c>
      <c r="G803" s="852">
        <f t="shared" si="97"/>
        <v>0.00119354106866314</v>
      </c>
      <c r="H803" s="852">
        <f t="shared" si="98"/>
        <v>0.0019682217303545</v>
      </c>
      <c r="I803" s="836">
        <f t="shared" si="99"/>
        <v>0.01</v>
      </c>
    </row>
    <row r="804" spans="1:9">
      <c r="B804" s="835" t="s">
        <v>2937</v>
      </c>
      <c r="D804" s="697">
        <v>2527</v>
      </c>
      <c r="E804" s="697">
        <v>318510.93</v>
      </c>
      <c r="F804" s="697">
        <v>3</v>
      </c>
      <c r="G804" s="852">
        <f t="shared" si="97"/>
        <v>0.00830875559369626</v>
      </c>
      <c r="H804" s="852">
        <f t="shared" si="98"/>
        <v>0.00959709734148092</v>
      </c>
      <c r="I804" s="836">
        <f t="shared" si="99"/>
        <v>0.03</v>
      </c>
    </row>
    <row r="805" spans="1:9">
      <c r="B805" s="835"/>
      <c r="C805" s="697" t="s">
        <v>2852</v>
      </c>
      <c r="D805" s="697">
        <v>1966</v>
      </c>
      <c r="E805" s="697">
        <v>246141.93</v>
      </c>
      <c r="F805" s="697">
        <v>2</v>
      </c>
      <c r="G805" s="852">
        <f t="shared" si="97"/>
        <v>0.00646419212394414</v>
      </c>
      <c r="H805" s="852">
        <f t="shared" si="98"/>
        <v>0.00741653688942475</v>
      </c>
      <c r="I805" s="836">
        <f t="shared" si="99"/>
        <v>0.02</v>
      </c>
    </row>
    <row r="806" spans="1:9">
      <c r="B806" s="835"/>
      <c r="C806" s="697" t="s">
        <v>2809</v>
      </c>
      <c r="D806" s="697">
        <v>561</v>
      </c>
      <c r="E806" s="697">
        <v>72369</v>
      </c>
      <c r="F806" s="697">
        <v>1</v>
      </c>
      <c r="G806" s="852">
        <f t="shared" si="97"/>
        <v>0.00184456346975212</v>
      </c>
      <c r="H806" s="852">
        <f t="shared" si="98"/>
        <v>0.00218056045205618</v>
      </c>
      <c r="I806" s="836">
        <f t="shared" si="99"/>
        <v>0.01</v>
      </c>
    </row>
    <row r="807" spans="1:9">
      <c r="B807" s="835" t="s">
        <v>2984</v>
      </c>
      <c r="D807" s="697">
        <v>1174</v>
      </c>
      <c r="E807" s="697">
        <v>162318.27</v>
      </c>
      <c r="F807" s="697">
        <v>2</v>
      </c>
      <c r="G807" s="852">
        <f t="shared" ref="G807:G872" si="100">D807/$C$150</f>
        <v>0.00386010251958821</v>
      </c>
      <c r="H807" s="852">
        <f t="shared" ref="H807:H872" si="101">E807/$D$150</f>
        <v>0.00489083447620081</v>
      </c>
      <c r="I807" s="836">
        <f t="shared" ref="I807:I872" si="102">F807/$E$150</f>
        <v>0.02</v>
      </c>
    </row>
    <row r="808" spans="1:9">
      <c r="B808" s="835"/>
      <c r="C808" s="697" t="s">
        <v>2809</v>
      </c>
      <c r="D808" s="697">
        <v>1174</v>
      </c>
      <c r="E808" s="697">
        <v>162318.27</v>
      </c>
      <c r="F808" s="697">
        <v>2</v>
      </c>
      <c r="G808" s="852">
        <f t="shared" si="100"/>
        <v>0.00386010251958821</v>
      </c>
      <c r="H808" s="852">
        <f t="shared" si="101"/>
        <v>0.00489083447620081</v>
      </c>
      <c r="I808" s="836">
        <f t="shared" si="102"/>
        <v>0.02</v>
      </c>
    </row>
    <row r="809" ht="17.25" spans="1:9">
      <c r="B809" s="871" t="s">
        <v>3102</v>
      </c>
      <c r="C809" s="799"/>
      <c r="D809" s="799">
        <v>304137</v>
      </c>
      <c r="E809" s="799">
        <v>33188256.685</v>
      </c>
      <c r="F809" s="799">
        <v>100</v>
      </c>
      <c r="G809" s="795">
        <f t="shared" si="100"/>
        <v>1</v>
      </c>
      <c r="H809" s="795">
        <f t="shared" si="101"/>
        <v>1</v>
      </c>
      <c r="I809" s="872">
        <f t="shared" si="102"/>
        <v>1</v>
      </c>
    </row>
    <row r="811" ht="17.25" spans="1:9">
      <c r="A811" s="829" t="s">
        <v>3149</v>
      </c>
      <c r="B811" s="830" t="s">
        <v>2805</v>
      </c>
      <c r="C811" s="831" t="s">
        <v>2797</v>
      </c>
      <c r="D811" s="831" t="s">
        <v>3098</v>
      </c>
      <c r="E811" s="831" t="s">
        <v>3099</v>
      </c>
      <c r="F811" s="831" t="s">
        <v>3100</v>
      </c>
      <c r="G811" s="833" t="s">
        <v>3022</v>
      </c>
      <c r="H811" s="833" t="s">
        <v>3023</v>
      </c>
      <c r="I811" s="834" t="s">
        <v>3101</v>
      </c>
    </row>
    <row r="812" spans="1:9">
      <c r="B812" s="835" t="s">
        <v>2820</v>
      </c>
      <c r="D812" s="697">
        <v>62949</v>
      </c>
      <c r="E812" s="697">
        <v>5650633.572</v>
      </c>
      <c r="F812" s="697">
        <v>9</v>
      </c>
      <c r="G812" s="852">
        <f t="shared" si="100"/>
        <v>0.206975803667426</v>
      </c>
      <c r="H812" s="852">
        <f t="shared" si="101"/>
        <v>0.17026002979403</v>
      </c>
      <c r="I812" s="836">
        <f t="shared" si="102"/>
        <v>0.09</v>
      </c>
    </row>
    <row r="813" spans="1:9">
      <c r="B813" s="835"/>
      <c r="C813" s="697" t="s">
        <v>2813</v>
      </c>
      <c r="D813" s="697">
        <v>32023</v>
      </c>
      <c r="E813" s="697">
        <v>2880468.8</v>
      </c>
      <c r="F813" s="697">
        <v>1</v>
      </c>
      <c r="G813" s="852">
        <f t="shared" si="100"/>
        <v>0.105291365404407</v>
      </c>
      <c r="H813" s="852">
        <f t="shared" si="101"/>
        <v>0.0867918079379529</v>
      </c>
      <c r="I813" s="836">
        <f t="shared" si="102"/>
        <v>0.01</v>
      </c>
    </row>
    <row r="814" spans="1:9">
      <c r="B814" s="835"/>
      <c r="C814" s="697" t="s">
        <v>2843</v>
      </c>
      <c r="D814" s="697">
        <v>22113</v>
      </c>
      <c r="E814" s="697">
        <v>1983978.182</v>
      </c>
      <c r="F814" s="697">
        <v>2</v>
      </c>
      <c r="G814" s="852">
        <f t="shared" si="100"/>
        <v>0.0727073654307105</v>
      </c>
      <c r="H814" s="852">
        <f t="shared" si="101"/>
        <v>0.0597795238487683</v>
      </c>
      <c r="I814" s="836">
        <f t="shared" si="102"/>
        <v>0.02</v>
      </c>
    </row>
    <row r="815" spans="1:9">
      <c r="B815" s="835"/>
      <c r="C815" s="697" t="s">
        <v>2837</v>
      </c>
      <c r="D815" s="697">
        <v>5498</v>
      </c>
      <c r="E815" s="697">
        <v>489816.8</v>
      </c>
      <c r="F815" s="697">
        <v>1</v>
      </c>
      <c r="G815" s="852">
        <f t="shared" si="100"/>
        <v>0.0180773796019557</v>
      </c>
      <c r="H815" s="852">
        <f t="shared" si="101"/>
        <v>0.0147587384492353</v>
      </c>
      <c r="I815" s="836">
        <f t="shared" si="102"/>
        <v>0.01</v>
      </c>
    </row>
    <row r="816" spans="1:9">
      <c r="B816" s="835"/>
      <c r="C816" s="697" t="s">
        <v>2894</v>
      </c>
      <c r="D816" s="697">
        <v>1835</v>
      </c>
      <c r="E816" s="697">
        <v>171969.61</v>
      </c>
      <c r="F816" s="697">
        <v>3</v>
      </c>
      <c r="G816" s="852">
        <f t="shared" si="100"/>
        <v>0.00603346518180951</v>
      </c>
      <c r="H816" s="852">
        <f t="shared" si="101"/>
        <v>0.00518164035044735</v>
      </c>
      <c r="I816" s="836">
        <f t="shared" si="102"/>
        <v>0.03</v>
      </c>
    </row>
    <row r="817" spans="2:9">
      <c r="B817" s="835"/>
      <c r="C817" s="697" t="s">
        <v>2977</v>
      </c>
      <c r="D817" s="697">
        <v>949</v>
      </c>
      <c r="E817" s="697">
        <v>81272.36</v>
      </c>
      <c r="F817" s="697">
        <v>1</v>
      </c>
      <c r="G817" s="852">
        <f t="shared" si="100"/>
        <v>0.00312030433653255</v>
      </c>
      <c r="H817" s="852">
        <f t="shared" si="101"/>
        <v>0.0024488288363978</v>
      </c>
      <c r="I817" s="836">
        <f t="shared" si="102"/>
        <v>0.01</v>
      </c>
    </row>
    <row r="818" spans="2:9">
      <c r="B818" s="835"/>
      <c r="C818" s="697" t="s">
        <v>2849</v>
      </c>
      <c r="D818" s="697">
        <v>531</v>
      </c>
      <c r="E818" s="697">
        <v>43127.82</v>
      </c>
      <c r="F818" s="697">
        <v>1</v>
      </c>
      <c r="G818" s="852">
        <f t="shared" si="100"/>
        <v>0.00174592371201136</v>
      </c>
      <c r="H818" s="852">
        <f t="shared" si="101"/>
        <v>0.00129949037122798</v>
      </c>
      <c r="I818" s="836">
        <f t="shared" si="102"/>
        <v>0.01</v>
      </c>
    </row>
    <row r="819" spans="2:9">
      <c r="B819" s="835" t="s">
        <v>2840</v>
      </c>
      <c r="D819" s="697">
        <v>47906</v>
      </c>
      <c r="E819" s="697">
        <v>5244223.682</v>
      </c>
      <c r="F819" s="697">
        <v>9</v>
      </c>
      <c r="G819" s="852">
        <f t="shared" si="100"/>
        <v>0.157514541144287</v>
      </c>
      <c r="H819" s="852">
        <f t="shared" si="101"/>
        <v>0.15801443660553</v>
      </c>
      <c r="I819" s="836">
        <f t="shared" si="102"/>
        <v>0.09</v>
      </c>
    </row>
    <row r="820" spans="2:9">
      <c r="B820" s="835"/>
      <c r="C820" s="697" t="s">
        <v>2849</v>
      </c>
      <c r="D820" s="697">
        <v>21409</v>
      </c>
      <c r="E820" s="697">
        <v>2350578.598</v>
      </c>
      <c r="F820" s="697">
        <v>2</v>
      </c>
      <c r="G820" s="852">
        <f t="shared" si="100"/>
        <v>0.0703926191157274</v>
      </c>
      <c r="H820" s="852">
        <f t="shared" si="101"/>
        <v>0.0708256122130809</v>
      </c>
      <c r="I820" s="836">
        <f t="shared" si="102"/>
        <v>0.02</v>
      </c>
    </row>
    <row r="821" spans="2:9">
      <c r="B821" s="835"/>
      <c r="C821" s="697" t="s">
        <v>2837</v>
      </c>
      <c r="D821" s="697">
        <v>11952</v>
      </c>
      <c r="E821" s="697">
        <v>1314122.4</v>
      </c>
      <c r="F821" s="697">
        <v>1</v>
      </c>
      <c r="G821" s="852">
        <f t="shared" si="100"/>
        <v>0.0392980794839168</v>
      </c>
      <c r="H821" s="852">
        <f t="shared" si="101"/>
        <v>0.0395960056737159</v>
      </c>
      <c r="I821" s="836">
        <f t="shared" si="102"/>
        <v>0.01</v>
      </c>
    </row>
    <row r="822" spans="2:9">
      <c r="B822" s="835"/>
      <c r="C822" s="697" t="s">
        <v>2843</v>
      </c>
      <c r="D822" s="697">
        <v>9323</v>
      </c>
      <c r="E822" s="697">
        <v>1025063.8</v>
      </c>
      <c r="F822" s="697">
        <v>1</v>
      </c>
      <c r="G822" s="852">
        <f t="shared" si="100"/>
        <v>0.030653948713902</v>
      </c>
      <c r="H822" s="852">
        <f t="shared" si="101"/>
        <v>0.0308863406032199</v>
      </c>
      <c r="I822" s="836">
        <f t="shared" si="102"/>
        <v>0.01</v>
      </c>
    </row>
    <row r="823" spans="2:9">
      <c r="B823" s="835"/>
      <c r="C823" s="697" t="s">
        <v>2894</v>
      </c>
      <c r="D823" s="697">
        <v>2130</v>
      </c>
      <c r="E823" s="697">
        <v>219588.84</v>
      </c>
      <c r="F823" s="697">
        <v>2</v>
      </c>
      <c r="G823" s="852">
        <f t="shared" si="100"/>
        <v>0.0070034227995936</v>
      </c>
      <c r="H823" s="852">
        <f t="shared" si="101"/>
        <v>0.00661646202402812</v>
      </c>
      <c r="I823" s="836">
        <f t="shared" si="102"/>
        <v>0.02</v>
      </c>
    </row>
    <row r="824" spans="2:9">
      <c r="B824" s="835"/>
      <c r="C824" s="697" t="s">
        <v>2878</v>
      </c>
      <c r="D824" s="697">
        <v>1720</v>
      </c>
      <c r="E824" s="697">
        <v>183977.484</v>
      </c>
      <c r="F824" s="697">
        <v>2</v>
      </c>
      <c r="G824" s="852">
        <f t="shared" si="100"/>
        <v>0.00565534611046995</v>
      </c>
      <c r="H824" s="852">
        <f t="shared" si="101"/>
        <v>0.00554345127995686</v>
      </c>
      <c r="I824" s="836">
        <f t="shared" si="102"/>
        <v>0.02</v>
      </c>
    </row>
    <row r="825" spans="2:9">
      <c r="B825" s="835"/>
      <c r="C825" s="697" t="s">
        <v>2888</v>
      </c>
      <c r="D825" s="697">
        <v>1372</v>
      </c>
      <c r="E825" s="697">
        <v>150892.56</v>
      </c>
      <c r="F825" s="697">
        <v>1</v>
      </c>
      <c r="G825" s="852">
        <f t="shared" si="100"/>
        <v>0.0045111249206772</v>
      </c>
      <c r="H825" s="852">
        <f t="shared" si="101"/>
        <v>0.00454656481152861</v>
      </c>
      <c r="I825" s="836">
        <f t="shared" si="102"/>
        <v>0.01</v>
      </c>
    </row>
    <row r="826" spans="2:9">
      <c r="B826" s="835" t="s">
        <v>2830</v>
      </c>
      <c r="D826" s="697">
        <v>30081</v>
      </c>
      <c r="E826" s="697">
        <v>2536849.225</v>
      </c>
      <c r="F826" s="697">
        <v>7</v>
      </c>
      <c r="G826" s="852">
        <f t="shared" si="100"/>
        <v>0.098906085086655</v>
      </c>
      <c r="H826" s="852">
        <f t="shared" si="101"/>
        <v>0.0764381585052213</v>
      </c>
      <c r="I826" s="836">
        <f t="shared" si="102"/>
        <v>0.07</v>
      </c>
    </row>
    <row r="827" spans="2:9">
      <c r="B827" s="835"/>
      <c r="C827" s="697" t="s">
        <v>2827</v>
      </c>
      <c r="D827" s="697">
        <v>23043</v>
      </c>
      <c r="E827" s="697">
        <v>1842979.2</v>
      </c>
      <c r="F827" s="697">
        <v>1</v>
      </c>
      <c r="G827" s="852">
        <f t="shared" si="100"/>
        <v>0.0757651979206739</v>
      </c>
      <c r="H827" s="852">
        <f t="shared" si="101"/>
        <v>0.0555310638185152</v>
      </c>
      <c r="I827" s="836">
        <f t="shared" si="102"/>
        <v>0.01</v>
      </c>
    </row>
    <row r="828" spans="2:9">
      <c r="B828" s="835"/>
      <c r="C828" s="697" t="s">
        <v>2813</v>
      </c>
      <c r="D828" s="697">
        <v>2980</v>
      </c>
      <c r="E828" s="697">
        <v>297970.2</v>
      </c>
      <c r="F828" s="697">
        <v>1</v>
      </c>
      <c r="G828" s="852">
        <f t="shared" si="100"/>
        <v>0.00979821593558166</v>
      </c>
      <c r="H828" s="852">
        <f t="shared" si="101"/>
        <v>0.00897818173542911</v>
      </c>
      <c r="I828" s="836">
        <f t="shared" si="102"/>
        <v>0.01</v>
      </c>
    </row>
    <row r="829" spans="2:9">
      <c r="B829" s="835"/>
      <c r="C829" s="697" t="s">
        <v>2878</v>
      </c>
      <c r="D829" s="697">
        <v>1180</v>
      </c>
      <c r="E829" s="697">
        <v>117988.195</v>
      </c>
      <c r="F829" s="697">
        <v>1</v>
      </c>
      <c r="G829" s="852">
        <f t="shared" si="100"/>
        <v>0.00387983047113636</v>
      </c>
      <c r="H829" s="852">
        <f t="shared" si="101"/>
        <v>0.0035551187915612</v>
      </c>
      <c r="I829" s="836">
        <f t="shared" si="102"/>
        <v>0.01</v>
      </c>
    </row>
    <row r="830" spans="2:9">
      <c r="B830" s="835"/>
      <c r="C830" s="697" t="s">
        <v>2938</v>
      </c>
      <c r="D830" s="697">
        <v>936</v>
      </c>
      <c r="E830" s="697">
        <v>93590.64</v>
      </c>
      <c r="F830" s="697">
        <v>1</v>
      </c>
      <c r="G830" s="852">
        <f t="shared" si="100"/>
        <v>0.00307756044151156</v>
      </c>
      <c r="H830" s="852">
        <f t="shared" si="101"/>
        <v>0.00281999265247035</v>
      </c>
      <c r="I830" s="836">
        <f t="shared" si="102"/>
        <v>0.01</v>
      </c>
    </row>
    <row r="831" spans="2:9">
      <c r="B831" s="835"/>
      <c r="C831" s="697" t="s">
        <v>2849</v>
      </c>
      <c r="D831" s="697">
        <v>891</v>
      </c>
      <c r="E831" s="697">
        <v>80635.5</v>
      </c>
      <c r="F831" s="697">
        <v>1</v>
      </c>
      <c r="G831" s="852">
        <f t="shared" si="100"/>
        <v>0.00292960080490042</v>
      </c>
      <c r="H831" s="852">
        <f t="shared" si="101"/>
        <v>0.00242963951874112</v>
      </c>
      <c r="I831" s="836">
        <f t="shared" si="102"/>
        <v>0.01</v>
      </c>
    </row>
    <row r="832" spans="2:9">
      <c r="B832" s="835"/>
      <c r="C832" s="697" t="s">
        <v>2837</v>
      </c>
      <c r="D832" s="697">
        <v>817</v>
      </c>
      <c r="E832" s="697">
        <v>81691.83</v>
      </c>
      <c r="F832" s="697">
        <v>1</v>
      </c>
      <c r="G832" s="852">
        <f t="shared" si="100"/>
        <v>0.00268628940247323</v>
      </c>
      <c r="H832" s="852">
        <f t="shared" si="101"/>
        <v>0.00246146794558577</v>
      </c>
      <c r="I832" s="836">
        <f t="shared" si="102"/>
        <v>0.01</v>
      </c>
    </row>
    <row r="833" spans="2:9">
      <c r="B833" s="835"/>
      <c r="C833" s="697" t="s">
        <v>2894</v>
      </c>
      <c r="D833" s="697">
        <v>234</v>
      </c>
      <c r="E833" s="697">
        <v>21993.66</v>
      </c>
      <c r="F833" s="697">
        <v>1</v>
      </c>
      <c r="G833" s="852">
        <f t="shared" si="100"/>
        <v>0.000769390110377889</v>
      </c>
      <c r="H833" s="852">
        <f t="shared" si="101"/>
        <v>0.000662694042918513</v>
      </c>
      <c r="I833" s="836">
        <f t="shared" si="102"/>
        <v>0.01</v>
      </c>
    </row>
    <row r="834" spans="2:9">
      <c r="B834" s="835" t="s">
        <v>2916</v>
      </c>
      <c r="D834" s="697">
        <v>22156</v>
      </c>
      <c r="E834" s="697">
        <v>1094253.623</v>
      </c>
      <c r="F834" s="697">
        <v>6</v>
      </c>
      <c r="G834" s="852">
        <f t="shared" si="100"/>
        <v>0.0728487490834722</v>
      </c>
      <c r="H834" s="852">
        <f t="shared" si="101"/>
        <v>0.0329711088288216</v>
      </c>
      <c r="I834" s="836">
        <f t="shared" si="102"/>
        <v>0.06</v>
      </c>
    </row>
    <row r="835" spans="2:9">
      <c r="B835" s="835"/>
      <c r="C835" s="697" t="s">
        <v>2813</v>
      </c>
      <c r="D835" s="697">
        <v>17432</v>
      </c>
      <c r="E835" s="697">
        <v>871425.7</v>
      </c>
      <c r="F835" s="697">
        <v>1</v>
      </c>
      <c r="G835" s="852">
        <f t="shared" si="100"/>
        <v>0.057316275231228</v>
      </c>
      <c r="H835" s="852">
        <f t="shared" si="101"/>
        <v>0.0262570495422815</v>
      </c>
      <c r="I835" s="836">
        <f t="shared" si="102"/>
        <v>0.01</v>
      </c>
    </row>
    <row r="836" spans="2:9">
      <c r="B836" s="835"/>
      <c r="C836" s="697" t="s">
        <v>2861</v>
      </c>
      <c r="D836" s="697">
        <v>2453</v>
      </c>
      <c r="E836" s="697">
        <v>119396.443</v>
      </c>
      <c r="F836" s="697">
        <v>3</v>
      </c>
      <c r="G836" s="852">
        <f t="shared" si="100"/>
        <v>0.00806544419126907</v>
      </c>
      <c r="H836" s="852">
        <f t="shared" si="101"/>
        <v>0.0035975509088419</v>
      </c>
      <c r="I836" s="836">
        <f t="shared" si="102"/>
        <v>0.03</v>
      </c>
    </row>
    <row r="837" spans="2:9">
      <c r="B837" s="835"/>
      <c r="C837" s="697" t="s">
        <v>2843</v>
      </c>
      <c r="D837" s="697">
        <v>1962</v>
      </c>
      <c r="E837" s="697">
        <v>88074.18</v>
      </c>
      <c r="F837" s="697">
        <v>1</v>
      </c>
      <c r="G837" s="852">
        <f t="shared" si="100"/>
        <v>0.00645104015624538</v>
      </c>
      <c r="H837" s="852">
        <f t="shared" si="101"/>
        <v>0.00265377542532406</v>
      </c>
      <c r="I837" s="836">
        <f t="shared" si="102"/>
        <v>0.01</v>
      </c>
    </row>
    <row r="838" spans="2:9">
      <c r="B838" s="835"/>
      <c r="C838" s="697" t="s">
        <v>2938</v>
      </c>
      <c r="D838" s="697">
        <v>309</v>
      </c>
      <c r="E838" s="697">
        <v>15357.3</v>
      </c>
      <c r="F838" s="697">
        <v>1</v>
      </c>
      <c r="G838" s="852">
        <f t="shared" si="100"/>
        <v>0.00101598950472978</v>
      </c>
      <c r="H838" s="852">
        <f t="shared" si="101"/>
        <v>0.000462732952374115</v>
      </c>
      <c r="I838" s="836">
        <f t="shared" si="102"/>
        <v>0.01</v>
      </c>
    </row>
    <row r="839" spans="2:9">
      <c r="B839" s="835" t="s">
        <v>2857</v>
      </c>
      <c r="D839" s="697">
        <v>21766</v>
      </c>
      <c r="E839" s="697">
        <v>4931042.56</v>
      </c>
      <c r="F839" s="697">
        <v>7</v>
      </c>
      <c r="G839" s="852">
        <f t="shared" si="100"/>
        <v>0.0715664322328424</v>
      </c>
      <c r="H839" s="852">
        <f t="shared" si="101"/>
        <v>0.1485779324537</v>
      </c>
      <c r="I839" s="836">
        <f t="shared" si="102"/>
        <v>0.07</v>
      </c>
    </row>
    <row r="840" spans="2:9">
      <c r="B840" s="835"/>
      <c r="C840" s="697" t="s">
        <v>2843</v>
      </c>
      <c r="D840" s="697">
        <v>13627</v>
      </c>
      <c r="E840" s="697">
        <v>2811383.67</v>
      </c>
      <c r="F840" s="697">
        <v>2</v>
      </c>
      <c r="G840" s="852">
        <f t="shared" si="100"/>
        <v>0.0448054659577756</v>
      </c>
      <c r="H840" s="852">
        <f t="shared" si="101"/>
        <v>0.0847101942317643</v>
      </c>
      <c r="I840" s="836">
        <f t="shared" si="102"/>
        <v>0.02</v>
      </c>
    </row>
    <row r="841" spans="2:9">
      <c r="B841" s="835"/>
      <c r="C841" s="697" t="s">
        <v>2849</v>
      </c>
      <c r="D841" s="697">
        <v>3280</v>
      </c>
      <c r="E841" s="697">
        <v>721436</v>
      </c>
      <c r="F841" s="697">
        <v>1</v>
      </c>
      <c r="G841" s="852">
        <f t="shared" si="100"/>
        <v>0.0107846135129892</v>
      </c>
      <c r="H841" s="852">
        <f t="shared" si="101"/>
        <v>0.0217376889315812</v>
      </c>
      <c r="I841" s="836">
        <f t="shared" si="102"/>
        <v>0.01</v>
      </c>
    </row>
    <row r="842" spans="2:9">
      <c r="B842" s="835"/>
      <c r="C842" s="697" t="s">
        <v>2894</v>
      </c>
      <c r="D842" s="697">
        <v>2970</v>
      </c>
      <c r="E842" s="697">
        <v>858330</v>
      </c>
      <c r="F842" s="697">
        <v>1</v>
      </c>
      <c r="G842" s="852">
        <f t="shared" si="100"/>
        <v>0.00976533601633474</v>
      </c>
      <c r="H842" s="852">
        <f t="shared" si="101"/>
        <v>0.02586246117555</v>
      </c>
      <c r="I842" s="836">
        <f t="shared" si="102"/>
        <v>0.01</v>
      </c>
    </row>
    <row r="843" spans="2:9">
      <c r="B843" s="835"/>
      <c r="C843" s="697" t="s">
        <v>2947</v>
      </c>
      <c r="D843" s="697">
        <v>956</v>
      </c>
      <c r="E843" s="697">
        <v>334552.22</v>
      </c>
      <c r="F843" s="697">
        <v>1</v>
      </c>
      <c r="G843" s="852">
        <f t="shared" si="100"/>
        <v>0.00314332028000539</v>
      </c>
      <c r="H843" s="852">
        <f t="shared" si="101"/>
        <v>0.0100804396921278</v>
      </c>
      <c r="I843" s="836">
        <f t="shared" si="102"/>
        <v>0.01</v>
      </c>
    </row>
    <row r="844" spans="2:9">
      <c r="B844" s="835"/>
      <c r="C844" s="697" t="s">
        <v>2920</v>
      </c>
      <c r="D844" s="697">
        <v>702</v>
      </c>
      <c r="E844" s="697">
        <v>161452.98</v>
      </c>
      <c r="F844" s="697">
        <v>1</v>
      </c>
      <c r="G844" s="852">
        <f t="shared" si="100"/>
        <v>0.00230817033113367</v>
      </c>
      <c r="H844" s="852">
        <f t="shared" si="101"/>
        <v>0.00486476230229265</v>
      </c>
      <c r="I844" s="836">
        <f t="shared" si="102"/>
        <v>0.01</v>
      </c>
    </row>
    <row r="845" spans="2:9">
      <c r="B845" s="835"/>
      <c r="C845" s="697" t="s">
        <v>2998</v>
      </c>
      <c r="D845" s="697">
        <v>231</v>
      </c>
      <c r="E845" s="697">
        <v>43887.69</v>
      </c>
      <c r="F845" s="697">
        <v>1</v>
      </c>
      <c r="G845" s="852">
        <f t="shared" si="100"/>
        <v>0.000759526134603813</v>
      </c>
      <c r="H845" s="852">
        <f t="shared" si="101"/>
        <v>0.00132238612038444</v>
      </c>
      <c r="I845" s="836">
        <f t="shared" si="102"/>
        <v>0.01</v>
      </c>
    </row>
    <row r="846" spans="2:9">
      <c r="B846" s="835" t="s">
        <v>2882</v>
      </c>
      <c r="D846" s="697">
        <v>20334</v>
      </c>
      <c r="E846" s="697">
        <v>1415899.706</v>
      </c>
      <c r="F846" s="697">
        <v>10</v>
      </c>
      <c r="G846" s="852">
        <f t="shared" si="100"/>
        <v>0.0668580277966837</v>
      </c>
      <c r="H846" s="852">
        <f t="shared" si="101"/>
        <v>0.042662671903461</v>
      </c>
      <c r="I846" s="836">
        <f t="shared" si="102"/>
        <v>0.1</v>
      </c>
    </row>
    <row r="847" spans="2:9">
      <c r="B847" s="835"/>
      <c r="C847" s="697" t="s">
        <v>2861</v>
      </c>
      <c r="D847" s="697">
        <v>9659</v>
      </c>
      <c r="E847" s="697">
        <v>653488.073</v>
      </c>
      <c r="F847" s="697">
        <v>4</v>
      </c>
      <c r="G847" s="852">
        <f t="shared" si="100"/>
        <v>0.0317587140005984</v>
      </c>
      <c r="H847" s="852">
        <f t="shared" si="101"/>
        <v>0.0196903404479017</v>
      </c>
      <c r="I847" s="836">
        <f t="shared" si="102"/>
        <v>0.04</v>
      </c>
    </row>
    <row r="848" spans="2:9">
      <c r="B848" s="835"/>
      <c r="C848" s="697" t="s">
        <v>2827</v>
      </c>
      <c r="D848" s="697">
        <v>4279</v>
      </c>
      <c r="E848" s="697">
        <v>342277.2</v>
      </c>
      <c r="F848" s="697">
        <v>1</v>
      </c>
      <c r="G848" s="852">
        <f t="shared" si="100"/>
        <v>0.0140693174457564</v>
      </c>
      <c r="H848" s="852">
        <f t="shared" si="101"/>
        <v>0.0103132021440192</v>
      </c>
      <c r="I848" s="836">
        <f t="shared" si="102"/>
        <v>0.01</v>
      </c>
    </row>
    <row r="849" spans="2:9">
      <c r="B849" s="835"/>
      <c r="C849" s="697" t="s">
        <v>2878</v>
      </c>
      <c r="D849" s="697">
        <v>3272</v>
      </c>
      <c r="E849" s="697">
        <v>206109.68</v>
      </c>
      <c r="F849" s="697">
        <v>2</v>
      </c>
      <c r="G849" s="852">
        <f t="shared" si="100"/>
        <v>0.0107583095775917</v>
      </c>
      <c r="H849" s="852">
        <f t="shared" si="101"/>
        <v>0.0062103195704508</v>
      </c>
      <c r="I849" s="836">
        <f t="shared" si="102"/>
        <v>0.02</v>
      </c>
    </row>
    <row r="850" spans="2:9">
      <c r="B850" s="835"/>
      <c r="C850" s="697" t="s">
        <v>2813</v>
      </c>
      <c r="D850" s="697">
        <v>2546</v>
      </c>
      <c r="E850" s="697">
        <v>178194.53</v>
      </c>
      <c r="F850" s="697">
        <v>2</v>
      </c>
      <c r="G850" s="852">
        <f t="shared" si="100"/>
        <v>0.00837122744026541</v>
      </c>
      <c r="H850" s="852">
        <f t="shared" si="101"/>
        <v>0.00536920428485592</v>
      </c>
      <c r="I850" s="836">
        <f t="shared" si="102"/>
        <v>0.02</v>
      </c>
    </row>
    <row r="851" spans="2:9">
      <c r="B851" s="835"/>
      <c r="C851" s="697" t="s">
        <v>2888</v>
      </c>
      <c r="D851" s="697">
        <v>578</v>
      </c>
      <c r="E851" s="697">
        <v>35830.223</v>
      </c>
      <c r="F851" s="697">
        <v>1</v>
      </c>
      <c r="G851" s="852">
        <f t="shared" si="100"/>
        <v>0.00190045933247188</v>
      </c>
      <c r="H851" s="852">
        <f t="shared" si="101"/>
        <v>0.00107960545623338</v>
      </c>
      <c r="I851" s="836">
        <f t="shared" si="102"/>
        <v>0.01</v>
      </c>
    </row>
    <row r="852" spans="2:9">
      <c r="B852" s="835" t="s">
        <v>2880</v>
      </c>
      <c r="D852" s="870">
        <v>13945</v>
      </c>
      <c r="E852" s="870">
        <v>2760257.51</v>
      </c>
      <c r="F852" s="870">
        <v>5</v>
      </c>
      <c r="G852" s="852">
        <f t="shared" si="100"/>
        <v>0.0458510473898276</v>
      </c>
      <c r="H852" s="852">
        <f t="shared" si="101"/>
        <v>0.0831697047602848</v>
      </c>
      <c r="I852" s="836">
        <f t="shared" si="102"/>
        <v>0.05</v>
      </c>
    </row>
    <row r="853" spans="2:9">
      <c r="B853" s="835"/>
      <c r="C853" s="697" t="s">
        <v>2878</v>
      </c>
      <c r="D853" s="697">
        <v>9972</v>
      </c>
      <c r="E853" s="697">
        <v>1994300.4</v>
      </c>
      <c r="F853" s="697">
        <v>1</v>
      </c>
      <c r="G853" s="852">
        <f t="shared" si="100"/>
        <v>0.032787855473027</v>
      </c>
      <c r="H853" s="852">
        <f t="shared" si="101"/>
        <v>0.0600905440417833</v>
      </c>
      <c r="I853" s="836">
        <f t="shared" si="102"/>
        <v>0.01</v>
      </c>
    </row>
    <row r="854" spans="2:9">
      <c r="B854" s="835"/>
      <c r="C854" s="697" t="s">
        <v>2849</v>
      </c>
      <c r="D854" s="697">
        <v>1895</v>
      </c>
      <c r="E854" s="697">
        <v>360031.06</v>
      </c>
      <c r="F854" s="697">
        <v>1</v>
      </c>
      <c r="G854" s="852">
        <f t="shared" si="100"/>
        <v>0.00623074469729102</v>
      </c>
      <c r="H854" s="852">
        <f t="shared" si="101"/>
        <v>0.0108481461806556</v>
      </c>
      <c r="I854" s="836">
        <f t="shared" si="102"/>
        <v>0.01</v>
      </c>
    </row>
    <row r="855" spans="2:9">
      <c r="B855" s="835"/>
      <c r="C855" s="697" t="s">
        <v>2861</v>
      </c>
      <c r="D855" s="697">
        <v>922</v>
      </c>
      <c r="E855" s="697">
        <v>166697.61</v>
      </c>
      <c r="F855" s="697">
        <v>1</v>
      </c>
      <c r="G855" s="852">
        <f t="shared" si="100"/>
        <v>0.00303152855456587</v>
      </c>
      <c r="H855" s="852">
        <f t="shared" si="101"/>
        <v>0.00502278898172262</v>
      </c>
      <c r="I855" s="836">
        <f t="shared" si="102"/>
        <v>0.01</v>
      </c>
    </row>
    <row r="856" spans="2:9">
      <c r="B856" s="835"/>
      <c r="C856" s="697" t="s">
        <v>2894</v>
      </c>
      <c r="D856" s="697">
        <v>666</v>
      </c>
      <c r="E856" s="697">
        <v>126533.34</v>
      </c>
      <c r="F856" s="697">
        <v>1</v>
      </c>
      <c r="G856" s="852">
        <f t="shared" si="100"/>
        <v>0.00218980262184476</v>
      </c>
      <c r="H856" s="852">
        <f t="shared" si="101"/>
        <v>0.0038125937496798</v>
      </c>
      <c r="I856" s="836">
        <f t="shared" si="102"/>
        <v>0.01</v>
      </c>
    </row>
    <row r="857" spans="2:9">
      <c r="B857" s="835"/>
      <c r="C857" s="697" t="s">
        <v>2998</v>
      </c>
      <c r="D857" s="697">
        <v>490</v>
      </c>
      <c r="E857" s="697">
        <v>112695.1</v>
      </c>
      <c r="F857" s="697">
        <v>1</v>
      </c>
      <c r="G857" s="852">
        <f t="shared" si="100"/>
        <v>0.001611116043099</v>
      </c>
      <c r="H857" s="852">
        <f t="shared" si="101"/>
        <v>0.00339563180644359</v>
      </c>
      <c r="I857" s="836">
        <f t="shared" si="102"/>
        <v>0.01</v>
      </c>
    </row>
    <row r="858" spans="2:9">
      <c r="B858" s="835" t="s">
        <v>2887</v>
      </c>
      <c r="D858" s="697">
        <v>13332</v>
      </c>
      <c r="E858" s="697">
        <v>1910386.67</v>
      </c>
      <c r="F858" s="697">
        <v>6</v>
      </c>
      <c r="G858" s="852">
        <f t="shared" si="100"/>
        <v>0.0438355083399915</v>
      </c>
      <c r="H858" s="852">
        <f t="shared" si="101"/>
        <v>0.0575621277168027</v>
      </c>
      <c r="I858" s="836">
        <f t="shared" si="102"/>
        <v>0.06</v>
      </c>
    </row>
    <row r="859" spans="2:9">
      <c r="B859" s="835"/>
      <c r="C859" s="697" t="s">
        <v>2837</v>
      </c>
      <c r="D859" s="697">
        <v>7579</v>
      </c>
      <c r="E859" s="697">
        <v>1136774.2</v>
      </c>
      <c r="F859" s="697">
        <v>1</v>
      </c>
      <c r="G859" s="852">
        <f t="shared" si="100"/>
        <v>0.0249196907972394</v>
      </c>
      <c r="H859" s="852">
        <f t="shared" si="101"/>
        <v>0.0342523022763586</v>
      </c>
      <c r="I859" s="836">
        <f t="shared" si="102"/>
        <v>0.01</v>
      </c>
    </row>
    <row r="860" spans="2:9">
      <c r="B860" s="835"/>
      <c r="C860" s="697" t="s">
        <v>2849</v>
      </c>
      <c r="D860" s="697">
        <v>3085</v>
      </c>
      <c r="E860" s="697">
        <v>462719.16</v>
      </c>
      <c r="F860" s="697">
        <v>2</v>
      </c>
      <c r="G860" s="852">
        <f t="shared" si="100"/>
        <v>0.0101434550876743</v>
      </c>
      <c r="H860" s="852">
        <f t="shared" si="101"/>
        <v>0.0139422556716917</v>
      </c>
      <c r="I860" s="836">
        <f t="shared" si="102"/>
        <v>0.02</v>
      </c>
    </row>
    <row r="861" spans="2:9">
      <c r="B861" s="835"/>
      <c r="C861" s="697" t="s">
        <v>2920</v>
      </c>
      <c r="D861" s="697">
        <v>1488</v>
      </c>
      <c r="E861" s="697">
        <v>133905.11</v>
      </c>
      <c r="F861" s="697">
        <v>1</v>
      </c>
      <c r="G861" s="852">
        <f t="shared" si="100"/>
        <v>0.00489253198394145</v>
      </c>
      <c r="H861" s="852">
        <f t="shared" si="101"/>
        <v>0.00403471358170255</v>
      </c>
      <c r="I861" s="836">
        <f t="shared" si="102"/>
        <v>0.01</v>
      </c>
    </row>
    <row r="862" spans="2:9">
      <c r="B862" s="835"/>
      <c r="C862" s="697" t="s">
        <v>2894</v>
      </c>
      <c r="D862" s="697">
        <v>815</v>
      </c>
      <c r="E862" s="697">
        <v>122241.85</v>
      </c>
      <c r="F862" s="697">
        <v>1</v>
      </c>
      <c r="G862" s="852">
        <f t="shared" si="100"/>
        <v>0.00267971341862384</v>
      </c>
      <c r="H862" s="852">
        <f t="shared" si="101"/>
        <v>0.00368328626478441</v>
      </c>
      <c r="I862" s="836">
        <f t="shared" si="102"/>
        <v>0.01</v>
      </c>
    </row>
    <row r="863" spans="2:9">
      <c r="B863" s="835"/>
      <c r="C863" s="697" t="s">
        <v>2827</v>
      </c>
      <c r="D863" s="697">
        <v>365</v>
      </c>
      <c r="E863" s="697">
        <v>54746.35</v>
      </c>
      <c r="F863" s="697">
        <v>1</v>
      </c>
      <c r="G863" s="852">
        <f t="shared" si="100"/>
        <v>0.00120011705251252</v>
      </c>
      <c r="H863" s="852">
        <f t="shared" si="101"/>
        <v>0.00164956992226541</v>
      </c>
      <c r="I863" s="836">
        <f t="shared" si="102"/>
        <v>0.01</v>
      </c>
    </row>
    <row r="864" spans="2:9">
      <c r="B864" s="835" t="s">
        <v>2864</v>
      </c>
      <c r="D864" s="697">
        <v>11434</v>
      </c>
      <c r="E864" s="697">
        <v>451119.21</v>
      </c>
      <c r="F864" s="697">
        <v>5</v>
      </c>
      <c r="G864" s="852">
        <f t="shared" si="100"/>
        <v>0.0375948996669264</v>
      </c>
      <c r="H864" s="852">
        <f t="shared" si="101"/>
        <v>0.0135927359572307</v>
      </c>
      <c r="I864" s="836">
        <f t="shared" si="102"/>
        <v>0.05</v>
      </c>
    </row>
    <row r="865" spans="2:9">
      <c r="B865" s="835"/>
      <c r="C865" s="697" t="s">
        <v>2861</v>
      </c>
      <c r="D865" s="697">
        <v>9860</v>
      </c>
      <c r="E865" s="697">
        <v>388710.11</v>
      </c>
      <c r="F865" s="697">
        <v>4</v>
      </c>
      <c r="G865" s="852">
        <f t="shared" si="100"/>
        <v>0.0324196003774615</v>
      </c>
      <c r="H865" s="852">
        <f t="shared" si="101"/>
        <v>0.0117122786439001</v>
      </c>
      <c r="I865" s="836">
        <f t="shared" si="102"/>
        <v>0.04</v>
      </c>
    </row>
    <row r="866" spans="2:9">
      <c r="B866" s="835"/>
      <c r="C866" s="697" t="s">
        <v>2843</v>
      </c>
      <c r="D866" s="697">
        <v>1574</v>
      </c>
      <c r="E866" s="697">
        <v>62409.1</v>
      </c>
      <c r="F866" s="697">
        <v>1</v>
      </c>
      <c r="G866" s="852">
        <f t="shared" si="100"/>
        <v>0.00517529928946495</v>
      </c>
      <c r="H866" s="852">
        <f t="shared" si="101"/>
        <v>0.00188045731333056</v>
      </c>
      <c r="I866" s="836">
        <f t="shared" si="102"/>
        <v>0.01</v>
      </c>
    </row>
    <row r="867" spans="2:9">
      <c r="B867" s="835" t="s">
        <v>2906</v>
      </c>
      <c r="D867" s="697">
        <v>11125</v>
      </c>
      <c r="E867" s="697">
        <v>1296486.805</v>
      </c>
      <c r="F867" s="697">
        <v>8</v>
      </c>
      <c r="G867" s="852">
        <f t="shared" si="100"/>
        <v>0.0365789101621966</v>
      </c>
      <c r="H867" s="852">
        <f t="shared" si="101"/>
        <v>0.0390646250963212</v>
      </c>
      <c r="I867" s="836">
        <f t="shared" si="102"/>
        <v>0.08</v>
      </c>
    </row>
    <row r="868" spans="2:9">
      <c r="B868" s="835"/>
      <c r="C868" s="697" t="s">
        <v>2905</v>
      </c>
      <c r="D868" s="697">
        <v>3245</v>
      </c>
      <c r="E868" s="697">
        <v>389367.53</v>
      </c>
      <c r="F868" s="697">
        <v>1</v>
      </c>
      <c r="G868" s="852">
        <f t="shared" si="100"/>
        <v>0.010669533795625</v>
      </c>
      <c r="H868" s="852">
        <f t="shared" si="101"/>
        <v>0.0117320874577899</v>
      </c>
      <c r="I868" s="836">
        <f t="shared" si="102"/>
        <v>0.01</v>
      </c>
    </row>
    <row r="869" spans="2:9">
      <c r="B869" s="835"/>
      <c r="C869" s="697" t="s">
        <v>2878</v>
      </c>
      <c r="D869" s="697">
        <v>2545</v>
      </c>
      <c r="E869" s="697">
        <v>270014.445</v>
      </c>
      <c r="F869" s="697">
        <v>2</v>
      </c>
      <c r="G869" s="852">
        <f t="shared" si="100"/>
        <v>0.00836793944834071</v>
      </c>
      <c r="H869" s="852">
        <f t="shared" si="101"/>
        <v>0.00813584297490497</v>
      </c>
      <c r="I869" s="836">
        <f t="shared" si="102"/>
        <v>0.02</v>
      </c>
    </row>
    <row r="870" spans="2:9">
      <c r="B870" s="835"/>
      <c r="C870" s="697" t="s">
        <v>2837</v>
      </c>
      <c r="D870" s="697">
        <v>1997</v>
      </c>
      <c r="E870" s="697">
        <v>239319.12</v>
      </c>
      <c r="F870" s="697">
        <v>2</v>
      </c>
      <c r="G870" s="852">
        <f t="shared" si="100"/>
        <v>0.00656611987360959</v>
      </c>
      <c r="H870" s="852">
        <f t="shared" si="101"/>
        <v>0.00721095784787528</v>
      </c>
      <c r="I870" s="836">
        <f t="shared" si="102"/>
        <v>0.02</v>
      </c>
    </row>
    <row r="871" spans="2:9">
      <c r="B871" s="835"/>
      <c r="C871" s="697" t="s">
        <v>2947</v>
      </c>
      <c r="D871" s="697">
        <v>1757</v>
      </c>
      <c r="E871" s="697">
        <v>208081.52</v>
      </c>
      <c r="F871" s="697">
        <v>1</v>
      </c>
      <c r="G871" s="852">
        <f t="shared" si="100"/>
        <v>0.00577700181168355</v>
      </c>
      <c r="H871" s="852">
        <f t="shared" si="101"/>
        <v>0.0062697333570415</v>
      </c>
      <c r="I871" s="836">
        <f t="shared" si="102"/>
        <v>0.01</v>
      </c>
    </row>
    <row r="872" spans="2:9">
      <c r="B872" s="835"/>
      <c r="C872" s="697" t="s">
        <v>2920</v>
      </c>
      <c r="D872" s="697">
        <v>981</v>
      </c>
      <c r="E872" s="697">
        <v>117710.19</v>
      </c>
      <c r="F872" s="697">
        <v>1</v>
      </c>
      <c r="G872" s="852">
        <f t="shared" si="100"/>
        <v>0.00322552007812269</v>
      </c>
      <c r="H872" s="852">
        <f t="shared" si="101"/>
        <v>0.00354674218405696</v>
      </c>
      <c r="I872" s="836">
        <f t="shared" si="102"/>
        <v>0.01</v>
      </c>
    </row>
    <row r="873" spans="2:9">
      <c r="B873" s="835"/>
      <c r="C873" s="697" t="s">
        <v>2894</v>
      </c>
      <c r="D873" s="697">
        <v>600</v>
      </c>
      <c r="E873" s="697">
        <v>71994</v>
      </c>
      <c r="F873" s="697">
        <v>1</v>
      </c>
      <c r="G873" s="852">
        <f t="shared" ref="G873:G878" si="103">D873/$C$150</f>
        <v>0.0019727951548151</v>
      </c>
      <c r="H873" s="852">
        <f t="shared" ref="H873:H878" si="104">E873/$D$150</f>
        <v>0.00216926127465258</v>
      </c>
      <c r="I873" s="836">
        <f t="shared" ref="I873:I878" si="105">F873/$E$150</f>
        <v>0.01</v>
      </c>
    </row>
    <row r="874" spans="2:9">
      <c r="B874" s="835" t="s">
        <v>2890</v>
      </c>
      <c r="D874" s="697">
        <v>10248</v>
      </c>
      <c r="E874" s="697">
        <v>1638632.6</v>
      </c>
      <c r="F874" s="697">
        <v>3</v>
      </c>
      <c r="G874" s="852">
        <f t="shared" si="103"/>
        <v>0.0336953412442419</v>
      </c>
      <c r="H874" s="852">
        <f t="shared" si="104"/>
        <v>0.0493738678579224</v>
      </c>
      <c r="I874" s="836">
        <f t="shared" si="105"/>
        <v>0.03</v>
      </c>
    </row>
    <row r="875" spans="2:9">
      <c r="B875" s="835"/>
      <c r="C875" s="697" t="s">
        <v>2843</v>
      </c>
      <c r="D875" s="697">
        <v>5320</v>
      </c>
      <c r="E875" s="697">
        <v>850934</v>
      </c>
      <c r="F875" s="697">
        <v>1</v>
      </c>
      <c r="G875" s="852">
        <f t="shared" si="103"/>
        <v>0.0174921170393606</v>
      </c>
      <c r="H875" s="852">
        <f t="shared" si="104"/>
        <v>0.0256396112660113</v>
      </c>
      <c r="I875" s="836">
        <f t="shared" si="105"/>
        <v>0.01</v>
      </c>
    </row>
    <row r="876" spans="2:9">
      <c r="B876" s="835"/>
      <c r="C876" s="697" t="s">
        <v>2849</v>
      </c>
      <c r="D876" s="697">
        <v>4224</v>
      </c>
      <c r="E876" s="697">
        <v>675797.8</v>
      </c>
      <c r="F876" s="697">
        <v>1</v>
      </c>
      <c r="G876" s="852">
        <f t="shared" si="103"/>
        <v>0.0138884778898983</v>
      </c>
      <c r="H876" s="852">
        <f t="shared" si="104"/>
        <v>0.0203625579497654</v>
      </c>
      <c r="I876" s="836">
        <f t="shared" si="105"/>
        <v>0.01</v>
      </c>
    </row>
    <row r="877" spans="2:9">
      <c r="B877" s="835"/>
      <c r="C877" s="697" t="s">
        <v>2878</v>
      </c>
      <c r="D877" s="697">
        <v>704</v>
      </c>
      <c r="E877" s="697">
        <v>111900.8</v>
      </c>
      <c r="F877" s="697">
        <v>1</v>
      </c>
      <c r="G877" s="852">
        <f t="shared" si="103"/>
        <v>0.00231474631498305</v>
      </c>
      <c r="H877" s="852">
        <f t="shared" si="104"/>
        <v>0.00337169864214578</v>
      </c>
      <c r="I877" s="836">
        <f t="shared" si="105"/>
        <v>0.01</v>
      </c>
    </row>
    <row r="878" spans="2:9">
      <c r="B878" s="835" t="s">
        <v>2866</v>
      </c>
      <c r="D878" s="697">
        <v>10072</v>
      </c>
      <c r="E878" s="697">
        <v>596203.979</v>
      </c>
      <c r="F878" s="697">
        <v>4</v>
      </c>
      <c r="G878" s="852">
        <f t="shared" si="103"/>
        <v>0.0331166546654961</v>
      </c>
      <c r="H878" s="852">
        <f t="shared" si="104"/>
        <v>0.0179643054065405</v>
      </c>
      <c r="I878" s="836">
        <f t="shared" si="105"/>
        <v>0.04</v>
      </c>
    </row>
    <row r="879" spans="2:9">
      <c r="B879" s="835"/>
      <c r="C879" s="697" t="s">
        <v>2849</v>
      </c>
      <c r="D879" s="697">
        <v>8734</v>
      </c>
      <c r="E879" s="697">
        <v>521681.8</v>
      </c>
      <c r="F879" s="697">
        <v>1</v>
      </c>
      <c r="G879" s="852">
        <f t="shared" ref="G879:G908" si="106">D879/$C$150</f>
        <v>0.0287173214702585</v>
      </c>
      <c r="H879" s="852">
        <f t="shared" ref="H879:H908" si="107">E879/$D$150</f>
        <v>0.0157188672171438</v>
      </c>
      <c r="I879" s="836">
        <f t="shared" ref="I879:I908" si="108">F879/$E$150</f>
        <v>0.01</v>
      </c>
    </row>
    <row r="880" spans="2:9">
      <c r="B880" s="835"/>
      <c r="C880" s="697" t="s">
        <v>2861</v>
      </c>
      <c r="D880" s="697">
        <v>716</v>
      </c>
      <c r="E880" s="697">
        <v>41052.359</v>
      </c>
      <c r="F880" s="697">
        <v>2</v>
      </c>
      <c r="G880" s="852">
        <f t="shared" si="106"/>
        <v>0.00235420221807935</v>
      </c>
      <c r="H880" s="852">
        <f t="shared" si="107"/>
        <v>0.00123695436580597</v>
      </c>
      <c r="I880" s="836">
        <f t="shared" si="108"/>
        <v>0.02</v>
      </c>
    </row>
    <row r="881" spans="2:9">
      <c r="B881" s="835"/>
      <c r="C881" s="697" t="s">
        <v>2878</v>
      </c>
      <c r="D881" s="697">
        <v>622</v>
      </c>
      <c r="E881" s="697">
        <v>33469.82</v>
      </c>
      <c r="F881" s="697">
        <v>1</v>
      </c>
      <c r="G881" s="852">
        <f t="shared" si="106"/>
        <v>0.00204513097715832</v>
      </c>
      <c r="H881" s="852">
        <f t="shared" si="107"/>
        <v>0.00100848382359075</v>
      </c>
      <c r="I881" s="836">
        <f t="shared" si="108"/>
        <v>0.01</v>
      </c>
    </row>
    <row r="882" spans="2:9">
      <c r="B882" s="835" t="s">
        <v>2871</v>
      </c>
      <c r="D882" s="697">
        <v>7304</v>
      </c>
      <c r="E882" s="697">
        <v>1460474.16</v>
      </c>
      <c r="F882" s="697">
        <v>2</v>
      </c>
      <c r="G882" s="852">
        <f t="shared" si="106"/>
        <v>0.0240154930179491</v>
      </c>
      <c r="H882" s="852">
        <f t="shared" si="107"/>
        <v>0.0440057510058998</v>
      </c>
      <c r="I882" s="836">
        <f t="shared" si="108"/>
        <v>0.02</v>
      </c>
    </row>
    <row r="883" spans="2:9">
      <c r="B883" s="835"/>
      <c r="C883" s="697" t="s">
        <v>2843</v>
      </c>
      <c r="D883" s="697">
        <v>6319</v>
      </c>
      <c r="E883" s="697">
        <v>1263484</v>
      </c>
      <c r="F883" s="697">
        <v>1</v>
      </c>
      <c r="G883" s="852">
        <f t="shared" si="106"/>
        <v>0.0207768209721277</v>
      </c>
      <c r="H883" s="852">
        <f t="shared" si="107"/>
        <v>0.0380702129669575</v>
      </c>
      <c r="I883" s="836">
        <f t="shared" si="108"/>
        <v>0.01</v>
      </c>
    </row>
    <row r="884" spans="2:9">
      <c r="B884" s="835"/>
      <c r="C884" s="697" t="s">
        <v>2938</v>
      </c>
      <c r="D884" s="697">
        <v>985</v>
      </c>
      <c r="E884" s="697">
        <v>196990.16</v>
      </c>
      <c r="F884" s="697">
        <v>1</v>
      </c>
      <c r="G884" s="852">
        <f t="shared" si="106"/>
        <v>0.00323867204582146</v>
      </c>
      <c r="H884" s="852">
        <f t="shared" si="107"/>
        <v>0.00593553803894234</v>
      </c>
      <c r="I884" s="836">
        <f t="shared" si="108"/>
        <v>0.01</v>
      </c>
    </row>
    <row r="885" spans="2:9">
      <c r="B885" s="835" t="s">
        <v>2939</v>
      </c>
      <c r="D885" s="697">
        <v>6845</v>
      </c>
      <c r="E885" s="697">
        <v>523813.385</v>
      </c>
      <c r="F885" s="697">
        <v>7</v>
      </c>
      <c r="G885" s="852">
        <f t="shared" si="106"/>
        <v>0.0225063047245156</v>
      </c>
      <c r="H885" s="852">
        <f t="shared" si="107"/>
        <v>0.0157830943026527</v>
      </c>
      <c r="I885" s="836">
        <f t="shared" si="108"/>
        <v>0.07</v>
      </c>
    </row>
    <row r="886" spans="2:9">
      <c r="B886" s="835"/>
      <c r="C886" s="697" t="s">
        <v>2894</v>
      </c>
      <c r="D886" s="697">
        <v>2360</v>
      </c>
      <c r="E886" s="697">
        <v>194666.4</v>
      </c>
      <c r="F886" s="697">
        <v>3</v>
      </c>
      <c r="G886" s="852">
        <f t="shared" si="106"/>
        <v>0.00775966094227273</v>
      </c>
      <c r="H886" s="852">
        <f t="shared" si="107"/>
        <v>0.00586552050165331</v>
      </c>
      <c r="I886" s="836">
        <f t="shared" si="108"/>
        <v>0.03</v>
      </c>
    </row>
    <row r="887" spans="2:9">
      <c r="B887" s="835"/>
      <c r="C887" s="697" t="s">
        <v>2849</v>
      </c>
      <c r="D887" s="697">
        <v>1583</v>
      </c>
      <c r="E887" s="697">
        <v>126624.164</v>
      </c>
      <c r="F887" s="697">
        <v>1</v>
      </c>
      <c r="G887" s="852">
        <f t="shared" si="106"/>
        <v>0.00520489121678717</v>
      </c>
      <c r="H887" s="852">
        <f t="shared" si="107"/>
        <v>0.00381533038031582</v>
      </c>
      <c r="I887" s="836">
        <f t="shared" si="108"/>
        <v>0.01</v>
      </c>
    </row>
    <row r="888" spans="2:9">
      <c r="B888" s="835"/>
      <c r="C888" s="697" t="s">
        <v>2938</v>
      </c>
      <c r="D888" s="697">
        <v>1341</v>
      </c>
      <c r="E888" s="697">
        <v>107266.586</v>
      </c>
      <c r="F888" s="697">
        <v>1</v>
      </c>
      <c r="G888" s="852">
        <f t="shared" si="106"/>
        <v>0.00440919717101175</v>
      </c>
      <c r="H888" s="852">
        <f t="shared" si="107"/>
        <v>0.00323206449251313</v>
      </c>
      <c r="I888" s="836">
        <f t="shared" si="108"/>
        <v>0.01</v>
      </c>
    </row>
    <row r="889" spans="2:9">
      <c r="B889" s="835"/>
      <c r="C889" s="697" t="s">
        <v>2878</v>
      </c>
      <c r="D889" s="697">
        <v>1109</v>
      </c>
      <c r="E889" s="697">
        <v>70920.555</v>
      </c>
      <c r="F889" s="697">
        <v>1</v>
      </c>
      <c r="G889" s="852">
        <f t="shared" si="106"/>
        <v>0.00364638304448324</v>
      </c>
      <c r="H889" s="852">
        <f t="shared" si="107"/>
        <v>0.00213691715335123</v>
      </c>
      <c r="I889" s="836">
        <f t="shared" si="108"/>
        <v>0.01</v>
      </c>
    </row>
    <row r="890" spans="2:9">
      <c r="B890" s="835"/>
      <c r="C890" s="697" t="s">
        <v>2861</v>
      </c>
      <c r="D890" s="697">
        <v>452</v>
      </c>
      <c r="E890" s="697">
        <v>24335.68</v>
      </c>
      <c r="F890" s="697">
        <v>1</v>
      </c>
      <c r="G890" s="852">
        <f t="shared" si="106"/>
        <v>0.00148617234996071</v>
      </c>
      <c r="H890" s="852">
        <f t="shared" si="107"/>
        <v>0.000733261774819252</v>
      </c>
      <c r="I890" s="836">
        <f t="shared" si="108"/>
        <v>0.01</v>
      </c>
    </row>
    <row r="891" spans="2:9">
      <c r="B891" s="835" t="s">
        <v>2913</v>
      </c>
      <c r="D891" s="697">
        <v>3891</v>
      </c>
      <c r="E891" s="697">
        <v>597582.11</v>
      </c>
      <c r="F891" s="697">
        <v>3</v>
      </c>
      <c r="G891" s="852">
        <f t="shared" si="106"/>
        <v>0.0127935765789759</v>
      </c>
      <c r="H891" s="852">
        <f t="shared" si="107"/>
        <v>0.0180058300642856</v>
      </c>
      <c r="I891" s="836">
        <f t="shared" si="108"/>
        <v>0.03</v>
      </c>
    </row>
    <row r="892" spans="2:9">
      <c r="B892" s="835"/>
      <c r="C892" s="697" t="s">
        <v>2849</v>
      </c>
      <c r="D892" s="697">
        <v>2205</v>
      </c>
      <c r="E892" s="697">
        <v>352777.97</v>
      </c>
      <c r="F892" s="697">
        <v>1</v>
      </c>
      <c r="G892" s="852">
        <f t="shared" si="106"/>
        <v>0.00725002219394549</v>
      </c>
      <c r="H892" s="852">
        <f t="shared" si="107"/>
        <v>0.0106296023122975</v>
      </c>
      <c r="I892" s="836">
        <f t="shared" si="108"/>
        <v>0.01</v>
      </c>
    </row>
    <row r="893" spans="2:9">
      <c r="B893" s="835"/>
      <c r="C893" s="697" t="s">
        <v>2894</v>
      </c>
      <c r="D893" s="697">
        <v>872</v>
      </c>
      <c r="E893" s="697">
        <v>113351.28</v>
      </c>
      <c r="F893" s="697">
        <v>1</v>
      </c>
      <c r="G893" s="852">
        <f t="shared" si="106"/>
        <v>0.00286712895833128</v>
      </c>
      <c r="H893" s="852">
        <f t="shared" si="107"/>
        <v>0.0034154032577201</v>
      </c>
      <c r="I893" s="836">
        <f t="shared" si="108"/>
        <v>0.01</v>
      </c>
    </row>
    <row r="894" spans="2:9">
      <c r="B894" s="835"/>
      <c r="C894" s="697" t="s">
        <v>2938</v>
      </c>
      <c r="D894" s="697">
        <v>814</v>
      </c>
      <c r="E894" s="697">
        <v>131452.86</v>
      </c>
      <c r="F894" s="697">
        <v>1</v>
      </c>
      <c r="G894" s="852">
        <f t="shared" si="106"/>
        <v>0.00267642542669915</v>
      </c>
      <c r="H894" s="852">
        <f t="shared" si="107"/>
        <v>0.00396082449426795</v>
      </c>
      <c r="I894" s="836">
        <f t="shared" si="108"/>
        <v>0.01</v>
      </c>
    </row>
    <row r="895" spans="2:9">
      <c r="B895" s="835" t="s">
        <v>3006</v>
      </c>
      <c r="D895" s="697">
        <v>3836</v>
      </c>
      <c r="E895" s="697">
        <v>22478.96</v>
      </c>
      <c r="F895" s="697">
        <v>1</v>
      </c>
      <c r="G895" s="852">
        <f t="shared" si="106"/>
        <v>0.0126127370231179</v>
      </c>
      <c r="H895" s="852">
        <f t="shared" si="107"/>
        <v>0.000677316685035757</v>
      </c>
      <c r="I895" s="836">
        <f t="shared" si="108"/>
        <v>0.01</v>
      </c>
    </row>
    <row r="896" spans="2:9">
      <c r="B896" s="835"/>
      <c r="C896" s="697" t="s">
        <v>2861</v>
      </c>
      <c r="D896" s="697">
        <v>3836</v>
      </c>
      <c r="E896" s="697">
        <v>22478.96</v>
      </c>
      <c r="F896" s="697">
        <v>1</v>
      </c>
      <c r="G896" s="852">
        <f t="shared" si="106"/>
        <v>0.0126127370231179</v>
      </c>
      <c r="H896" s="852">
        <f t="shared" si="107"/>
        <v>0.000677316685035757</v>
      </c>
      <c r="I896" s="836">
        <f t="shared" si="108"/>
        <v>0.01</v>
      </c>
    </row>
    <row r="897" spans="1:9">
      <c r="B897" s="835" t="s">
        <v>2924</v>
      </c>
      <c r="D897" s="870">
        <v>3212</v>
      </c>
      <c r="E897" s="870">
        <v>577089.728</v>
      </c>
      <c r="F897" s="870">
        <v>3</v>
      </c>
      <c r="G897" s="852">
        <f t="shared" si="106"/>
        <v>0.0105610300621102</v>
      </c>
      <c r="H897" s="852">
        <f t="shared" si="107"/>
        <v>0.0173883712385781</v>
      </c>
      <c r="I897" s="836">
        <f t="shared" si="108"/>
        <v>0.03</v>
      </c>
    </row>
    <row r="898" spans="1:9">
      <c r="B898" s="835"/>
      <c r="C898" s="697" t="s">
        <v>2947</v>
      </c>
      <c r="D898" s="697">
        <v>1815</v>
      </c>
      <c r="E898" s="697">
        <v>326681.88</v>
      </c>
      <c r="F898" s="697">
        <v>1</v>
      </c>
      <c r="G898" s="852">
        <f t="shared" si="106"/>
        <v>0.00596770534331568</v>
      </c>
      <c r="H898" s="852">
        <f t="shared" si="107"/>
        <v>0.00984329737776343</v>
      </c>
      <c r="I898" s="836">
        <f t="shared" si="108"/>
        <v>0.01</v>
      </c>
    </row>
    <row r="899" spans="1:9">
      <c r="B899" s="835"/>
      <c r="C899" s="697" t="s">
        <v>2894</v>
      </c>
      <c r="D899" s="697">
        <v>1034</v>
      </c>
      <c r="E899" s="697">
        <v>185086</v>
      </c>
      <c r="F899" s="697">
        <v>1</v>
      </c>
      <c r="G899" s="852">
        <f t="shared" si="106"/>
        <v>0.00339978365013136</v>
      </c>
      <c r="H899" s="852">
        <f t="shared" si="107"/>
        <v>0.00557685213046013</v>
      </c>
      <c r="I899" s="836">
        <f t="shared" si="108"/>
        <v>0.01</v>
      </c>
    </row>
    <row r="900" spans="1:9">
      <c r="B900" s="835"/>
      <c r="C900" s="697" t="s">
        <v>2878</v>
      </c>
      <c r="D900" s="697">
        <v>363</v>
      </c>
      <c r="E900" s="697">
        <v>65321.848</v>
      </c>
      <c r="F900" s="697">
        <v>1</v>
      </c>
      <c r="G900" s="852">
        <f t="shared" si="106"/>
        <v>0.00119354106866314</v>
      </c>
      <c r="H900" s="852">
        <f t="shared" si="107"/>
        <v>0.0019682217303545</v>
      </c>
      <c r="I900" s="836">
        <f t="shared" si="108"/>
        <v>0.01</v>
      </c>
    </row>
    <row r="901" spans="1:9">
      <c r="B901" s="835" t="s">
        <v>2937</v>
      </c>
      <c r="D901" s="697">
        <v>2527</v>
      </c>
      <c r="E901" s="697">
        <v>318510.93</v>
      </c>
      <c r="F901" s="697">
        <v>3</v>
      </c>
      <c r="G901" s="852">
        <f t="shared" si="106"/>
        <v>0.00830875559369626</v>
      </c>
      <c r="H901" s="852">
        <f t="shared" si="107"/>
        <v>0.00959709734148092</v>
      </c>
      <c r="I901" s="836">
        <f t="shared" si="108"/>
        <v>0.03</v>
      </c>
    </row>
    <row r="902" spans="1:9">
      <c r="B902" s="835"/>
      <c r="C902" s="697" t="s">
        <v>2843</v>
      </c>
      <c r="D902" s="697">
        <v>1381</v>
      </c>
      <c r="E902" s="697">
        <v>170097.77</v>
      </c>
      <c r="F902" s="697">
        <v>1</v>
      </c>
      <c r="G902" s="852">
        <f t="shared" si="106"/>
        <v>0.00454071684799942</v>
      </c>
      <c r="H902" s="852">
        <f t="shared" si="107"/>
        <v>0.00512523967783094</v>
      </c>
      <c r="I902" s="836">
        <f t="shared" si="108"/>
        <v>0.01</v>
      </c>
    </row>
    <row r="903" spans="1:9">
      <c r="B903" s="835"/>
      <c r="C903" s="697" t="s">
        <v>2837</v>
      </c>
      <c r="D903" s="697">
        <v>585</v>
      </c>
      <c r="E903" s="697">
        <v>76044.16</v>
      </c>
      <c r="F903" s="697">
        <v>1</v>
      </c>
      <c r="G903" s="852">
        <f t="shared" si="106"/>
        <v>0.00192347527594472</v>
      </c>
      <c r="H903" s="852">
        <f t="shared" si="107"/>
        <v>0.00229129721159381</v>
      </c>
      <c r="I903" s="836">
        <f t="shared" si="108"/>
        <v>0.01</v>
      </c>
    </row>
    <row r="904" spans="1:9">
      <c r="B904" s="835"/>
      <c r="C904" s="697" t="s">
        <v>2878</v>
      </c>
      <c r="D904" s="697">
        <v>561</v>
      </c>
      <c r="E904" s="697">
        <v>72369</v>
      </c>
      <c r="F904" s="697">
        <v>1</v>
      </c>
      <c r="G904" s="852">
        <f t="shared" si="106"/>
        <v>0.00184456346975212</v>
      </c>
      <c r="H904" s="852">
        <f t="shared" si="107"/>
        <v>0.00218056045205618</v>
      </c>
      <c r="I904" s="836">
        <f t="shared" si="108"/>
        <v>0.01</v>
      </c>
    </row>
    <row r="905" spans="1:9">
      <c r="B905" s="835" t="s">
        <v>2984</v>
      </c>
      <c r="D905" s="697">
        <v>1174</v>
      </c>
      <c r="E905" s="697">
        <v>162318.27</v>
      </c>
      <c r="F905" s="697">
        <v>2</v>
      </c>
      <c r="G905" s="852">
        <f t="shared" si="106"/>
        <v>0.00386010251958821</v>
      </c>
      <c r="H905" s="852">
        <f t="shared" si="107"/>
        <v>0.00489083447620081</v>
      </c>
      <c r="I905" s="836">
        <f t="shared" si="108"/>
        <v>0.02</v>
      </c>
    </row>
    <row r="906" spans="1:9">
      <c r="B906" s="835"/>
      <c r="C906" s="697" t="s">
        <v>2878</v>
      </c>
      <c r="D906" s="697">
        <v>768</v>
      </c>
      <c r="E906" s="697">
        <v>107512.33</v>
      </c>
      <c r="F906" s="697">
        <v>1</v>
      </c>
      <c r="G906" s="852">
        <f t="shared" si="106"/>
        <v>0.00252517779816333</v>
      </c>
      <c r="H906" s="852">
        <f t="shared" si="107"/>
        <v>0.00323946903931812</v>
      </c>
      <c r="I906" s="836">
        <f t="shared" si="108"/>
        <v>0.01</v>
      </c>
    </row>
    <row r="907" spans="1:9">
      <c r="B907" s="835"/>
      <c r="C907" s="697" t="s">
        <v>2920</v>
      </c>
      <c r="D907" s="697">
        <v>406</v>
      </c>
      <c r="E907" s="697">
        <v>54805.94</v>
      </c>
      <c r="F907" s="697">
        <v>1</v>
      </c>
      <c r="G907" s="852">
        <f t="shared" si="106"/>
        <v>0.00133492472142488</v>
      </c>
      <c r="H907" s="852">
        <f t="shared" si="107"/>
        <v>0.00165136543688269</v>
      </c>
      <c r="I907" s="836">
        <f t="shared" si="108"/>
        <v>0.01</v>
      </c>
    </row>
    <row r="908" ht="17.25" spans="1:9">
      <c r="B908" s="871" t="s">
        <v>3102</v>
      </c>
      <c r="C908" s="799"/>
      <c r="D908" s="799">
        <v>304137</v>
      </c>
      <c r="E908" s="799">
        <v>33188256.685</v>
      </c>
      <c r="F908" s="799">
        <v>100</v>
      </c>
      <c r="G908" s="795">
        <f t="shared" si="106"/>
        <v>1</v>
      </c>
      <c r="H908" s="795">
        <f t="shared" si="107"/>
        <v>1</v>
      </c>
      <c r="I908" s="872">
        <f t="shared" si="108"/>
        <v>1</v>
      </c>
    </row>
    <row r="910" ht="17.25" spans="1:9">
      <c r="A910" s="829" t="s">
        <v>3150</v>
      </c>
      <c r="B910" s="830" t="s">
        <v>2805</v>
      </c>
      <c r="C910" s="831" t="s">
        <v>2798</v>
      </c>
      <c r="D910" s="831" t="s">
        <v>3098</v>
      </c>
      <c r="E910" s="831" t="s">
        <v>3099</v>
      </c>
      <c r="F910" s="831" t="s">
        <v>3100</v>
      </c>
      <c r="G910" s="833" t="s">
        <v>3022</v>
      </c>
      <c r="H910" s="833" t="s">
        <v>3023</v>
      </c>
      <c r="I910" s="834" t="s">
        <v>3101</v>
      </c>
    </row>
    <row r="911" spans="1:9">
      <c r="B911" s="835" t="s">
        <v>2820</v>
      </c>
      <c r="D911" s="697">
        <v>62949</v>
      </c>
      <c r="E911" s="697">
        <v>5650633.572</v>
      </c>
      <c r="F911" s="697">
        <v>9</v>
      </c>
      <c r="G911" s="852">
        <f t="shared" ref="G911:G974" si="109">D911/$C$150</f>
        <v>0.206975803667426</v>
      </c>
      <c r="H911" s="852">
        <f t="shared" ref="H911:H974" si="110">E911/$D$150</f>
        <v>0.17026002979403</v>
      </c>
      <c r="I911" s="836">
        <f t="shared" ref="I911:I974" si="111">F911/$E$150</f>
        <v>0.09</v>
      </c>
    </row>
    <row r="912" spans="1:9">
      <c r="B912" s="835"/>
      <c r="C912" s="697" t="s">
        <v>2814</v>
      </c>
      <c r="D912" s="697">
        <v>32578</v>
      </c>
      <c r="E912" s="697">
        <v>2930413.25</v>
      </c>
      <c r="F912" s="697">
        <v>2</v>
      </c>
      <c r="G912" s="852">
        <f t="shared" si="109"/>
        <v>0.107116200922611</v>
      </c>
      <c r="H912" s="852">
        <f t="shared" si="110"/>
        <v>0.0882966911402867</v>
      </c>
      <c r="I912" s="836">
        <f t="shared" si="111"/>
        <v>0.02</v>
      </c>
    </row>
    <row r="913" spans="2:9">
      <c r="B913" s="835"/>
      <c r="C913" s="697" t="s">
        <v>2853</v>
      </c>
      <c r="D913" s="697">
        <v>22690</v>
      </c>
      <c r="E913" s="697">
        <v>2037744.86</v>
      </c>
      <c r="F913" s="697">
        <v>2</v>
      </c>
      <c r="G913" s="852">
        <f t="shared" si="109"/>
        <v>0.0746045367712577</v>
      </c>
      <c r="H913" s="852">
        <f t="shared" si="110"/>
        <v>0.0613995751370994</v>
      </c>
      <c r="I913" s="836">
        <f t="shared" si="111"/>
        <v>0.02</v>
      </c>
    </row>
    <row r="914" spans="2:9">
      <c r="B914" s="835"/>
      <c r="C914" s="697" t="s">
        <v>2874</v>
      </c>
      <c r="D914" s="697">
        <v>5870</v>
      </c>
      <c r="E914" s="697">
        <v>517322.482</v>
      </c>
      <c r="F914" s="697">
        <v>2</v>
      </c>
      <c r="G914" s="852">
        <f t="shared" si="109"/>
        <v>0.0193005125979411</v>
      </c>
      <c r="H914" s="852">
        <f t="shared" si="110"/>
        <v>0.0155875159973019</v>
      </c>
      <c r="I914" s="836">
        <f t="shared" si="111"/>
        <v>0.02</v>
      </c>
    </row>
    <row r="915" spans="2:9">
      <c r="B915" s="835"/>
      <c r="C915" s="697" t="s">
        <v>2844</v>
      </c>
      <c r="D915" s="697">
        <v>1811</v>
      </c>
      <c r="E915" s="697">
        <v>165152.98</v>
      </c>
      <c r="F915" s="697">
        <v>3</v>
      </c>
      <c r="G915" s="852">
        <f t="shared" si="109"/>
        <v>0.00595455337561691</v>
      </c>
      <c r="H915" s="852">
        <f t="shared" si="110"/>
        <v>0.00497624751934149</v>
      </c>
      <c r="I915" s="836">
        <f t="shared" si="111"/>
        <v>0.03</v>
      </c>
    </row>
    <row r="916" spans="2:9">
      <c r="B916" s="835" t="s">
        <v>2840</v>
      </c>
      <c r="D916" s="697">
        <v>47906</v>
      </c>
      <c r="E916" s="697">
        <v>5244223.682</v>
      </c>
      <c r="F916" s="697">
        <v>9</v>
      </c>
      <c r="G916" s="852">
        <f t="shared" si="109"/>
        <v>0.157514541144287</v>
      </c>
      <c r="H916" s="852">
        <f t="shared" si="110"/>
        <v>0.15801443660553</v>
      </c>
      <c r="I916" s="836">
        <f t="shared" si="111"/>
        <v>0.09</v>
      </c>
    </row>
    <row r="917" spans="2:9">
      <c r="B917" s="835"/>
      <c r="C917" s="697" t="s">
        <v>2844</v>
      </c>
      <c r="D917" s="697">
        <v>30192</v>
      </c>
      <c r="E917" s="697">
        <v>3320027.8</v>
      </c>
      <c r="F917" s="697">
        <v>2</v>
      </c>
      <c r="G917" s="852">
        <f t="shared" si="109"/>
        <v>0.0992710521902958</v>
      </c>
      <c r="H917" s="852">
        <f t="shared" si="110"/>
        <v>0.100036221592216</v>
      </c>
      <c r="I917" s="836">
        <f t="shared" si="111"/>
        <v>0.02</v>
      </c>
    </row>
    <row r="918" spans="2:9">
      <c r="B918" s="835"/>
      <c r="C918" s="697" t="s">
        <v>2838</v>
      </c>
      <c r="D918" s="697">
        <v>11952</v>
      </c>
      <c r="E918" s="697">
        <v>1314122.4</v>
      </c>
      <c r="F918" s="697">
        <v>1</v>
      </c>
      <c r="G918" s="852">
        <f t="shared" si="109"/>
        <v>0.0392980794839168</v>
      </c>
      <c r="H918" s="852">
        <f t="shared" si="110"/>
        <v>0.0395960056737159</v>
      </c>
      <c r="I918" s="836">
        <f t="shared" si="111"/>
        <v>0.01</v>
      </c>
    </row>
    <row r="919" spans="2:9">
      <c r="B919" s="835"/>
      <c r="C919" s="697" t="s">
        <v>2874</v>
      </c>
      <c r="D919" s="697">
        <v>3953</v>
      </c>
      <c r="E919" s="697">
        <v>419316.56</v>
      </c>
      <c r="F919" s="697">
        <v>3</v>
      </c>
      <c r="G919" s="852">
        <f t="shared" si="109"/>
        <v>0.0129974320783068</v>
      </c>
      <c r="H919" s="852">
        <f t="shared" si="110"/>
        <v>0.0126344858658851</v>
      </c>
      <c r="I919" s="836">
        <f t="shared" si="111"/>
        <v>0.03</v>
      </c>
    </row>
    <row r="920" spans="2:9">
      <c r="B920" s="835"/>
      <c r="C920" s="697" t="s">
        <v>2828</v>
      </c>
      <c r="D920" s="697">
        <v>851</v>
      </c>
      <c r="E920" s="697">
        <v>93601.484</v>
      </c>
      <c r="F920" s="697">
        <v>1</v>
      </c>
      <c r="G920" s="852">
        <f t="shared" si="109"/>
        <v>0.00279808112791275</v>
      </c>
      <c r="H920" s="852">
        <f t="shared" si="110"/>
        <v>0.00282031939454972</v>
      </c>
      <c r="I920" s="836">
        <f t="shared" si="111"/>
        <v>0.01</v>
      </c>
    </row>
    <row r="921" spans="2:9">
      <c r="B921" s="835"/>
      <c r="C921" s="697" t="s">
        <v>2814</v>
      </c>
      <c r="D921" s="697">
        <v>540</v>
      </c>
      <c r="E921" s="697">
        <v>55614.598</v>
      </c>
      <c r="F921" s="697">
        <v>1</v>
      </c>
      <c r="G921" s="852">
        <f t="shared" si="109"/>
        <v>0.00177551563933359</v>
      </c>
      <c r="H921" s="852">
        <f t="shared" si="110"/>
        <v>0.00167573122408493</v>
      </c>
      <c r="I921" s="836">
        <f t="shared" si="111"/>
        <v>0.01</v>
      </c>
    </row>
    <row r="922" spans="2:9">
      <c r="B922" s="835"/>
      <c r="C922" s="697" t="s">
        <v>2989</v>
      </c>
      <c r="D922" s="697">
        <v>418</v>
      </c>
      <c r="E922" s="697">
        <v>41540.84</v>
      </c>
      <c r="F922" s="697">
        <v>1</v>
      </c>
      <c r="G922" s="852">
        <f t="shared" si="109"/>
        <v>0.00137438062452119</v>
      </c>
      <c r="H922" s="852">
        <f t="shared" si="110"/>
        <v>0.00125167285507874</v>
      </c>
      <c r="I922" s="836">
        <f t="shared" si="111"/>
        <v>0.01</v>
      </c>
    </row>
    <row r="923" spans="2:9">
      <c r="B923" s="835" t="s">
        <v>2830</v>
      </c>
      <c r="D923" s="697">
        <v>30081</v>
      </c>
      <c r="E923" s="697">
        <v>2536849.225</v>
      </c>
      <c r="F923" s="697">
        <v>7</v>
      </c>
      <c r="G923" s="852">
        <f t="shared" si="109"/>
        <v>0.098906085086655</v>
      </c>
      <c r="H923" s="852">
        <f t="shared" si="110"/>
        <v>0.0764381585052213</v>
      </c>
      <c r="I923" s="836">
        <f t="shared" si="111"/>
        <v>0.07</v>
      </c>
    </row>
    <row r="924" spans="2:9">
      <c r="B924" s="835"/>
      <c r="C924" s="697" t="s">
        <v>2828</v>
      </c>
      <c r="D924" s="697">
        <v>23860</v>
      </c>
      <c r="E924" s="697">
        <v>1924671.03</v>
      </c>
      <c r="F924" s="697">
        <v>2</v>
      </c>
      <c r="G924" s="852">
        <f t="shared" si="109"/>
        <v>0.0784514873231471</v>
      </c>
      <c r="H924" s="852">
        <f t="shared" si="110"/>
        <v>0.057992531764101</v>
      </c>
      <c r="I924" s="836">
        <f t="shared" si="111"/>
        <v>0.02</v>
      </c>
    </row>
    <row r="925" spans="2:9">
      <c r="B925" s="835"/>
      <c r="C925" s="697" t="s">
        <v>2844</v>
      </c>
      <c r="D925" s="697">
        <v>4105</v>
      </c>
      <c r="E925" s="697">
        <v>400599.36</v>
      </c>
      <c r="F925" s="697">
        <v>3</v>
      </c>
      <c r="G925" s="852">
        <f t="shared" si="109"/>
        <v>0.01349720685086</v>
      </c>
      <c r="H925" s="852">
        <f t="shared" si="110"/>
        <v>0.0120705152970887</v>
      </c>
      <c r="I925" s="836">
        <f t="shared" si="111"/>
        <v>0.03</v>
      </c>
    </row>
    <row r="926" spans="2:9">
      <c r="B926" s="835"/>
      <c r="C926" s="697" t="s">
        <v>2950</v>
      </c>
      <c r="D926" s="697">
        <v>1180</v>
      </c>
      <c r="E926" s="697">
        <v>117988.195</v>
      </c>
      <c r="F926" s="697">
        <v>1</v>
      </c>
      <c r="G926" s="852">
        <f t="shared" si="109"/>
        <v>0.00387983047113636</v>
      </c>
      <c r="H926" s="852">
        <f t="shared" si="110"/>
        <v>0.0035551187915612</v>
      </c>
      <c r="I926" s="836">
        <f t="shared" si="111"/>
        <v>0.01</v>
      </c>
    </row>
    <row r="927" spans="2:9">
      <c r="B927" s="835"/>
      <c r="C927" s="697" t="s">
        <v>2874</v>
      </c>
      <c r="D927" s="697">
        <v>936</v>
      </c>
      <c r="E927" s="697">
        <v>93590.64</v>
      </c>
      <c r="F927" s="697">
        <v>1</v>
      </c>
      <c r="G927" s="852">
        <f t="shared" si="109"/>
        <v>0.00307756044151156</v>
      </c>
      <c r="H927" s="852">
        <f t="shared" si="110"/>
        <v>0.00281999265247035</v>
      </c>
      <c r="I927" s="836">
        <f t="shared" si="111"/>
        <v>0.01</v>
      </c>
    </row>
    <row r="928" spans="2:9">
      <c r="B928" s="835" t="s">
        <v>2916</v>
      </c>
      <c r="D928" s="697">
        <v>22156</v>
      </c>
      <c r="E928" s="697">
        <v>1094253.623</v>
      </c>
      <c r="F928" s="697">
        <v>6</v>
      </c>
      <c r="G928" s="852">
        <f t="shared" si="109"/>
        <v>0.0728487490834722</v>
      </c>
      <c r="H928" s="852">
        <f t="shared" si="110"/>
        <v>0.0329711088288216</v>
      </c>
      <c r="I928" s="836">
        <f t="shared" si="111"/>
        <v>0.06</v>
      </c>
    </row>
    <row r="929" spans="2:9">
      <c r="B929" s="835"/>
      <c r="C929" s="697" t="s">
        <v>2910</v>
      </c>
      <c r="D929" s="697">
        <v>17432</v>
      </c>
      <c r="E929" s="697">
        <v>871425.7</v>
      </c>
      <c r="F929" s="697">
        <v>1</v>
      </c>
      <c r="G929" s="852">
        <f t="shared" si="109"/>
        <v>0.057316275231228</v>
      </c>
      <c r="H929" s="852">
        <f t="shared" si="110"/>
        <v>0.0262570495422815</v>
      </c>
      <c r="I929" s="836">
        <f t="shared" si="111"/>
        <v>0.01</v>
      </c>
    </row>
    <row r="930" spans="2:9">
      <c r="B930" s="835"/>
      <c r="C930" s="697" t="s">
        <v>2862</v>
      </c>
      <c r="D930" s="697">
        <v>2453</v>
      </c>
      <c r="E930" s="697">
        <v>119396.443</v>
      </c>
      <c r="F930" s="697">
        <v>3</v>
      </c>
      <c r="G930" s="852">
        <f t="shared" si="109"/>
        <v>0.00806544419126907</v>
      </c>
      <c r="H930" s="852">
        <f t="shared" si="110"/>
        <v>0.0035975509088419</v>
      </c>
      <c r="I930" s="836">
        <f t="shared" si="111"/>
        <v>0.03</v>
      </c>
    </row>
    <row r="931" spans="2:9">
      <c r="B931" s="835"/>
      <c r="C931" s="697" t="s">
        <v>2950</v>
      </c>
      <c r="D931" s="697">
        <v>1962</v>
      </c>
      <c r="E931" s="697">
        <v>88074.18</v>
      </c>
      <c r="F931" s="697">
        <v>1</v>
      </c>
      <c r="G931" s="852">
        <f t="shared" si="109"/>
        <v>0.00645104015624538</v>
      </c>
      <c r="H931" s="852">
        <f t="shared" si="110"/>
        <v>0.00265377542532406</v>
      </c>
      <c r="I931" s="836">
        <f t="shared" si="111"/>
        <v>0.01</v>
      </c>
    </row>
    <row r="932" spans="2:9">
      <c r="B932" s="835"/>
      <c r="C932" s="697" t="s">
        <v>2921</v>
      </c>
      <c r="D932" s="697">
        <v>309</v>
      </c>
      <c r="E932" s="697">
        <v>15357.3</v>
      </c>
      <c r="F932" s="697">
        <v>1</v>
      </c>
      <c r="G932" s="852">
        <f t="shared" si="109"/>
        <v>0.00101598950472978</v>
      </c>
      <c r="H932" s="852">
        <f t="shared" si="110"/>
        <v>0.000462732952374115</v>
      </c>
      <c r="I932" s="836">
        <f t="shared" si="111"/>
        <v>0.01</v>
      </c>
    </row>
    <row r="933" spans="2:9">
      <c r="B933" s="835" t="s">
        <v>2857</v>
      </c>
      <c r="D933" s="697">
        <v>21766</v>
      </c>
      <c r="E933" s="697">
        <v>4931042.56</v>
      </c>
      <c r="F933" s="697">
        <v>7</v>
      </c>
      <c r="G933" s="852">
        <f t="shared" si="109"/>
        <v>0.0715664322328424</v>
      </c>
      <c r="H933" s="852">
        <f t="shared" si="110"/>
        <v>0.1485779324537</v>
      </c>
      <c r="I933" s="836">
        <f t="shared" si="111"/>
        <v>0.07</v>
      </c>
    </row>
    <row r="934" spans="2:9">
      <c r="B934" s="835"/>
      <c r="C934" s="697" t="s">
        <v>2856</v>
      </c>
      <c r="D934" s="697">
        <v>11474</v>
      </c>
      <c r="E934" s="697">
        <v>2294685.2</v>
      </c>
      <c r="F934" s="697">
        <v>1</v>
      </c>
      <c r="G934" s="852">
        <f t="shared" si="109"/>
        <v>0.0377264193439141</v>
      </c>
      <c r="H934" s="852">
        <f t="shared" si="110"/>
        <v>0.0691414804272357</v>
      </c>
      <c r="I934" s="836">
        <f t="shared" si="111"/>
        <v>0.01</v>
      </c>
    </row>
    <row r="935" spans="2:9">
      <c r="B935" s="835"/>
      <c r="C935" s="697" t="s">
        <v>2874</v>
      </c>
      <c r="D935" s="697">
        <v>4859</v>
      </c>
      <c r="E935" s="697">
        <v>1398222.89</v>
      </c>
      <c r="F935" s="697">
        <v>4</v>
      </c>
      <c r="G935" s="852">
        <f t="shared" si="109"/>
        <v>0.0159763527620776</v>
      </c>
      <c r="H935" s="852">
        <f t="shared" si="110"/>
        <v>0.0421300492903549</v>
      </c>
      <c r="I935" s="836">
        <f t="shared" si="111"/>
        <v>0.04</v>
      </c>
    </row>
    <row r="936" spans="2:9">
      <c r="B936" s="835"/>
      <c r="C936" s="697" t="s">
        <v>2908</v>
      </c>
      <c r="D936" s="697">
        <v>3280</v>
      </c>
      <c r="E936" s="697">
        <v>721436</v>
      </c>
      <c r="F936" s="697">
        <v>1</v>
      </c>
      <c r="G936" s="852">
        <f t="shared" si="109"/>
        <v>0.0107846135129892</v>
      </c>
      <c r="H936" s="852">
        <f t="shared" si="110"/>
        <v>0.0217376889315812</v>
      </c>
      <c r="I936" s="836">
        <f t="shared" si="111"/>
        <v>0.01</v>
      </c>
    </row>
    <row r="937" spans="2:9">
      <c r="B937" s="835"/>
      <c r="C937" s="697" t="s">
        <v>2910</v>
      </c>
      <c r="D937" s="697">
        <v>2153</v>
      </c>
      <c r="E937" s="697">
        <v>516698.47</v>
      </c>
      <c r="F937" s="697">
        <v>1</v>
      </c>
      <c r="G937" s="852">
        <f t="shared" si="109"/>
        <v>0.00707904661386152</v>
      </c>
      <c r="H937" s="852">
        <f t="shared" si="110"/>
        <v>0.0155687138045287</v>
      </c>
      <c r="I937" s="836">
        <f t="shared" si="111"/>
        <v>0.01</v>
      </c>
    </row>
    <row r="938" spans="2:9">
      <c r="B938" s="835" t="s">
        <v>2882</v>
      </c>
      <c r="D938" s="697">
        <v>20334</v>
      </c>
      <c r="E938" s="697">
        <v>1415899.706</v>
      </c>
      <c r="F938" s="697">
        <v>10</v>
      </c>
      <c r="G938" s="852">
        <f t="shared" si="109"/>
        <v>0.0668580277966837</v>
      </c>
      <c r="H938" s="852">
        <f t="shared" si="110"/>
        <v>0.042662671903461</v>
      </c>
      <c r="I938" s="836">
        <f t="shared" si="111"/>
        <v>0.1</v>
      </c>
    </row>
    <row r="939" spans="2:9">
      <c r="B939" s="835"/>
      <c r="C939" s="697" t="s">
        <v>2844</v>
      </c>
      <c r="D939" s="697">
        <v>6377</v>
      </c>
      <c r="E939" s="697">
        <v>413445.863</v>
      </c>
      <c r="F939" s="697">
        <v>3</v>
      </c>
      <c r="G939" s="852">
        <f t="shared" si="109"/>
        <v>0.0209675245037598</v>
      </c>
      <c r="H939" s="852">
        <f t="shared" si="110"/>
        <v>0.0124575950741897</v>
      </c>
      <c r="I939" s="836">
        <f t="shared" si="111"/>
        <v>0.03</v>
      </c>
    </row>
    <row r="940" spans="2:9">
      <c r="B940" s="835"/>
      <c r="C940" s="697" t="s">
        <v>2828</v>
      </c>
      <c r="D940" s="697">
        <v>6296</v>
      </c>
      <c r="E940" s="697">
        <v>440657.04</v>
      </c>
      <c r="F940" s="697">
        <v>2</v>
      </c>
      <c r="G940" s="852">
        <f t="shared" si="109"/>
        <v>0.0207011971578598</v>
      </c>
      <c r="H940" s="852">
        <f t="shared" si="110"/>
        <v>0.0132774988509463</v>
      </c>
      <c r="I940" s="836">
        <f t="shared" si="111"/>
        <v>0.02</v>
      </c>
    </row>
    <row r="941" spans="2:9">
      <c r="B941" s="835"/>
      <c r="C941" s="697" t="s">
        <v>2814</v>
      </c>
      <c r="D941" s="697">
        <v>4279</v>
      </c>
      <c r="E941" s="697">
        <v>342277.2</v>
      </c>
      <c r="F941" s="697">
        <v>1</v>
      </c>
      <c r="G941" s="852">
        <f t="shared" si="109"/>
        <v>0.0140693174457564</v>
      </c>
      <c r="H941" s="852">
        <f t="shared" si="110"/>
        <v>0.0103132021440192</v>
      </c>
      <c r="I941" s="836">
        <f t="shared" si="111"/>
        <v>0.01</v>
      </c>
    </row>
    <row r="942" spans="2:9">
      <c r="B942" s="835"/>
      <c r="C942" s="697" t="s">
        <v>2862</v>
      </c>
      <c r="D942" s="697">
        <v>2032</v>
      </c>
      <c r="E942" s="697">
        <v>132059.67</v>
      </c>
      <c r="F942" s="697">
        <v>1</v>
      </c>
      <c r="G942" s="852">
        <f t="shared" si="109"/>
        <v>0.0066811995909738</v>
      </c>
      <c r="H942" s="852">
        <f t="shared" si="110"/>
        <v>0.00397910837117536</v>
      </c>
      <c r="I942" s="836">
        <f t="shared" si="111"/>
        <v>0.01</v>
      </c>
    </row>
    <row r="943" spans="2:9">
      <c r="B943" s="835"/>
      <c r="C943" s="697" t="s">
        <v>2921</v>
      </c>
      <c r="D943" s="697">
        <v>577</v>
      </c>
      <c r="E943" s="697">
        <v>35623.98</v>
      </c>
      <c r="F943" s="697">
        <v>1</v>
      </c>
      <c r="G943" s="852">
        <f t="shared" si="109"/>
        <v>0.00189717134054719</v>
      </c>
      <c r="H943" s="852">
        <f t="shared" si="110"/>
        <v>0.00107339111957938</v>
      </c>
      <c r="I943" s="836">
        <f t="shared" si="111"/>
        <v>0.01</v>
      </c>
    </row>
    <row r="944" spans="2:9">
      <c r="B944" s="835"/>
      <c r="C944" s="697" t="s">
        <v>2989</v>
      </c>
      <c r="D944" s="697">
        <v>532</v>
      </c>
      <c r="E944" s="697">
        <v>34968.363</v>
      </c>
      <c r="F944" s="697">
        <v>1</v>
      </c>
      <c r="G944" s="852">
        <f t="shared" si="109"/>
        <v>0.00174921170393606</v>
      </c>
      <c r="H944" s="852">
        <f t="shared" si="110"/>
        <v>0.00105363663213454</v>
      </c>
      <c r="I944" s="836">
        <f t="shared" si="111"/>
        <v>0.01</v>
      </c>
    </row>
    <row r="945" spans="2:9">
      <c r="B945" s="835"/>
      <c r="C945" s="697" t="s">
        <v>2908</v>
      </c>
      <c r="D945" s="697">
        <v>241</v>
      </c>
      <c r="E945" s="697">
        <v>16867.59</v>
      </c>
      <c r="F945" s="697">
        <v>1</v>
      </c>
      <c r="G945" s="852">
        <f t="shared" si="109"/>
        <v>0.000792406053850732</v>
      </c>
      <c r="H945" s="852">
        <f t="shared" si="110"/>
        <v>0.000508239711416466</v>
      </c>
      <c r="I945" s="836">
        <f t="shared" si="111"/>
        <v>0.01</v>
      </c>
    </row>
    <row r="946" spans="2:9">
      <c r="B946" s="835" t="s">
        <v>2880</v>
      </c>
      <c r="D946" s="870">
        <v>13945</v>
      </c>
      <c r="E946" s="870">
        <v>2760257.51</v>
      </c>
      <c r="F946" s="870">
        <v>5</v>
      </c>
      <c r="G946" s="852">
        <f t="shared" si="109"/>
        <v>0.0458510473898276</v>
      </c>
      <c r="H946" s="852">
        <f t="shared" si="110"/>
        <v>0.0831697047602848</v>
      </c>
      <c r="I946" s="836">
        <f t="shared" si="111"/>
        <v>0.05</v>
      </c>
    </row>
    <row r="947" spans="2:9">
      <c r="B947" s="835"/>
      <c r="C947" s="697" t="s">
        <v>2879</v>
      </c>
      <c r="D947" s="697">
        <v>9972</v>
      </c>
      <c r="E947" s="697">
        <v>1994300.4</v>
      </c>
      <c r="F947" s="697">
        <v>1</v>
      </c>
      <c r="G947" s="852">
        <f t="shared" si="109"/>
        <v>0.032787855473027</v>
      </c>
      <c r="H947" s="852">
        <f t="shared" si="110"/>
        <v>0.0600905440417833</v>
      </c>
      <c r="I947" s="836">
        <f t="shared" si="111"/>
        <v>0.01</v>
      </c>
    </row>
    <row r="948" spans="2:9">
      <c r="B948" s="835"/>
      <c r="C948" s="697" t="s">
        <v>2874</v>
      </c>
      <c r="D948" s="697">
        <v>2385</v>
      </c>
      <c r="E948" s="697">
        <v>472726.16</v>
      </c>
      <c r="F948" s="697">
        <v>2</v>
      </c>
      <c r="G948" s="852">
        <f t="shared" si="109"/>
        <v>0.00784186074039002</v>
      </c>
      <c r="H948" s="852">
        <f t="shared" si="110"/>
        <v>0.0142437779870992</v>
      </c>
      <c r="I948" s="836">
        <f t="shared" si="111"/>
        <v>0.02</v>
      </c>
    </row>
    <row r="949" spans="2:9">
      <c r="B949" s="835"/>
      <c r="C949" s="697" t="s">
        <v>2943</v>
      </c>
      <c r="D949" s="697">
        <v>922</v>
      </c>
      <c r="E949" s="697">
        <v>166697.61</v>
      </c>
      <c r="F949" s="697">
        <v>1</v>
      </c>
      <c r="G949" s="852">
        <f t="shared" si="109"/>
        <v>0.00303152855456587</v>
      </c>
      <c r="H949" s="852">
        <f t="shared" si="110"/>
        <v>0.00502278898172262</v>
      </c>
      <c r="I949" s="836">
        <f t="shared" si="111"/>
        <v>0.01</v>
      </c>
    </row>
    <row r="950" spans="2:9">
      <c r="B950" s="835"/>
      <c r="C950" s="697" t="s">
        <v>2844</v>
      </c>
      <c r="D950" s="697">
        <v>666</v>
      </c>
      <c r="E950" s="697">
        <v>126533.34</v>
      </c>
      <c r="F950" s="697">
        <v>1</v>
      </c>
      <c r="G950" s="852">
        <f t="shared" si="109"/>
        <v>0.00218980262184476</v>
      </c>
      <c r="H950" s="852">
        <f t="shared" si="110"/>
        <v>0.0038125937496798</v>
      </c>
      <c r="I950" s="836">
        <f t="shared" si="111"/>
        <v>0.01</v>
      </c>
    </row>
    <row r="951" spans="2:9">
      <c r="B951" s="835" t="s">
        <v>2887</v>
      </c>
      <c r="D951" s="697">
        <v>13332</v>
      </c>
      <c r="E951" s="697">
        <v>1910386.67</v>
      </c>
      <c r="F951" s="697">
        <v>6</v>
      </c>
      <c r="G951" s="852">
        <f t="shared" si="109"/>
        <v>0.0438355083399915</v>
      </c>
      <c r="H951" s="852">
        <f t="shared" si="110"/>
        <v>0.0575621277168027</v>
      </c>
      <c r="I951" s="836">
        <f t="shared" si="111"/>
        <v>0.06</v>
      </c>
    </row>
    <row r="952" spans="2:9">
      <c r="B952" s="835"/>
      <c r="C952" s="697" t="s">
        <v>2879</v>
      </c>
      <c r="D952" s="697">
        <v>7579</v>
      </c>
      <c r="E952" s="697">
        <v>1136774.2</v>
      </c>
      <c r="F952" s="697">
        <v>1</v>
      </c>
      <c r="G952" s="852">
        <f t="shared" si="109"/>
        <v>0.0249196907972394</v>
      </c>
      <c r="H952" s="852">
        <f t="shared" si="110"/>
        <v>0.0342523022763586</v>
      </c>
      <c r="I952" s="836">
        <f t="shared" si="111"/>
        <v>0.01</v>
      </c>
    </row>
    <row r="953" spans="2:9">
      <c r="B953" s="835"/>
      <c r="C953" s="697" t="s">
        <v>2874</v>
      </c>
      <c r="D953" s="697">
        <v>3030</v>
      </c>
      <c r="E953" s="697">
        <v>454469.7</v>
      </c>
      <c r="F953" s="697">
        <v>3</v>
      </c>
      <c r="G953" s="852">
        <f t="shared" si="109"/>
        <v>0.00996261553181625</v>
      </c>
      <c r="H953" s="852">
        <f t="shared" si="110"/>
        <v>0.0136936900396279</v>
      </c>
      <c r="I953" s="836">
        <f t="shared" si="111"/>
        <v>0.03</v>
      </c>
    </row>
    <row r="954" spans="2:9">
      <c r="B954" s="835"/>
      <c r="C954" s="697" t="s">
        <v>2921</v>
      </c>
      <c r="D954" s="697">
        <v>1488</v>
      </c>
      <c r="E954" s="697">
        <v>133905.11</v>
      </c>
      <c r="F954" s="697">
        <v>1</v>
      </c>
      <c r="G954" s="852">
        <f t="shared" si="109"/>
        <v>0.00489253198394145</v>
      </c>
      <c r="H954" s="852">
        <f t="shared" si="110"/>
        <v>0.00403471358170255</v>
      </c>
      <c r="I954" s="836">
        <f t="shared" si="111"/>
        <v>0.01</v>
      </c>
    </row>
    <row r="955" spans="2:9">
      <c r="B955" s="835"/>
      <c r="C955" s="697" t="s">
        <v>2844</v>
      </c>
      <c r="D955" s="697">
        <v>1235</v>
      </c>
      <c r="E955" s="697">
        <v>185237.66</v>
      </c>
      <c r="F955" s="697">
        <v>1</v>
      </c>
      <c r="G955" s="852">
        <f t="shared" si="109"/>
        <v>0.00406067002699441</v>
      </c>
      <c r="H955" s="852">
        <f t="shared" si="110"/>
        <v>0.00558142181911355</v>
      </c>
      <c r="I955" s="836">
        <f t="shared" si="111"/>
        <v>0.01</v>
      </c>
    </row>
    <row r="956" spans="2:9">
      <c r="B956" s="835" t="s">
        <v>2864</v>
      </c>
      <c r="D956" s="697">
        <v>11434</v>
      </c>
      <c r="E956" s="697">
        <v>451119.21</v>
      </c>
      <c r="F956" s="697">
        <v>5</v>
      </c>
      <c r="G956" s="852">
        <f t="shared" si="109"/>
        <v>0.0375948996669264</v>
      </c>
      <c r="H956" s="852">
        <f t="shared" si="110"/>
        <v>0.0135927359572307</v>
      </c>
      <c r="I956" s="836">
        <f t="shared" si="111"/>
        <v>0.05</v>
      </c>
    </row>
    <row r="957" spans="2:9">
      <c r="B957" s="835"/>
      <c r="C957" s="697" t="s">
        <v>2862</v>
      </c>
      <c r="D957" s="697">
        <v>10313</v>
      </c>
      <c r="E957" s="697">
        <v>410897.73</v>
      </c>
      <c r="F957" s="697">
        <v>4</v>
      </c>
      <c r="G957" s="852">
        <f t="shared" si="109"/>
        <v>0.0339090607193469</v>
      </c>
      <c r="H957" s="852">
        <f t="shared" si="110"/>
        <v>0.0123808169226831</v>
      </c>
      <c r="I957" s="836">
        <f t="shared" si="111"/>
        <v>0.04</v>
      </c>
    </row>
    <row r="958" spans="2:9">
      <c r="B958" s="835"/>
      <c r="C958" s="697" t="s">
        <v>2966</v>
      </c>
      <c r="D958" s="697">
        <v>1121</v>
      </c>
      <c r="E958" s="697">
        <v>40221.48</v>
      </c>
      <c r="F958" s="697">
        <v>1</v>
      </c>
      <c r="G958" s="852">
        <f t="shared" si="109"/>
        <v>0.00368583894757954</v>
      </c>
      <c r="H958" s="852">
        <f t="shared" si="110"/>
        <v>0.00121191903454751</v>
      </c>
      <c r="I958" s="836">
        <f t="shared" si="111"/>
        <v>0.01</v>
      </c>
    </row>
    <row r="959" spans="2:9">
      <c r="B959" s="835" t="s">
        <v>2906</v>
      </c>
      <c r="D959" s="697">
        <v>11125</v>
      </c>
      <c r="E959" s="697">
        <v>1296486.805</v>
      </c>
      <c r="F959" s="697">
        <v>8</v>
      </c>
      <c r="G959" s="852">
        <f t="shared" si="109"/>
        <v>0.0365789101621966</v>
      </c>
      <c r="H959" s="852">
        <f t="shared" si="110"/>
        <v>0.0390646250963212</v>
      </c>
      <c r="I959" s="836">
        <f t="shared" si="111"/>
        <v>0.08</v>
      </c>
    </row>
    <row r="960" spans="2:9">
      <c r="B960" s="835"/>
      <c r="C960" s="697" t="s">
        <v>2844</v>
      </c>
      <c r="D960" s="697">
        <v>8858</v>
      </c>
      <c r="E960" s="697">
        <v>1027511.285</v>
      </c>
      <c r="F960" s="697">
        <v>6</v>
      </c>
      <c r="G960" s="852">
        <f t="shared" si="109"/>
        <v>0.0291250324689203</v>
      </c>
      <c r="H960" s="852">
        <f t="shared" si="110"/>
        <v>0.0309600861157736</v>
      </c>
      <c r="I960" s="836">
        <f t="shared" si="111"/>
        <v>0.06</v>
      </c>
    </row>
    <row r="961" spans="2:9">
      <c r="B961" s="835"/>
      <c r="C961" s="697" t="s">
        <v>2828</v>
      </c>
      <c r="D961" s="697">
        <v>2267</v>
      </c>
      <c r="E961" s="697">
        <v>268975.52</v>
      </c>
      <c r="F961" s="697">
        <v>2</v>
      </c>
      <c r="G961" s="852">
        <f t="shared" si="109"/>
        <v>0.00745387769327639</v>
      </c>
      <c r="H961" s="852">
        <f t="shared" si="110"/>
        <v>0.00810453898054754</v>
      </c>
      <c r="I961" s="836">
        <f t="shared" si="111"/>
        <v>0.02</v>
      </c>
    </row>
    <row r="962" spans="2:9">
      <c r="B962" s="835" t="s">
        <v>2890</v>
      </c>
      <c r="D962" s="697">
        <v>10248</v>
      </c>
      <c r="E962" s="697">
        <v>1638632.6</v>
      </c>
      <c r="F962" s="697">
        <v>3</v>
      </c>
      <c r="G962" s="852">
        <f t="shared" si="109"/>
        <v>0.0336953412442419</v>
      </c>
      <c r="H962" s="852">
        <f t="shared" si="110"/>
        <v>0.0493738678579224</v>
      </c>
      <c r="I962" s="836">
        <f t="shared" si="111"/>
        <v>0.03</v>
      </c>
    </row>
    <row r="963" spans="2:9">
      <c r="B963" s="835"/>
      <c r="C963" s="697" t="s">
        <v>2844</v>
      </c>
      <c r="D963" s="697">
        <v>5320</v>
      </c>
      <c r="E963" s="697">
        <v>850934</v>
      </c>
      <c r="F963" s="697">
        <v>1</v>
      </c>
      <c r="G963" s="852">
        <f t="shared" si="109"/>
        <v>0.0174921170393606</v>
      </c>
      <c r="H963" s="852">
        <f t="shared" si="110"/>
        <v>0.0256396112660113</v>
      </c>
      <c r="I963" s="836">
        <f t="shared" si="111"/>
        <v>0.01</v>
      </c>
    </row>
    <row r="964" spans="2:9">
      <c r="B964" s="835"/>
      <c r="C964" s="697" t="s">
        <v>2874</v>
      </c>
      <c r="D964" s="697">
        <v>4928</v>
      </c>
      <c r="E964" s="697">
        <v>787698.6</v>
      </c>
      <c r="F964" s="697">
        <v>2</v>
      </c>
      <c r="G964" s="852">
        <f t="shared" si="109"/>
        <v>0.0162032242048814</v>
      </c>
      <c r="H964" s="852">
        <f t="shared" si="110"/>
        <v>0.0237342565919111</v>
      </c>
      <c r="I964" s="836">
        <f t="shared" si="111"/>
        <v>0.02</v>
      </c>
    </row>
    <row r="965" spans="2:9">
      <c r="B965" s="835" t="s">
        <v>2866</v>
      </c>
      <c r="D965" s="697">
        <v>10072</v>
      </c>
      <c r="E965" s="697">
        <v>596203.979</v>
      </c>
      <c r="F965" s="697">
        <v>4</v>
      </c>
      <c r="G965" s="852">
        <f t="shared" si="109"/>
        <v>0.0331166546654961</v>
      </c>
      <c r="H965" s="852">
        <f t="shared" si="110"/>
        <v>0.0179643054065405</v>
      </c>
      <c r="I965" s="836">
        <f t="shared" si="111"/>
        <v>0.04</v>
      </c>
    </row>
    <row r="966" spans="2:9">
      <c r="B966" s="835"/>
      <c r="C966" s="697" t="s">
        <v>2828</v>
      </c>
      <c r="D966" s="697">
        <v>8950</v>
      </c>
      <c r="E966" s="697">
        <v>534309.159</v>
      </c>
      <c r="F966" s="697">
        <v>2</v>
      </c>
      <c r="G966" s="852">
        <f t="shared" si="109"/>
        <v>0.0294275277259919</v>
      </c>
      <c r="H966" s="852">
        <f t="shared" si="110"/>
        <v>0.016099343935757</v>
      </c>
      <c r="I966" s="836">
        <f t="shared" si="111"/>
        <v>0.02</v>
      </c>
    </row>
    <row r="967" spans="2:9">
      <c r="B967" s="835"/>
      <c r="C967" s="697" t="s">
        <v>2921</v>
      </c>
      <c r="D967" s="697">
        <v>622</v>
      </c>
      <c r="E967" s="697">
        <v>33469.82</v>
      </c>
      <c r="F967" s="697">
        <v>1</v>
      </c>
      <c r="G967" s="852">
        <f t="shared" si="109"/>
        <v>0.00204513097715832</v>
      </c>
      <c r="H967" s="852">
        <f t="shared" si="110"/>
        <v>0.00100848382359075</v>
      </c>
      <c r="I967" s="836">
        <f t="shared" si="111"/>
        <v>0.01</v>
      </c>
    </row>
    <row r="968" spans="2:9">
      <c r="B968" s="835"/>
      <c r="C968" s="697" t="s">
        <v>2844</v>
      </c>
      <c r="D968" s="697">
        <v>500</v>
      </c>
      <c r="E968" s="697">
        <v>28425</v>
      </c>
      <c r="F968" s="697">
        <v>1</v>
      </c>
      <c r="G968" s="852">
        <f t="shared" si="109"/>
        <v>0.00164399596234592</v>
      </c>
      <c r="H968" s="852">
        <f t="shared" si="110"/>
        <v>0.000856477647192815</v>
      </c>
      <c r="I968" s="836">
        <f t="shared" si="111"/>
        <v>0.01</v>
      </c>
    </row>
    <row r="969" spans="2:9">
      <c r="B969" s="835" t="s">
        <v>2871</v>
      </c>
      <c r="D969" s="697">
        <v>7304</v>
      </c>
      <c r="E969" s="697">
        <v>1460474.16</v>
      </c>
      <c r="F969" s="697">
        <v>2</v>
      </c>
      <c r="G969" s="852">
        <f t="shared" si="109"/>
        <v>0.0240154930179491</v>
      </c>
      <c r="H969" s="852">
        <f t="shared" si="110"/>
        <v>0.0440057510058998</v>
      </c>
      <c r="I969" s="836">
        <f t="shared" si="111"/>
        <v>0.02</v>
      </c>
    </row>
    <row r="970" spans="2:9">
      <c r="B970" s="835"/>
      <c r="C970" s="697" t="s">
        <v>2856</v>
      </c>
      <c r="D970" s="697">
        <v>6319</v>
      </c>
      <c r="E970" s="697">
        <v>1263484</v>
      </c>
      <c r="F970" s="697">
        <v>1</v>
      </c>
      <c r="G970" s="852">
        <f t="shared" si="109"/>
        <v>0.0207768209721277</v>
      </c>
      <c r="H970" s="852">
        <f t="shared" si="110"/>
        <v>0.0380702129669575</v>
      </c>
      <c r="I970" s="836">
        <f t="shared" si="111"/>
        <v>0.01</v>
      </c>
    </row>
    <row r="971" spans="2:9">
      <c r="B971" s="835"/>
      <c r="C971" s="697" t="s">
        <v>2921</v>
      </c>
      <c r="D971" s="697">
        <v>985</v>
      </c>
      <c r="E971" s="697">
        <v>196990.16</v>
      </c>
      <c r="F971" s="697">
        <v>1</v>
      </c>
      <c r="G971" s="852">
        <f t="shared" si="109"/>
        <v>0.00323867204582146</v>
      </c>
      <c r="H971" s="852">
        <f t="shared" si="110"/>
        <v>0.00593553803894234</v>
      </c>
      <c r="I971" s="836">
        <f t="shared" si="111"/>
        <v>0.01</v>
      </c>
    </row>
    <row r="972" spans="2:9">
      <c r="B972" s="835" t="s">
        <v>2939</v>
      </c>
      <c r="D972" s="697">
        <v>6845</v>
      </c>
      <c r="E972" s="697">
        <v>523813.385</v>
      </c>
      <c r="F972" s="697">
        <v>7</v>
      </c>
      <c r="G972" s="852">
        <f t="shared" si="109"/>
        <v>0.0225063047245156</v>
      </c>
      <c r="H972" s="852">
        <f t="shared" si="110"/>
        <v>0.0157830943026527</v>
      </c>
      <c r="I972" s="836">
        <f t="shared" si="111"/>
        <v>0.07</v>
      </c>
    </row>
    <row r="973" spans="2:9">
      <c r="B973" s="835"/>
      <c r="C973" s="697" t="s">
        <v>2844</v>
      </c>
      <c r="D973" s="697">
        <v>3139</v>
      </c>
      <c r="E973" s="697">
        <v>239268.804</v>
      </c>
      <c r="F973" s="697">
        <v>3</v>
      </c>
      <c r="G973" s="852">
        <f t="shared" si="109"/>
        <v>0.0103210066516077</v>
      </c>
      <c r="H973" s="852">
        <f t="shared" si="110"/>
        <v>0.00720944176944798</v>
      </c>
      <c r="I973" s="836">
        <f t="shared" si="111"/>
        <v>0.03</v>
      </c>
    </row>
    <row r="974" spans="2:9">
      <c r="B974" s="835"/>
      <c r="C974" s="697" t="s">
        <v>2828</v>
      </c>
      <c r="D974" s="697">
        <v>2597</v>
      </c>
      <c r="E974" s="697">
        <v>213624.026</v>
      </c>
      <c r="F974" s="697">
        <v>3</v>
      </c>
      <c r="G974" s="852">
        <f t="shared" si="109"/>
        <v>0.00853891502842469</v>
      </c>
      <c r="H974" s="852">
        <f t="shared" si="110"/>
        <v>0.00643673537985353</v>
      </c>
      <c r="I974" s="836">
        <f t="shared" si="111"/>
        <v>0.03</v>
      </c>
    </row>
    <row r="975" spans="2:9">
      <c r="B975" s="835"/>
      <c r="C975" s="697" t="s">
        <v>2921</v>
      </c>
      <c r="D975" s="697">
        <v>1109</v>
      </c>
      <c r="E975" s="697">
        <v>70920.555</v>
      </c>
      <c r="F975" s="697">
        <v>1</v>
      </c>
      <c r="G975" s="852">
        <f t="shared" ref="G975:G1007" si="112">D975/$C$150</f>
        <v>0.00364638304448324</v>
      </c>
      <c r="H975" s="852">
        <f t="shared" ref="H975:H1007" si="113">E975/$D$150</f>
        <v>0.00213691715335123</v>
      </c>
      <c r="I975" s="836">
        <f t="shared" ref="I975:I1007" si="114">F975/$E$150</f>
        <v>0.01</v>
      </c>
    </row>
    <row r="976" spans="2:9">
      <c r="B976" s="835" t="s">
        <v>2913</v>
      </c>
      <c r="D976" s="697">
        <v>3891</v>
      </c>
      <c r="E976" s="697">
        <v>597582.11</v>
      </c>
      <c r="F976" s="697">
        <v>3</v>
      </c>
      <c r="G976" s="852">
        <f t="shared" si="112"/>
        <v>0.0127935765789759</v>
      </c>
      <c r="H976" s="852">
        <f t="shared" si="113"/>
        <v>0.0180058300642856</v>
      </c>
      <c r="I976" s="836">
        <f t="shared" si="114"/>
        <v>0.03</v>
      </c>
    </row>
    <row r="977" spans="1:9">
      <c r="B977" s="835"/>
      <c r="C977" s="697" t="s">
        <v>2828</v>
      </c>
      <c r="D977" s="697">
        <v>3019</v>
      </c>
      <c r="E977" s="697">
        <v>484230.83</v>
      </c>
      <c r="F977" s="697">
        <v>2</v>
      </c>
      <c r="G977" s="852">
        <f t="shared" si="112"/>
        <v>0.00992644762064464</v>
      </c>
      <c r="H977" s="852">
        <f t="shared" si="113"/>
        <v>0.0145904268065655</v>
      </c>
      <c r="I977" s="836">
        <f t="shared" si="114"/>
        <v>0.02</v>
      </c>
    </row>
    <row r="978" spans="1:9">
      <c r="B978" s="835"/>
      <c r="C978" s="697" t="s">
        <v>2874</v>
      </c>
      <c r="D978" s="697">
        <v>872</v>
      </c>
      <c r="E978" s="697">
        <v>113351.28</v>
      </c>
      <c r="F978" s="697">
        <v>1</v>
      </c>
      <c r="G978" s="852">
        <f t="shared" si="112"/>
        <v>0.00286712895833128</v>
      </c>
      <c r="H978" s="852">
        <f t="shared" si="113"/>
        <v>0.0034154032577201</v>
      </c>
      <c r="I978" s="836">
        <f t="shared" si="114"/>
        <v>0.01</v>
      </c>
    </row>
    <row r="979" spans="1:9">
      <c r="B979" s="835" t="s">
        <v>3006</v>
      </c>
      <c r="D979" s="697">
        <v>3836</v>
      </c>
      <c r="E979" s="697">
        <v>22478.96</v>
      </c>
      <c r="F979" s="697">
        <v>1</v>
      </c>
      <c r="G979" s="852">
        <f t="shared" si="112"/>
        <v>0.0126127370231179</v>
      </c>
      <c r="H979" s="852">
        <f t="shared" si="113"/>
        <v>0.000677316685035757</v>
      </c>
      <c r="I979" s="836">
        <f t="shared" si="114"/>
        <v>0.01</v>
      </c>
    </row>
    <row r="980" spans="1:9">
      <c r="B980" s="835"/>
      <c r="C980" s="697" t="s">
        <v>2989</v>
      </c>
      <c r="D980" s="697">
        <v>3836</v>
      </c>
      <c r="E980" s="697">
        <v>22478.96</v>
      </c>
      <c r="F980" s="697">
        <v>1</v>
      </c>
      <c r="G980" s="852">
        <f t="shared" si="112"/>
        <v>0.0126127370231179</v>
      </c>
      <c r="H980" s="852">
        <f t="shared" si="113"/>
        <v>0.000677316685035757</v>
      </c>
      <c r="I980" s="836">
        <f t="shared" si="114"/>
        <v>0.01</v>
      </c>
    </row>
    <row r="981" spans="1:9">
      <c r="B981" s="835" t="s">
        <v>2924</v>
      </c>
      <c r="D981" s="870">
        <v>3212</v>
      </c>
      <c r="E981" s="870">
        <v>577089.728</v>
      </c>
      <c r="F981" s="870">
        <v>3</v>
      </c>
      <c r="G981" s="852">
        <f t="shared" si="112"/>
        <v>0.0105610300621102</v>
      </c>
      <c r="H981" s="852">
        <f t="shared" si="113"/>
        <v>0.0173883712385781</v>
      </c>
      <c r="I981" s="836">
        <f t="shared" si="114"/>
        <v>0.03</v>
      </c>
    </row>
    <row r="982" spans="1:9">
      <c r="B982" s="835"/>
      <c r="C982" s="697" t="s">
        <v>2948</v>
      </c>
      <c r="D982" s="697">
        <v>1815</v>
      </c>
      <c r="E982" s="697">
        <v>326681.88</v>
      </c>
      <c r="F982" s="697">
        <v>1</v>
      </c>
      <c r="G982" s="852">
        <f t="shared" si="112"/>
        <v>0.00596770534331568</v>
      </c>
      <c r="H982" s="852">
        <f t="shared" si="113"/>
        <v>0.00984329737776343</v>
      </c>
      <c r="I982" s="836">
        <f t="shared" si="114"/>
        <v>0.01</v>
      </c>
    </row>
    <row r="983" spans="1:9">
      <c r="B983" s="835"/>
      <c r="C983" s="697" t="s">
        <v>2844</v>
      </c>
      <c r="D983" s="697">
        <v>1397</v>
      </c>
      <c r="E983" s="697">
        <v>250407.848</v>
      </c>
      <c r="F983" s="697">
        <v>2</v>
      </c>
      <c r="G983" s="852">
        <f t="shared" si="112"/>
        <v>0.00459332471879449</v>
      </c>
      <c r="H983" s="852">
        <f t="shared" si="113"/>
        <v>0.00754507386081463</v>
      </c>
      <c r="I983" s="836">
        <f t="shared" si="114"/>
        <v>0.02</v>
      </c>
    </row>
    <row r="984" spans="1:9">
      <c r="B984" s="835" t="s">
        <v>2937</v>
      </c>
      <c r="D984" s="697">
        <v>2527</v>
      </c>
      <c r="E984" s="697">
        <v>318510.93</v>
      </c>
      <c r="F984" s="697">
        <v>3</v>
      </c>
      <c r="G984" s="852">
        <f t="shared" si="112"/>
        <v>0.00830875559369626</v>
      </c>
      <c r="H984" s="852">
        <f t="shared" si="113"/>
        <v>0.00959709734148092</v>
      </c>
      <c r="I984" s="836">
        <f t="shared" si="114"/>
        <v>0.03</v>
      </c>
    </row>
    <row r="985" spans="1:9">
      <c r="B985" s="835"/>
      <c r="C985" s="697" t="s">
        <v>2874</v>
      </c>
      <c r="D985" s="697">
        <v>1966</v>
      </c>
      <c r="E985" s="697">
        <v>246141.93</v>
      </c>
      <c r="F985" s="697">
        <v>2</v>
      </c>
      <c r="G985" s="852">
        <f t="shared" si="112"/>
        <v>0.00646419212394414</v>
      </c>
      <c r="H985" s="852">
        <f t="shared" si="113"/>
        <v>0.00741653688942475</v>
      </c>
      <c r="I985" s="836">
        <f t="shared" si="114"/>
        <v>0.02</v>
      </c>
    </row>
    <row r="986" spans="1:9">
      <c r="B986" s="835"/>
      <c r="C986" s="697" t="s">
        <v>2828</v>
      </c>
      <c r="D986" s="697">
        <v>561</v>
      </c>
      <c r="E986" s="697">
        <v>72369</v>
      </c>
      <c r="F986" s="697">
        <v>1</v>
      </c>
      <c r="G986" s="852">
        <f t="shared" si="112"/>
        <v>0.00184456346975212</v>
      </c>
      <c r="H986" s="852">
        <f t="shared" si="113"/>
        <v>0.00218056045205618</v>
      </c>
      <c r="I986" s="836">
        <f t="shared" si="114"/>
        <v>0.01</v>
      </c>
    </row>
    <row r="987" spans="1:9">
      <c r="B987" s="835" t="s">
        <v>2984</v>
      </c>
      <c r="D987" s="697">
        <v>1174</v>
      </c>
      <c r="E987" s="697">
        <v>162318.27</v>
      </c>
      <c r="F987" s="697">
        <v>2</v>
      </c>
      <c r="G987" s="852">
        <f t="shared" si="112"/>
        <v>0.00386010251958821</v>
      </c>
      <c r="H987" s="852">
        <f t="shared" si="113"/>
        <v>0.00489083447620081</v>
      </c>
      <c r="I987" s="836">
        <f t="shared" si="114"/>
        <v>0.02</v>
      </c>
    </row>
    <row r="988" spans="1:9">
      <c r="B988" s="835"/>
      <c r="C988" s="697" t="s">
        <v>2844</v>
      </c>
      <c r="D988" s="697">
        <v>1174</v>
      </c>
      <c r="E988" s="697">
        <v>162318.27</v>
      </c>
      <c r="F988" s="697">
        <v>2</v>
      </c>
      <c r="G988" s="852">
        <f t="shared" si="112"/>
        <v>0.00386010251958821</v>
      </c>
      <c r="H988" s="852">
        <f t="shared" si="113"/>
        <v>0.00489083447620081</v>
      </c>
      <c r="I988" s="836">
        <f t="shared" si="114"/>
        <v>0.02</v>
      </c>
    </row>
    <row r="989" ht="17.25" spans="1:9">
      <c r="B989" s="871" t="s">
        <v>3102</v>
      </c>
      <c r="C989" s="799"/>
      <c r="D989" s="799">
        <v>304137</v>
      </c>
      <c r="E989" s="799">
        <v>33188256.685</v>
      </c>
      <c r="F989" s="799">
        <v>100</v>
      </c>
      <c r="G989" s="795">
        <f t="shared" si="112"/>
        <v>1</v>
      </c>
      <c r="H989" s="795">
        <f t="shared" si="113"/>
        <v>1</v>
      </c>
      <c r="I989" s="872">
        <f t="shared" si="114"/>
        <v>1</v>
      </c>
    </row>
    <row r="991" ht="17.25" spans="1:9">
      <c r="A991" s="829" t="s">
        <v>3151</v>
      </c>
      <c r="B991" s="830" t="s">
        <v>2805</v>
      </c>
      <c r="C991" s="831" t="s">
        <v>2803</v>
      </c>
      <c r="D991" s="831" t="s">
        <v>3098</v>
      </c>
      <c r="E991" s="831" t="s">
        <v>3099</v>
      </c>
      <c r="F991" s="831" t="s">
        <v>3100</v>
      </c>
      <c r="G991" s="833" t="s">
        <v>3022</v>
      </c>
      <c r="H991" s="833" t="s">
        <v>3023</v>
      </c>
      <c r="I991" s="834" t="s">
        <v>3101</v>
      </c>
    </row>
    <row r="992" spans="1:9">
      <c r="B992" s="835" t="s">
        <v>2820</v>
      </c>
      <c r="D992" s="697">
        <v>62949</v>
      </c>
      <c r="E992" s="697">
        <v>5650633.572</v>
      </c>
      <c r="F992" s="697">
        <v>9</v>
      </c>
      <c r="G992" s="852">
        <f t="shared" ref="G992:G1055" si="115">D992/$C$150</f>
        <v>0.206975803667426</v>
      </c>
      <c r="H992" s="852">
        <f t="shared" ref="H992:H1055" si="116">E992/$D$150</f>
        <v>0.17026002979403</v>
      </c>
      <c r="I992" s="836">
        <f t="shared" ref="I992:I1055" si="117">F992/$E$150</f>
        <v>0.09</v>
      </c>
    </row>
    <row r="993" spans="2:9">
      <c r="B993" s="835"/>
      <c r="C993" s="697" t="s">
        <v>2818</v>
      </c>
      <c r="D993" s="697">
        <v>40653</v>
      </c>
      <c r="E993" s="697">
        <v>3644216.622</v>
      </c>
      <c r="F993" s="697">
        <v>7</v>
      </c>
      <c r="G993" s="852">
        <f t="shared" si="115"/>
        <v>0.133666735714497</v>
      </c>
      <c r="H993" s="852">
        <f t="shared" si="116"/>
        <v>0.109804400290994</v>
      </c>
      <c r="I993" s="836">
        <f t="shared" si="117"/>
        <v>0.07</v>
      </c>
    </row>
    <row r="994" spans="2:9">
      <c r="B994" s="835"/>
      <c r="C994" s="697" t="s">
        <v>2854</v>
      </c>
      <c r="D994" s="697">
        <v>21741</v>
      </c>
      <c r="E994" s="697">
        <v>1956472.5</v>
      </c>
      <c r="F994" s="697">
        <v>1</v>
      </c>
      <c r="G994" s="852">
        <f t="shared" si="115"/>
        <v>0.0714842324347251</v>
      </c>
      <c r="H994" s="852">
        <f t="shared" si="116"/>
        <v>0.0589507463007016</v>
      </c>
      <c r="I994" s="836">
        <f t="shared" si="117"/>
        <v>0.01</v>
      </c>
    </row>
    <row r="995" spans="2:9">
      <c r="B995" s="835"/>
      <c r="C995" s="697" t="s">
        <v>2912</v>
      </c>
      <c r="D995" s="697">
        <v>555</v>
      </c>
      <c r="E995" s="697">
        <v>49944.45</v>
      </c>
      <c r="F995" s="697">
        <v>1</v>
      </c>
      <c r="G995" s="852">
        <f t="shared" si="115"/>
        <v>0.00182483551820397</v>
      </c>
      <c r="H995" s="852">
        <f t="shared" si="116"/>
        <v>0.00150488320233383</v>
      </c>
      <c r="I995" s="836">
        <f t="shared" si="117"/>
        <v>0.01</v>
      </c>
    </row>
    <row r="996" spans="2:9">
      <c r="B996" s="835" t="s">
        <v>2840</v>
      </c>
      <c r="D996" s="697">
        <v>47906</v>
      </c>
      <c r="E996" s="697">
        <v>5244223.682</v>
      </c>
      <c r="F996" s="697">
        <v>9</v>
      </c>
      <c r="G996" s="852">
        <f t="shared" si="115"/>
        <v>0.157514541144287</v>
      </c>
      <c r="H996" s="852">
        <f t="shared" si="116"/>
        <v>0.15801443660553</v>
      </c>
      <c r="I996" s="836">
        <f t="shared" si="117"/>
        <v>0.09</v>
      </c>
    </row>
    <row r="997" spans="2:9">
      <c r="B997" s="835"/>
      <c r="C997" s="697" t="s">
        <v>2818</v>
      </c>
      <c r="D997" s="697">
        <v>34090</v>
      </c>
      <c r="E997" s="697">
        <v>3744228.724</v>
      </c>
      <c r="F997" s="697">
        <v>4</v>
      </c>
      <c r="G997" s="852">
        <f t="shared" si="115"/>
        <v>0.112087644712745</v>
      </c>
      <c r="H997" s="852">
        <f t="shared" si="116"/>
        <v>0.11281787891234</v>
      </c>
      <c r="I997" s="836">
        <f t="shared" si="117"/>
        <v>0.04</v>
      </c>
    </row>
    <row r="998" spans="2:9">
      <c r="B998" s="835"/>
      <c r="C998" s="697" t="s">
        <v>2845</v>
      </c>
      <c r="D998" s="697">
        <v>9863</v>
      </c>
      <c r="E998" s="697">
        <v>1080678.398</v>
      </c>
      <c r="F998" s="697">
        <v>2</v>
      </c>
      <c r="G998" s="852">
        <f t="shared" si="115"/>
        <v>0.0324294643532356</v>
      </c>
      <c r="H998" s="852">
        <f t="shared" si="116"/>
        <v>0.0325620718273048</v>
      </c>
      <c r="I998" s="836">
        <f t="shared" si="117"/>
        <v>0.02</v>
      </c>
    </row>
    <row r="999" spans="2:9">
      <c r="B999" s="835"/>
      <c r="C999" s="697" t="s">
        <v>2922</v>
      </c>
      <c r="D999" s="697">
        <v>2581</v>
      </c>
      <c r="E999" s="697">
        <v>268424</v>
      </c>
      <c r="F999" s="697">
        <v>2</v>
      </c>
      <c r="G999" s="852">
        <f t="shared" si="115"/>
        <v>0.00848630715762962</v>
      </c>
      <c r="H999" s="852">
        <f t="shared" si="116"/>
        <v>0.00808792105435652</v>
      </c>
      <c r="I999" s="836">
        <f t="shared" si="117"/>
        <v>0.02</v>
      </c>
    </row>
    <row r="1000" spans="2:9">
      <c r="B1000" s="835"/>
      <c r="C1000" s="697" t="s">
        <v>2854</v>
      </c>
      <c r="D1000" s="697">
        <v>1372</v>
      </c>
      <c r="E1000" s="697">
        <v>150892.56</v>
      </c>
      <c r="F1000" s="697">
        <v>1</v>
      </c>
      <c r="G1000" s="852">
        <f t="shared" si="115"/>
        <v>0.0045111249206772</v>
      </c>
      <c r="H1000" s="852">
        <f t="shared" si="116"/>
        <v>0.00454656481152861</v>
      </c>
      <c r="I1000" s="836">
        <f t="shared" si="117"/>
        <v>0.01</v>
      </c>
    </row>
    <row r="1001" spans="2:9">
      <c r="B1001" s="835" t="s">
        <v>2830</v>
      </c>
      <c r="D1001" s="697">
        <v>30081</v>
      </c>
      <c r="E1001" s="697">
        <v>2536849.225</v>
      </c>
      <c r="F1001" s="697">
        <v>7</v>
      </c>
      <c r="G1001" s="852">
        <f t="shared" si="115"/>
        <v>0.098906085086655</v>
      </c>
      <c r="H1001" s="852">
        <f t="shared" si="116"/>
        <v>0.0764381585052213</v>
      </c>
      <c r="I1001" s="836">
        <f t="shared" si="117"/>
        <v>0.07</v>
      </c>
    </row>
    <row r="1002" spans="2:9">
      <c r="B1002" s="835"/>
      <c r="C1002" s="697" t="s">
        <v>2818</v>
      </c>
      <c r="D1002" s="697">
        <v>28328</v>
      </c>
      <c r="E1002" s="697">
        <v>2361566.755</v>
      </c>
      <c r="F1002" s="697">
        <v>5</v>
      </c>
      <c r="G1002" s="852">
        <f t="shared" si="115"/>
        <v>0.0931422352426702</v>
      </c>
      <c r="H1002" s="852">
        <f t="shared" si="116"/>
        <v>0.0711566979071652</v>
      </c>
      <c r="I1002" s="836">
        <f t="shared" si="117"/>
        <v>0.05</v>
      </c>
    </row>
    <row r="1003" spans="2:9">
      <c r="B1003" s="835"/>
      <c r="C1003" s="697" t="s">
        <v>2912</v>
      </c>
      <c r="D1003" s="697">
        <v>936</v>
      </c>
      <c r="E1003" s="697">
        <v>93590.64</v>
      </c>
      <c r="F1003" s="697">
        <v>1</v>
      </c>
      <c r="G1003" s="852">
        <f t="shared" si="115"/>
        <v>0.00307756044151156</v>
      </c>
      <c r="H1003" s="852">
        <f t="shared" si="116"/>
        <v>0.00281999265247035</v>
      </c>
      <c r="I1003" s="836">
        <f t="shared" si="117"/>
        <v>0.01</v>
      </c>
    </row>
    <row r="1004" spans="2:9">
      <c r="B1004" s="835"/>
      <c r="C1004" s="697" t="s">
        <v>2863</v>
      </c>
      <c r="D1004" s="697">
        <v>817</v>
      </c>
      <c r="E1004" s="697">
        <v>81691.83</v>
      </c>
      <c r="F1004" s="697">
        <v>1</v>
      </c>
      <c r="G1004" s="852">
        <f t="shared" si="115"/>
        <v>0.00268628940247323</v>
      </c>
      <c r="H1004" s="852">
        <f t="shared" si="116"/>
        <v>0.00246146794558577</v>
      </c>
      <c r="I1004" s="836">
        <f t="shared" si="117"/>
        <v>0.01</v>
      </c>
    </row>
    <row r="1005" spans="2:9">
      <c r="B1005" s="835" t="s">
        <v>2916</v>
      </c>
      <c r="D1005" s="697">
        <v>22156</v>
      </c>
      <c r="E1005" s="697">
        <v>1094253.623</v>
      </c>
      <c r="F1005" s="697">
        <v>6</v>
      </c>
      <c r="G1005" s="852">
        <f t="shared" si="115"/>
        <v>0.0728487490834722</v>
      </c>
      <c r="H1005" s="852">
        <f t="shared" si="116"/>
        <v>0.0329711088288216</v>
      </c>
      <c r="I1005" s="836">
        <f t="shared" si="117"/>
        <v>0.06</v>
      </c>
    </row>
    <row r="1006" spans="2:9">
      <c r="B1006" s="835"/>
      <c r="C1006" s="697" t="s">
        <v>2818</v>
      </c>
      <c r="D1006" s="697">
        <v>17741</v>
      </c>
      <c r="E1006" s="697">
        <v>886783</v>
      </c>
      <c r="F1006" s="697">
        <v>2</v>
      </c>
      <c r="G1006" s="852">
        <f t="shared" si="115"/>
        <v>0.0583322647359578</v>
      </c>
      <c r="H1006" s="852">
        <f t="shared" si="116"/>
        <v>0.0267197824946556</v>
      </c>
      <c r="I1006" s="836">
        <f t="shared" si="117"/>
        <v>0.02</v>
      </c>
    </row>
    <row r="1007" spans="2:9">
      <c r="B1007" s="835"/>
      <c r="C1007" s="697" t="s">
        <v>2863</v>
      </c>
      <c r="D1007" s="697">
        <v>4415</v>
      </c>
      <c r="E1007" s="697">
        <v>207470.623</v>
      </c>
      <c r="F1007" s="697">
        <v>4</v>
      </c>
      <c r="G1007" s="852">
        <f t="shared" si="115"/>
        <v>0.0145164843475144</v>
      </c>
      <c r="H1007" s="852">
        <f t="shared" si="116"/>
        <v>0.00625132633416596</v>
      </c>
      <c r="I1007" s="836">
        <f t="shared" si="117"/>
        <v>0.04</v>
      </c>
    </row>
    <row r="1008" spans="2:9">
      <c r="B1008" s="835" t="s">
        <v>2857</v>
      </c>
      <c r="D1008" s="697">
        <v>21766</v>
      </c>
      <c r="E1008" s="697">
        <v>4931042.56</v>
      </c>
      <c r="F1008" s="697">
        <v>7</v>
      </c>
      <c r="G1008" s="852">
        <f t="shared" si="115"/>
        <v>0.0715664322328424</v>
      </c>
      <c r="H1008" s="852">
        <f t="shared" si="116"/>
        <v>0.1485779324537</v>
      </c>
      <c r="I1008" s="836">
        <f t="shared" si="117"/>
        <v>0.07</v>
      </c>
    </row>
    <row r="1009" spans="2:9">
      <c r="B1009" s="835"/>
      <c r="C1009" s="697" t="s">
        <v>2845</v>
      </c>
      <c r="D1009" s="697">
        <v>20108</v>
      </c>
      <c r="E1009" s="697">
        <v>4435037.36</v>
      </c>
      <c r="F1009" s="697">
        <v>5</v>
      </c>
      <c r="G1009" s="852">
        <f t="shared" si="115"/>
        <v>0.0661149416217034</v>
      </c>
      <c r="H1009" s="852">
        <f t="shared" si="116"/>
        <v>0.13363273045928</v>
      </c>
      <c r="I1009" s="836">
        <f t="shared" si="117"/>
        <v>0.05</v>
      </c>
    </row>
    <row r="1010" spans="2:9">
      <c r="B1010" s="835"/>
      <c r="C1010" s="697" t="s">
        <v>2818</v>
      </c>
      <c r="D1010" s="697">
        <v>956</v>
      </c>
      <c r="E1010" s="697">
        <v>334552.22</v>
      </c>
      <c r="F1010" s="697">
        <v>1</v>
      </c>
      <c r="G1010" s="852">
        <f t="shared" si="115"/>
        <v>0.00314332028000539</v>
      </c>
      <c r="H1010" s="852">
        <f t="shared" si="116"/>
        <v>0.0100804396921278</v>
      </c>
      <c r="I1010" s="836">
        <f t="shared" si="117"/>
        <v>0.01</v>
      </c>
    </row>
    <row r="1011" spans="2:9">
      <c r="B1011" s="835"/>
      <c r="C1011" s="697" t="s">
        <v>2912</v>
      </c>
      <c r="D1011" s="697">
        <v>702</v>
      </c>
      <c r="E1011" s="697">
        <v>161452.98</v>
      </c>
      <c r="F1011" s="697">
        <v>1</v>
      </c>
      <c r="G1011" s="852">
        <f t="shared" si="115"/>
        <v>0.00230817033113367</v>
      </c>
      <c r="H1011" s="852">
        <f t="shared" si="116"/>
        <v>0.00486476230229265</v>
      </c>
      <c r="I1011" s="836">
        <f t="shared" si="117"/>
        <v>0.01</v>
      </c>
    </row>
    <row r="1012" spans="2:9">
      <c r="B1012" s="835" t="s">
        <v>2882</v>
      </c>
      <c r="D1012" s="697">
        <v>20334</v>
      </c>
      <c r="E1012" s="697">
        <v>1415899.706</v>
      </c>
      <c r="F1012" s="697">
        <v>10</v>
      </c>
      <c r="G1012" s="852">
        <f t="shared" si="115"/>
        <v>0.0668580277966837</v>
      </c>
      <c r="H1012" s="852">
        <f t="shared" si="116"/>
        <v>0.042662671903461</v>
      </c>
      <c r="I1012" s="836">
        <f t="shared" si="117"/>
        <v>0.1</v>
      </c>
    </row>
    <row r="1013" spans="2:9">
      <c r="B1013" s="835"/>
      <c r="C1013" s="697" t="s">
        <v>2818</v>
      </c>
      <c r="D1013" s="697">
        <v>6123</v>
      </c>
      <c r="E1013" s="697">
        <v>390867.163</v>
      </c>
      <c r="F1013" s="697">
        <v>5</v>
      </c>
      <c r="G1013" s="852">
        <f t="shared" si="115"/>
        <v>0.0201323745548881</v>
      </c>
      <c r="H1013" s="852">
        <f t="shared" si="116"/>
        <v>0.011777273109276</v>
      </c>
      <c r="I1013" s="836">
        <f t="shared" si="117"/>
        <v>0.05</v>
      </c>
    </row>
    <row r="1014" spans="2:9">
      <c r="B1014" s="835"/>
      <c r="C1014" s="697" t="s">
        <v>2863</v>
      </c>
      <c r="D1014" s="697">
        <v>5941</v>
      </c>
      <c r="E1014" s="697">
        <v>403425.243</v>
      </c>
      <c r="F1014" s="697">
        <v>3</v>
      </c>
      <c r="G1014" s="852">
        <f t="shared" si="115"/>
        <v>0.0195339600245942</v>
      </c>
      <c r="H1014" s="852">
        <f t="shared" si="116"/>
        <v>0.0121556623726589</v>
      </c>
      <c r="I1014" s="836">
        <f t="shared" si="117"/>
        <v>0.03</v>
      </c>
    </row>
    <row r="1015" spans="2:9">
      <c r="B1015" s="835"/>
      <c r="C1015" s="697" t="s">
        <v>3152</v>
      </c>
      <c r="D1015" s="697">
        <v>4279</v>
      </c>
      <c r="E1015" s="697">
        <v>342277.2</v>
      </c>
      <c r="F1015" s="697">
        <v>1</v>
      </c>
      <c r="G1015" s="852">
        <f t="shared" si="115"/>
        <v>0.0140693174457564</v>
      </c>
      <c r="H1015" s="852">
        <f t="shared" si="116"/>
        <v>0.0103132021440192</v>
      </c>
      <c r="I1015" s="836">
        <f t="shared" si="117"/>
        <v>0.01</v>
      </c>
    </row>
    <row r="1016" spans="2:9">
      <c r="B1016" s="835"/>
      <c r="C1016" s="697" t="s">
        <v>2928</v>
      </c>
      <c r="D1016" s="697">
        <v>3991</v>
      </c>
      <c r="E1016" s="697">
        <v>279330.1</v>
      </c>
      <c r="F1016" s="697">
        <v>1</v>
      </c>
      <c r="G1016" s="852">
        <f t="shared" si="115"/>
        <v>0.0131223757714451</v>
      </c>
      <c r="H1016" s="852">
        <f t="shared" si="116"/>
        <v>0.0084165342775069</v>
      </c>
      <c r="I1016" s="836">
        <f t="shared" si="117"/>
        <v>0.01</v>
      </c>
    </row>
    <row r="1017" spans="2:9">
      <c r="B1017" s="835" t="s">
        <v>2880</v>
      </c>
      <c r="D1017" s="870">
        <v>13945</v>
      </c>
      <c r="E1017" s="870">
        <v>2760257.51</v>
      </c>
      <c r="F1017" s="870">
        <v>5</v>
      </c>
      <c r="G1017" s="852">
        <f t="shared" si="115"/>
        <v>0.0458510473898276</v>
      </c>
      <c r="H1017" s="852">
        <f t="shared" si="116"/>
        <v>0.0831697047602848</v>
      </c>
      <c r="I1017" s="836">
        <f t="shared" si="117"/>
        <v>0.05</v>
      </c>
    </row>
    <row r="1018" spans="2:9">
      <c r="B1018" s="835"/>
      <c r="C1018" s="697" t="s">
        <v>3152</v>
      </c>
      <c r="D1018" s="697">
        <v>9972</v>
      </c>
      <c r="E1018" s="697">
        <v>1994300.4</v>
      </c>
      <c r="F1018" s="697">
        <v>1</v>
      </c>
      <c r="G1018" s="852">
        <f t="shared" si="115"/>
        <v>0.032787855473027</v>
      </c>
      <c r="H1018" s="852">
        <f t="shared" si="116"/>
        <v>0.0600905440417833</v>
      </c>
      <c r="I1018" s="836">
        <f t="shared" si="117"/>
        <v>0.01</v>
      </c>
    </row>
    <row r="1019" spans="2:9">
      <c r="B1019" s="835"/>
      <c r="C1019" s="697" t="s">
        <v>2912</v>
      </c>
      <c r="D1019" s="697">
        <v>1895</v>
      </c>
      <c r="E1019" s="697">
        <v>360031.06</v>
      </c>
      <c r="F1019" s="697">
        <v>1</v>
      </c>
      <c r="G1019" s="852">
        <f t="shared" si="115"/>
        <v>0.00623074469729102</v>
      </c>
      <c r="H1019" s="852">
        <f t="shared" si="116"/>
        <v>0.0108481461806556</v>
      </c>
      <c r="I1019" s="836">
        <f t="shared" si="117"/>
        <v>0.01</v>
      </c>
    </row>
    <row r="1020" spans="2:9">
      <c r="B1020" s="835"/>
      <c r="C1020" s="697" t="s">
        <v>2818</v>
      </c>
      <c r="D1020" s="697">
        <v>1156</v>
      </c>
      <c r="E1020" s="697">
        <v>239228.44</v>
      </c>
      <c r="F1020" s="697">
        <v>2</v>
      </c>
      <c r="G1020" s="852">
        <f t="shared" si="115"/>
        <v>0.00380091866494376</v>
      </c>
      <c r="H1020" s="852">
        <f t="shared" si="116"/>
        <v>0.00720822555612339</v>
      </c>
      <c r="I1020" s="836">
        <f t="shared" si="117"/>
        <v>0.02</v>
      </c>
    </row>
    <row r="1021" spans="2:9">
      <c r="B1021" s="835"/>
      <c r="C1021" s="697" t="s">
        <v>2944</v>
      </c>
      <c r="D1021" s="697">
        <v>922</v>
      </c>
      <c r="E1021" s="697">
        <v>166697.61</v>
      </c>
      <c r="F1021" s="697">
        <v>1</v>
      </c>
      <c r="G1021" s="852">
        <f t="shared" si="115"/>
        <v>0.00303152855456587</v>
      </c>
      <c r="H1021" s="852">
        <f t="shared" si="116"/>
        <v>0.00502278898172262</v>
      </c>
      <c r="I1021" s="836">
        <f t="shared" si="117"/>
        <v>0.01</v>
      </c>
    </row>
    <row r="1022" spans="2:9">
      <c r="B1022" s="835" t="s">
        <v>2887</v>
      </c>
      <c r="D1022" s="697">
        <v>13332</v>
      </c>
      <c r="E1022" s="697">
        <v>1910386.67</v>
      </c>
      <c r="F1022" s="697">
        <v>6</v>
      </c>
      <c r="G1022" s="852">
        <f t="shared" si="115"/>
        <v>0.0438355083399915</v>
      </c>
      <c r="H1022" s="852">
        <f t="shared" si="116"/>
        <v>0.0575621277168027</v>
      </c>
      <c r="I1022" s="836">
        <f t="shared" si="117"/>
        <v>0.06</v>
      </c>
    </row>
    <row r="1023" spans="2:9">
      <c r="B1023" s="835"/>
      <c r="C1023" s="697" t="s">
        <v>3152</v>
      </c>
      <c r="D1023" s="697">
        <v>7579</v>
      </c>
      <c r="E1023" s="697">
        <v>1136774.2</v>
      </c>
      <c r="F1023" s="697">
        <v>1</v>
      </c>
      <c r="G1023" s="852">
        <f t="shared" si="115"/>
        <v>0.0249196907972394</v>
      </c>
      <c r="H1023" s="852">
        <f t="shared" si="116"/>
        <v>0.0342523022763586</v>
      </c>
      <c r="I1023" s="836">
        <f t="shared" si="117"/>
        <v>0.01</v>
      </c>
    </row>
    <row r="1024" spans="2:9">
      <c r="B1024" s="835"/>
      <c r="C1024" s="697" t="s">
        <v>2951</v>
      </c>
      <c r="D1024" s="697">
        <v>1850</v>
      </c>
      <c r="E1024" s="697">
        <v>277481.5</v>
      </c>
      <c r="F1024" s="697">
        <v>1</v>
      </c>
      <c r="G1024" s="852">
        <f t="shared" si="115"/>
        <v>0.00608278506067989</v>
      </c>
      <c r="H1024" s="852">
        <f t="shared" si="116"/>
        <v>0.00836083385257812</v>
      </c>
      <c r="I1024" s="836">
        <f t="shared" si="117"/>
        <v>0.01</v>
      </c>
    </row>
    <row r="1025" spans="2:9">
      <c r="B1025" s="835"/>
      <c r="C1025" s="697" t="s">
        <v>2818</v>
      </c>
      <c r="D1025" s="697">
        <v>1600</v>
      </c>
      <c r="E1025" s="697">
        <v>239984.01</v>
      </c>
      <c r="F1025" s="697">
        <v>2</v>
      </c>
      <c r="G1025" s="852">
        <f t="shared" si="115"/>
        <v>0.00526078707950693</v>
      </c>
      <c r="H1025" s="852">
        <f t="shared" si="116"/>
        <v>0.00723099174137896</v>
      </c>
      <c r="I1025" s="836">
        <f t="shared" si="117"/>
        <v>0.02</v>
      </c>
    </row>
    <row r="1026" spans="2:9">
      <c r="B1026" s="835"/>
      <c r="C1026" s="697" t="s">
        <v>2922</v>
      </c>
      <c r="D1026" s="697">
        <v>1488</v>
      </c>
      <c r="E1026" s="697">
        <v>133905.11</v>
      </c>
      <c r="F1026" s="697">
        <v>1</v>
      </c>
      <c r="G1026" s="852">
        <f t="shared" si="115"/>
        <v>0.00489253198394145</v>
      </c>
      <c r="H1026" s="852">
        <f t="shared" si="116"/>
        <v>0.00403471358170255</v>
      </c>
      <c r="I1026" s="836">
        <f t="shared" si="117"/>
        <v>0.01</v>
      </c>
    </row>
    <row r="1027" spans="2:9">
      <c r="B1027" s="835"/>
      <c r="C1027" s="697" t="s">
        <v>2845</v>
      </c>
      <c r="D1027" s="697">
        <v>815</v>
      </c>
      <c r="E1027" s="697">
        <v>122241.85</v>
      </c>
      <c r="F1027" s="697">
        <v>1</v>
      </c>
      <c r="G1027" s="852">
        <f t="shared" si="115"/>
        <v>0.00267971341862384</v>
      </c>
      <c r="H1027" s="852">
        <f t="shared" si="116"/>
        <v>0.00368328626478441</v>
      </c>
      <c r="I1027" s="836">
        <f t="shared" si="117"/>
        <v>0.01</v>
      </c>
    </row>
    <row r="1028" spans="2:9">
      <c r="B1028" s="835" t="s">
        <v>2864</v>
      </c>
      <c r="D1028" s="697">
        <v>11434</v>
      </c>
      <c r="E1028" s="697">
        <v>451119.21</v>
      </c>
      <c r="F1028" s="697">
        <v>5</v>
      </c>
      <c r="G1028" s="852">
        <f t="shared" si="115"/>
        <v>0.0375948996669264</v>
      </c>
      <c r="H1028" s="852">
        <f t="shared" si="116"/>
        <v>0.0135927359572307</v>
      </c>
      <c r="I1028" s="836">
        <f t="shared" si="117"/>
        <v>0.05</v>
      </c>
    </row>
    <row r="1029" spans="2:9">
      <c r="B1029" s="835"/>
      <c r="C1029" s="697" t="s">
        <v>2863</v>
      </c>
      <c r="D1029" s="697">
        <v>9860</v>
      </c>
      <c r="E1029" s="697">
        <v>388710.11</v>
      </c>
      <c r="F1029" s="697">
        <v>4</v>
      </c>
      <c r="G1029" s="852">
        <f t="shared" si="115"/>
        <v>0.0324196003774615</v>
      </c>
      <c r="H1029" s="852">
        <f t="shared" si="116"/>
        <v>0.0117122786439001</v>
      </c>
      <c r="I1029" s="836">
        <f t="shared" si="117"/>
        <v>0.04</v>
      </c>
    </row>
    <row r="1030" spans="2:9">
      <c r="B1030" s="835"/>
      <c r="C1030" s="697" t="s">
        <v>2845</v>
      </c>
      <c r="D1030" s="697">
        <v>1574</v>
      </c>
      <c r="E1030" s="697">
        <v>62409.1</v>
      </c>
      <c r="F1030" s="697">
        <v>1</v>
      </c>
      <c r="G1030" s="852">
        <f t="shared" si="115"/>
        <v>0.00517529928946495</v>
      </c>
      <c r="H1030" s="852">
        <f t="shared" si="116"/>
        <v>0.00188045731333056</v>
      </c>
      <c r="I1030" s="836">
        <f t="shared" si="117"/>
        <v>0.01</v>
      </c>
    </row>
    <row r="1031" spans="2:9">
      <c r="B1031" s="835" t="s">
        <v>2906</v>
      </c>
      <c r="D1031" s="697">
        <v>11125</v>
      </c>
      <c r="E1031" s="697">
        <v>1296486.805</v>
      </c>
      <c r="F1031" s="697">
        <v>8</v>
      </c>
      <c r="G1031" s="852">
        <f t="shared" si="115"/>
        <v>0.0365789101621966</v>
      </c>
      <c r="H1031" s="852">
        <f t="shared" si="116"/>
        <v>0.0390646250963212</v>
      </c>
      <c r="I1031" s="836">
        <f t="shared" si="117"/>
        <v>0.08</v>
      </c>
    </row>
    <row r="1032" spans="2:9">
      <c r="B1032" s="835"/>
      <c r="C1032" s="697" t="s">
        <v>2818</v>
      </c>
      <c r="D1032" s="697">
        <v>9034</v>
      </c>
      <c r="E1032" s="697">
        <v>1045888.615</v>
      </c>
      <c r="F1032" s="697">
        <v>5</v>
      </c>
      <c r="G1032" s="852">
        <f t="shared" si="115"/>
        <v>0.029703719047666</v>
      </c>
      <c r="H1032" s="852">
        <f t="shared" si="116"/>
        <v>0.0315138160141056</v>
      </c>
      <c r="I1032" s="836">
        <f t="shared" si="117"/>
        <v>0.05</v>
      </c>
    </row>
    <row r="1033" spans="2:9">
      <c r="B1033" s="835"/>
      <c r="C1033" s="697" t="s">
        <v>2922</v>
      </c>
      <c r="D1033" s="697">
        <v>981</v>
      </c>
      <c r="E1033" s="697">
        <v>117710.19</v>
      </c>
      <c r="F1033" s="697">
        <v>1</v>
      </c>
      <c r="G1033" s="852">
        <f t="shared" si="115"/>
        <v>0.00322552007812269</v>
      </c>
      <c r="H1033" s="852">
        <f t="shared" si="116"/>
        <v>0.00354674218405696</v>
      </c>
      <c r="I1033" s="836">
        <f t="shared" si="117"/>
        <v>0.01</v>
      </c>
    </row>
    <row r="1034" spans="2:9">
      <c r="B1034" s="835"/>
      <c r="C1034" s="697" t="s">
        <v>2912</v>
      </c>
      <c r="D1034" s="697">
        <v>600</v>
      </c>
      <c r="E1034" s="697">
        <v>71994</v>
      </c>
      <c r="F1034" s="697">
        <v>1</v>
      </c>
      <c r="G1034" s="852">
        <f t="shared" si="115"/>
        <v>0.0019727951548151</v>
      </c>
      <c r="H1034" s="852">
        <f t="shared" si="116"/>
        <v>0.00216926127465258</v>
      </c>
      <c r="I1034" s="836">
        <f t="shared" si="117"/>
        <v>0.01</v>
      </c>
    </row>
    <row r="1035" spans="2:9">
      <c r="B1035" s="835"/>
      <c r="C1035" s="697" t="s">
        <v>2863</v>
      </c>
      <c r="D1035" s="697">
        <v>510</v>
      </c>
      <c r="E1035" s="697">
        <v>60894</v>
      </c>
      <c r="F1035" s="697">
        <v>1</v>
      </c>
      <c r="G1035" s="852">
        <f t="shared" si="115"/>
        <v>0.00167687588159283</v>
      </c>
      <c r="H1035" s="852">
        <f t="shared" si="116"/>
        <v>0.00183480562350604</v>
      </c>
      <c r="I1035" s="836">
        <f t="shared" si="117"/>
        <v>0.01</v>
      </c>
    </row>
    <row r="1036" spans="2:9">
      <c r="B1036" s="835" t="s">
        <v>2890</v>
      </c>
      <c r="D1036" s="697">
        <v>10248</v>
      </c>
      <c r="E1036" s="697">
        <v>1638632.6</v>
      </c>
      <c r="F1036" s="697">
        <v>3</v>
      </c>
      <c r="G1036" s="852">
        <f t="shared" si="115"/>
        <v>0.0336953412442419</v>
      </c>
      <c r="H1036" s="852">
        <f t="shared" si="116"/>
        <v>0.0493738678579224</v>
      </c>
      <c r="I1036" s="836">
        <f t="shared" si="117"/>
        <v>0.03</v>
      </c>
    </row>
    <row r="1037" spans="2:9">
      <c r="B1037" s="835"/>
      <c r="C1037" s="697" t="s">
        <v>3152</v>
      </c>
      <c r="D1037" s="697">
        <v>5320</v>
      </c>
      <c r="E1037" s="697">
        <v>850934</v>
      </c>
      <c r="F1037" s="697">
        <v>1</v>
      </c>
      <c r="G1037" s="852">
        <f t="shared" si="115"/>
        <v>0.0174921170393606</v>
      </c>
      <c r="H1037" s="852">
        <f t="shared" si="116"/>
        <v>0.0256396112660113</v>
      </c>
      <c r="I1037" s="836">
        <f t="shared" si="117"/>
        <v>0.01</v>
      </c>
    </row>
    <row r="1038" spans="2:9">
      <c r="B1038" s="835"/>
      <c r="C1038" s="697" t="s">
        <v>2899</v>
      </c>
      <c r="D1038" s="697">
        <v>4224</v>
      </c>
      <c r="E1038" s="697">
        <v>675797.8</v>
      </c>
      <c r="F1038" s="697">
        <v>1</v>
      </c>
      <c r="G1038" s="852">
        <f t="shared" si="115"/>
        <v>0.0138884778898983</v>
      </c>
      <c r="H1038" s="852">
        <f t="shared" si="116"/>
        <v>0.0203625579497654</v>
      </c>
      <c r="I1038" s="836">
        <f t="shared" si="117"/>
        <v>0.01</v>
      </c>
    </row>
    <row r="1039" spans="2:9">
      <c r="B1039" s="835"/>
      <c r="C1039" s="697" t="s">
        <v>2845</v>
      </c>
      <c r="D1039" s="697">
        <v>704</v>
      </c>
      <c r="E1039" s="697">
        <v>111900.8</v>
      </c>
      <c r="F1039" s="697">
        <v>1</v>
      </c>
      <c r="G1039" s="852">
        <f t="shared" si="115"/>
        <v>0.00231474631498305</v>
      </c>
      <c r="H1039" s="852">
        <f t="shared" si="116"/>
        <v>0.00337169864214578</v>
      </c>
      <c r="I1039" s="836">
        <f t="shared" si="117"/>
        <v>0.01</v>
      </c>
    </row>
    <row r="1040" spans="2:9">
      <c r="B1040" s="835" t="s">
        <v>2866</v>
      </c>
      <c r="D1040" s="697">
        <v>10072</v>
      </c>
      <c r="E1040" s="697">
        <v>596203.979</v>
      </c>
      <c r="F1040" s="697">
        <v>4</v>
      </c>
      <c r="G1040" s="852">
        <f t="shared" si="115"/>
        <v>0.0331166546654961</v>
      </c>
      <c r="H1040" s="852">
        <f t="shared" si="116"/>
        <v>0.0179643054065405</v>
      </c>
      <c r="I1040" s="836">
        <f t="shared" si="117"/>
        <v>0.04</v>
      </c>
    </row>
    <row r="1041" spans="2:9">
      <c r="B1041" s="835"/>
      <c r="C1041" s="697" t="s">
        <v>2818</v>
      </c>
      <c r="D1041" s="697">
        <v>8734</v>
      </c>
      <c r="E1041" s="697">
        <v>521681.8</v>
      </c>
      <c r="F1041" s="697">
        <v>1</v>
      </c>
      <c r="G1041" s="852">
        <f t="shared" si="115"/>
        <v>0.0287173214702585</v>
      </c>
      <c r="H1041" s="852">
        <f t="shared" si="116"/>
        <v>0.0157188672171438</v>
      </c>
      <c r="I1041" s="836">
        <f t="shared" si="117"/>
        <v>0.01</v>
      </c>
    </row>
    <row r="1042" spans="2:9">
      <c r="B1042" s="835"/>
      <c r="C1042" s="697" t="s">
        <v>2863</v>
      </c>
      <c r="D1042" s="697">
        <v>716</v>
      </c>
      <c r="E1042" s="697">
        <v>41052.359</v>
      </c>
      <c r="F1042" s="697">
        <v>2</v>
      </c>
      <c r="G1042" s="852">
        <f t="shared" si="115"/>
        <v>0.00235420221807935</v>
      </c>
      <c r="H1042" s="852">
        <f t="shared" si="116"/>
        <v>0.00123695436580597</v>
      </c>
      <c r="I1042" s="836">
        <f t="shared" si="117"/>
        <v>0.02</v>
      </c>
    </row>
    <row r="1043" spans="2:9">
      <c r="B1043" s="835"/>
      <c r="C1043" s="697" t="s">
        <v>2928</v>
      </c>
      <c r="D1043" s="697">
        <v>622</v>
      </c>
      <c r="E1043" s="697">
        <v>33469.82</v>
      </c>
      <c r="F1043" s="697">
        <v>1</v>
      </c>
      <c r="G1043" s="852">
        <f t="shared" si="115"/>
        <v>0.00204513097715832</v>
      </c>
      <c r="H1043" s="852">
        <f t="shared" si="116"/>
        <v>0.00100848382359075</v>
      </c>
      <c r="I1043" s="836">
        <f t="shared" si="117"/>
        <v>0.01</v>
      </c>
    </row>
    <row r="1044" spans="2:9">
      <c r="B1044" s="835" t="s">
        <v>2871</v>
      </c>
      <c r="D1044" s="697">
        <v>7304</v>
      </c>
      <c r="E1044" s="697">
        <v>1460474.16</v>
      </c>
      <c r="F1044" s="697">
        <v>2</v>
      </c>
      <c r="G1044" s="852">
        <f t="shared" si="115"/>
        <v>0.0240154930179491</v>
      </c>
      <c r="H1044" s="852">
        <f t="shared" si="116"/>
        <v>0.0440057510058998</v>
      </c>
      <c r="I1044" s="836">
        <f t="shared" si="117"/>
        <v>0.02</v>
      </c>
    </row>
    <row r="1045" spans="2:9">
      <c r="B1045" s="835"/>
      <c r="C1045" s="697" t="s">
        <v>3152</v>
      </c>
      <c r="D1045" s="697">
        <v>6319</v>
      </c>
      <c r="E1045" s="697">
        <v>1263484</v>
      </c>
      <c r="F1045" s="697">
        <v>1</v>
      </c>
      <c r="G1045" s="852">
        <f t="shared" si="115"/>
        <v>0.0207768209721277</v>
      </c>
      <c r="H1045" s="852">
        <f t="shared" si="116"/>
        <v>0.0380702129669575</v>
      </c>
      <c r="I1045" s="836">
        <f t="shared" si="117"/>
        <v>0.01</v>
      </c>
    </row>
    <row r="1046" spans="2:9">
      <c r="B1046" s="835"/>
      <c r="C1046" s="697" t="s">
        <v>2922</v>
      </c>
      <c r="D1046" s="697">
        <v>985</v>
      </c>
      <c r="E1046" s="697">
        <v>196990.16</v>
      </c>
      <c r="F1046" s="697">
        <v>1</v>
      </c>
      <c r="G1046" s="852">
        <f t="shared" si="115"/>
        <v>0.00323867204582146</v>
      </c>
      <c r="H1046" s="852">
        <f t="shared" si="116"/>
        <v>0.00593553803894234</v>
      </c>
      <c r="I1046" s="836">
        <f t="shared" si="117"/>
        <v>0.01</v>
      </c>
    </row>
    <row r="1047" spans="2:9">
      <c r="B1047" s="835" t="s">
        <v>2939</v>
      </c>
      <c r="D1047" s="697">
        <v>6845</v>
      </c>
      <c r="E1047" s="697">
        <v>523813.385</v>
      </c>
      <c r="F1047" s="697">
        <v>7</v>
      </c>
      <c r="G1047" s="852">
        <f t="shared" si="115"/>
        <v>0.0225063047245156</v>
      </c>
      <c r="H1047" s="852">
        <f t="shared" si="116"/>
        <v>0.0157830943026527</v>
      </c>
      <c r="I1047" s="836">
        <f t="shared" si="117"/>
        <v>0.07</v>
      </c>
    </row>
    <row r="1048" spans="2:9">
      <c r="B1048" s="835"/>
      <c r="C1048" s="697" t="s">
        <v>2818</v>
      </c>
      <c r="D1048" s="697">
        <v>5052</v>
      </c>
      <c r="E1048" s="697">
        <v>392211.119</v>
      </c>
      <c r="F1048" s="697">
        <v>5</v>
      </c>
      <c r="G1048" s="852">
        <f t="shared" si="115"/>
        <v>0.0166109352035431</v>
      </c>
      <c r="H1048" s="852">
        <f t="shared" si="116"/>
        <v>0.0118177680353204</v>
      </c>
      <c r="I1048" s="836">
        <f t="shared" si="117"/>
        <v>0.05</v>
      </c>
    </row>
    <row r="1049" spans="2:9">
      <c r="B1049" s="835"/>
      <c r="C1049" s="697" t="s">
        <v>2863</v>
      </c>
      <c r="D1049" s="697">
        <v>1793</v>
      </c>
      <c r="E1049" s="697">
        <v>131602.266</v>
      </c>
      <c r="F1049" s="697">
        <v>2</v>
      </c>
      <c r="G1049" s="852">
        <f t="shared" si="115"/>
        <v>0.00589536952097246</v>
      </c>
      <c r="H1049" s="852">
        <f t="shared" si="116"/>
        <v>0.00396532626733238</v>
      </c>
      <c r="I1049" s="836">
        <f t="shared" si="117"/>
        <v>0.02</v>
      </c>
    </row>
    <row r="1050" spans="2:9">
      <c r="B1050" s="835" t="s">
        <v>2913</v>
      </c>
      <c r="D1050" s="697">
        <v>3891</v>
      </c>
      <c r="E1050" s="697">
        <v>597582.11</v>
      </c>
      <c r="F1050" s="697">
        <v>3</v>
      </c>
      <c r="G1050" s="852">
        <f t="shared" si="115"/>
        <v>0.0127935765789759</v>
      </c>
      <c r="H1050" s="852">
        <f t="shared" si="116"/>
        <v>0.0180058300642856</v>
      </c>
      <c r="I1050" s="836">
        <f t="shared" si="117"/>
        <v>0.03</v>
      </c>
    </row>
    <row r="1051" spans="2:9">
      <c r="B1051" s="835"/>
      <c r="C1051" s="697" t="s">
        <v>2912</v>
      </c>
      <c r="D1051" s="697">
        <v>2205</v>
      </c>
      <c r="E1051" s="697">
        <v>352777.97</v>
      </c>
      <c r="F1051" s="697">
        <v>1</v>
      </c>
      <c r="G1051" s="852">
        <f t="shared" si="115"/>
        <v>0.00725002219394549</v>
      </c>
      <c r="H1051" s="852">
        <f t="shared" si="116"/>
        <v>0.0106296023122975</v>
      </c>
      <c r="I1051" s="836">
        <f t="shared" si="117"/>
        <v>0.01</v>
      </c>
    </row>
    <row r="1052" spans="2:9">
      <c r="B1052" s="835"/>
      <c r="C1052" s="697" t="s">
        <v>2818</v>
      </c>
      <c r="D1052" s="697">
        <v>872</v>
      </c>
      <c r="E1052" s="697">
        <v>113351.28</v>
      </c>
      <c r="F1052" s="697">
        <v>1</v>
      </c>
      <c r="G1052" s="852">
        <f t="shared" si="115"/>
        <v>0.00286712895833128</v>
      </c>
      <c r="H1052" s="852">
        <f t="shared" si="116"/>
        <v>0.0034154032577201</v>
      </c>
      <c r="I1052" s="836">
        <f t="shared" si="117"/>
        <v>0.01</v>
      </c>
    </row>
    <row r="1053" spans="2:9">
      <c r="B1053" s="835"/>
      <c r="C1053" s="697" t="s">
        <v>2922</v>
      </c>
      <c r="D1053" s="697">
        <v>814</v>
      </c>
      <c r="E1053" s="697">
        <v>131452.86</v>
      </c>
      <c r="F1053" s="697">
        <v>1</v>
      </c>
      <c r="G1053" s="852">
        <f t="shared" si="115"/>
        <v>0.00267642542669915</v>
      </c>
      <c r="H1053" s="852">
        <f t="shared" si="116"/>
        <v>0.00396082449426795</v>
      </c>
      <c r="I1053" s="836">
        <f t="shared" si="117"/>
        <v>0.01</v>
      </c>
    </row>
    <row r="1054" spans="2:9">
      <c r="B1054" s="835" t="s">
        <v>3006</v>
      </c>
      <c r="D1054" s="697">
        <v>3836</v>
      </c>
      <c r="E1054" s="697">
        <v>22478.96</v>
      </c>
      <c r="F1054" s="697">
        <v>1</v>
      </c>
      <c r="G1054" s="852">
        <f t="shared" si="115"/>
        <v>0.0126127370231179</v>
      </c>
      <c r="H1054" s="852">
        <f t="shared" si="116"/>
        <v>0.000677316685035757</v>
      </c>
      <c r="I1054" s="836">
        <f t="shared" si="117"/>
        <v>0.01</v>
      </c>
    </row>
    <row r="1055" spans="2:9">
      <c r="B1055" s="835"/>
      <c r="C1055" s="697" t="s">
        <v>2863</v>
      </c>
      <c r="D1055" s="697">
        <v>3836</v>
      </c>
      <c r="E1055" s="697">
        <v>22478.96</v>
      </c>
      <c r="F1055" s="697">
        <v>1</v>
      </c>
      <c r="G1055" s="852">
        <f t="shared" si="115"/>
        <v>0.0126127370231179</v>
      </c>
      <c r="H1055" s="852">
        <f t="shared" si="116"/>
        <v>0.000677316685035757</v>
      </c>
      <c r="I1055" s="836">
        <f t="shared" si="117"/>
        <v>0.01</v>
      </c>
    </row>
    <row r="1056" spans="2:9">
      <c r="B1056" s="835" t="s">
        <v>2924</v>
      </c>
      <c r="D1056" s="870">
        <v>3212</v>
      </c>
      <c r="E1056" s="870">
        <v>577089.728</v>
      </c>
      <c r="F1056" s="870">
        <v>3</v>
      </c>
      <c r="G1056" s="852">
        <f t="shared" ref="G1056:G1070" si="118">D1056/$C$150</f>
        <v>0.0105610300621102</v>
      </c>
      <c r="H1056" s="852">
        <f t="shared" ref="H1056:H1070" si="119">E1056/$D$150</f>
        <v>0.0173883712385781</v>
      </c>
      <c r="I1056" s="836">
        <f t="shared" ref="I1056:I1070" si="120">F1056/$E$150</f>
        <v>0.03</v>
      </c>
    </row>
    <row r="1057" spans="1:9">
      <c r="B1057" s="835"/>
      <c r="C1057" s="697" t="s">
        <v>2818</v>
      </c>
      <c r="D1057" s="697">
        <v>1815</v>
      </c>
      <c r="E1057" s="697">
        <v>326681.88</v>
      </c>
      <c r="F1057" s="697">
        <v>1</v>
      </c>
      <c r="G1057" s="852">
        <f t="shared" si="118"/>
        <v>0.00596770534331568</v>
      </c>
      <c r="H1057" s="852">
        <f t="shared" si="119"/>
        <v>0.00984329737776343</v>
      </c>
      <c r="I1057" s="836">
        <f t="shared" si="120"/>
        <v>0.01</v>
      </c>
    </row>
    <row r="1058" spans="1:9">
      <c r="B1058" s="835"/>
      <c r="C1058" s="697" t="s">
        <v>2912</v>
      </c>
      <c r="D1058" s="697">
        <v>1034</v>
      </c>
      <c r="E1058" s="697">
        <v>185086</v>
      </c>
      <c r="F1058" s="697">
        <v>1</v>
      </c>
      <c r="G1058" s="852">
        <f t="shared" si="118"/>
        <v>0.00339978365013136</v>
      </c>
      <c r="H1058" s="852">
        <f t="shared" si="119"/>
        <v>0.00557685213046013</v>
      </c>
      <c r="I1058" s="836">
        <f t="shared" si="120"/>
        <v>0.01</v>
      </c>
    </row>
    <row r="1059" spans="1:9">
      <c r="B1059" s="835"/>
      <c r="C1059" s="697" t="s">
        <v>2863</v>
      </c>
      <c r="D1059" s="697">
        <v>363</v>
      </c>
      <c r="E1059" s="697">
        <v>65321.848</v>
      </c>
      <c r="F1059" s="697">
        <v>1</v>
      </c>
      <c r="G1059" s="852">
        <f t="shared" si="118"/>
        <v>0.00119354106866314</v>
      </c>
      <c r="H1059" s="852">
        <f t="shared" si="119"/>
        <v>0.0019682217303545</v>
      </c>
      <c r="I1059" s="836">
        <f t="shared" si="120"/>
        <v>0.01</v>
      </c>
    </row>
    <row r="1060" spans="1:9">
      <c r="B1060" s="835" t="s">
        <v>2937</v>
      </c>
      <c r="D1060" s="697">
        <v>2527</v>
      </c>
      <c r="E1060" s="697">
        <v>318510.93</v>
      </c>
      <c r="F1060" s="697">
        <v>3</v>
      </c>
      <c r="G1060" s="852">
        <f t="shared" si="118"/>
        <v>0.00830875559369626</v>
      </c>
      <c r="H1060" s="852">
        <f t="shared" si="119"/>
        <v>0.00959709734148092</v>
      </c>
      <c r="I1060" s="836">
        <f t="shared" si="120"/>
        <v>0.03</v>
      </c>
    </row>
    <row r="1061" spans="1:9">
      <c r="B1061" s="835"/>
      <c r="C1061" s="697" t="s">
        <v>2863</v>
      </c>
      <c r="D1061" s="697">
        <v>2527</v>
      </c>
      <c r="E1061" s="697">
        <v>318510.93</v>
      </c>
      <c r="F1061" s="697">
        <v>3</v>
      </c>
      <c r="G1061" s="852">
        <f t="shared" si="118"/>
        <v>0.00830875559369626</v>
      </c>
      <c r="H1061" s="852">
        <f t="shared" si="119"/>
        <v>0.00959709734148092</v>
      </c>
      <c r="I1061" s="836">
        <f t="shared" si="120"/>
        <v>0.03</v>
      </c>
    </row>
    <row r="1062" spans="1:9">
      <c r="B1062" s="835" t="s">
        <v>2984</v>
      </c>
      <c r="D1062" s="697">
        <v>1174</v>
      </c>
      <c r="E1062" s="697">
        <v>162318.27</v>
      </c>
      <c r="F1062" s="697">
        <v>2</v>
      </c>
      <c r="G1062" s="852">
        <f t="shared" si="118"/>
        <v>0.00386010251958821</v>
      </c>
      <c r="H1062" s="852">
        <f t="shared" si="119"/>
        <v>0.00489083447620081</v>
      </c>
      <c r="I1062" s="836">
        <f t="shared" si="120"/>
        <v>0.02</v>
      </c>
    </row>
    <row r="1063" spans="1:9">
      <c r="B1063" s="835"/>
      <c r="C1063" s="697" t="s">
        <v>2818</v>
      </c>
      <c r="D1063" s="697">
        <v>768</v>
      </c>
      <c r="E1063" s="697">
        <v>107512.33</v>
      </c>
      <c r="F1063" s="697">
        <v>1</v>
      </c>
      <c r="G1063" s="852">
        <f t="shared" si="118"/>
        <v>0.00252517779816333</v>
      </c>
      <c r="H1063" s="852">
        <f t="shared" si="119"/>
        <v>0.00323946903931812</v>
      </c>
      <c r="I1063" s="836">
        <f t="shared" si="120"/>
        <v>0.01</v>
      </c>
    </row>
    <row r="1064" spans="1:9">
      <c r="B1064" s="835"/>
      <c r="C1064" s="697" t="s">
        <v>2922</v>
      </c>
      <c r="D1064" s="697">
        <v>406</v>
      </c>
      <c r="E1064" s="697">
        <v>54805.94</v>
      </c>
      <c r="F1064" s="697">
        <v>1</v>
      </c>
      <c r="G1064" s="852">
        <f t="shared" si="118"/>
        <v>0.00133492472142488</v>
      </c>
      <c r="H1064" s="852">
        <f t="shared" si="119"/>
        <v>0.00165136543688269</v>
      </c>
      <c r="I1064" s="836">
        <f t="shared" si="120"/>
        <v>0.01</v>
      </c>
    </row>
    <row r="1065" ht="17.25" spans="1:9">
      <c r="B1065" s="871" t="s">
        <v>3102</v>
      </c>
      <c r="C1065" s="799"/>
      <c r="D1065" s="799">
        <v>304137</v>
      </c>
      <c r="E1065" s="799">
        <v>33188256.685</v>
      </c>
      <c r="F1065" s="799">
        <v>100</v>
      </c>
      <c r="G1065" s="795">
        <f t="shared" si="118"/>
        <v>1</v>
      </c>
      <c r="H1065" s="795">
        <f t="shared" si="119"/>
        <v>1</v>
      </c>
      <c r="I1065" s="872">
        <f t="shared" si="120"/>
        <v>1</v>
      </c>
    </row>
    <row r="1067" ht="17.25" spans="1:9">
      <c r="A1067" s="829" t="s">
        <v>3153</v>
      </c>
      <c r="B1067" s="830" t="s">
        <v>2805</v>
      </c>
      <c r="C1067" s="831" t="s">
        <v>2796</v>
      </c>
      <c r="D1067" s="831" t="s">
        <v>3098</v>
      </c>
      <c r="E1067" s="831" t="s">
        <v>3099</v>
      </c>
      <c r="F1067" s="831" t="s">
        <v>3100</v>
      </c>
      <c r="G1067" s="833" t="s">
        <v>3022</v>
      </c>
      <c r="H1067" s="833" t="s">
        <v>3023</v>
      </c>
      <c r="I1067" s="834" t="s">
        <v>3101</v>
      </c>
    </row>
    <row r="1068" spans="1:9">
      <c r="B1068" s="835" t="s">
        <v>2820</v>
      </c>
      <c r="D1068" s="697">
        <v>62949</v>
      </c>
      <c r="E1068" s="697">
        <v>5650633.572</v>
      </c>
      <c r="F1068" s="697">
        <v>9</v>
      </c>
      <c r="G1068" s="852">
        <f t="shared" ref="G1068:G1131" si="121">D1068/$C$150</f>
        <v>0.206975803667426</v>
      </c>
      <c r="H1068" s="852">
        <f t="shared" ref="H1068:H1131" si="122">E1068/$D$150</f>
        <v>0.17026002979403</v>
      </c>
      <c r="I1068" s="836">
        <f t="shared" ref="I1068:I1131" si="123">F1068/$E$150</f>
        <v>0.09</v>
      </c>
    </row>
    <row r="1069" spans="1:9">
      <c r="B1069" s="835"/>
      <c r="C1069" s="697" t="s">
        <v>2812</v>
      </c>
      <c r="D1069" s="697">
        <v>60563</v>
      </c>
      <c r="E1069" s="697">
        <v>5431225.582</v>
      </c>
      <c r="F1069" s="697">
        <v>6</v>
      </c>
      <c r="G1069" s="852">
        <f t="shared" si="121"/>
        <v>0.199130654935111</v>
      </c>
      <c r="H1069" s="852">
        <f t="shared" si="122"/>
        <v>0.163649016986624</v>
      </c>
      <c r="I1069" s="836">
        <f t="shared" si="123"/>
        <v>0.06</v>
      </c>
    </row>
    <row r="1070" spans="1:9">
      <c r="B1070" s="835"/>
      <c r="C1070" s="697" t="s">
        <v>2836</v>
      </c>
      <c r="D1070" s="697">
        <v>2386</v>
      </c>
      <c r="E1070" s="697">
        <v>219407.99</v>
      </c>
      <c r="F1070" s="697">
        <v>3</v>
      </c>
      <c r="G1070" s="852">
        <f t="shared" si="121"/>
        <v>0.00784514873231471</v>
      </c>
      <c r="H1070" s="852">
        <f t="shared" si="122"/>
        <v>0.00661101280740561</v>
      </c>
      <c r="I1070" s="836">
        <f t="shared" si="123"/>
        <v>0.03</v>
      </c>
    </row>
    <row r="1071" spans="1:9">
      <c r="B1071" s="835" t="s">
        <v>2840</v>
      </c>
      <c r="D1071" s="697">
        <v>47906</v>
      </c>
      <c r="E1071" s="697">
        <v>5244223.682</v>
      </c>
      <c r="F1071" s="697">
        <v>9</v>
      </c>
      <c r="G1071" s="852">
        <f t="shared" si="121"/>
        <v>0.157514541144287</v>
      </c>
      <c r="H1071" s="852">
        <f t="shared" si="122"/>
        <v>0.15801443660553</v>
      </c>
      <c r="I1071" s="836">
        <f t="shared" si="123"/>
        <v>0.09</v>
      </c>
    </row>
    <row r="1072" spans="1:9">
      <c r="B1072" s="835"/>
      <c r="C1072" s="697" t="s">
        <v>2812</v>
      </c>
      <c r="D1072" s="697">
        <v>34582</v>
      </c>
      <c r="E1072" s="697">
        <v>3779208.722</v>
      </c>
      <c r="F1072" s="697">
        <v>7</v>
      </c>
      <c r="G1072" s="852">
        <f t="shared" si="121"/>
        <v>0.113705336739693</v>
      </c>
      <c r="H1072" s="852">
        <f t="shared" si="122"/>
        <v>0.113871866120286</v>
      </c>
      <c r="I1072" s="836">
        <f t="shared" si="123"/>
        <v>0.07</v>
      </c>
    </row>
    <row r="1073" spans="2:9">
      <c r="B1073" s="835"/>
      <c r="C1073" s="697" t="s">
        <v>2836</v>
      </c>
      <c r="D1073" s="697">
        <v>13324</v>
      </c>
      <c r="E1073" s="697">
        <v>1465014.96</v>
      </c>
      <c r="F1073" s="697">
        <v>2</v>
      </c>
      <c r="G1073" s="852">
        <f t="shared" si="121"/>
        <v>0.043809204404594</v>
      </c>
      <c r="H1073" s="852">
        <f t="shared" si="122"/>
        <v>0.0441425704852445</v>
      </c>
      <c r="I1073" s="836">
        <f t="shared" si="123"/>
        <v>0.02</v>
      </c>
    </row>
    <row r="1074" spans="2:9">
      <c r="B1074" s="835" t="s">
        <v>2830</v>
      </c>
      <c r="D1074" s="697">
        <v>30081</v>
      </c>
      <c r="E1074" s="697">
        <v>2536849.225</v>
      </c>
      <c r="F1074" s="697">
        <v>7</v>
      </c>
      <c r="G1074" s="852">
        <f t="shared" si="121"/>
        <v>0.098906085086655</v>
      </c>
      <c r="H1074" s="852">
        <f t="shared" si="122"/>
        <v>0.0764381585052213</v>
      </c>
      <c r="I1074" s="836">
        <f t="shared" si="123"/>
        <v>0.07</v>
      </c>
    </row>
    <row r="1075" spans="2:9">
      <c r="B1075" s="835"/>
      <c r="C1075" s="697" t="s">
        <v>2812</v>
      </c>
      <c r="D1075" s="697">
        <v>28328</v>
      </c>
      <c r="E1075" s="697">
        <v>2361566.755</v>
      </c>
      <c r="F1075" s="697">
        <v>5</v>
      </c>
      <c r="G1075" s="852">
        <f t="shared" si="121"/>
        <v>0.0931422352426702</v>
      </c>
      <c r="H1075" s="852">
        <f t="shared" si="122"/>
        <v>0.0711566979071652</v>
      </c>
      <c r="I1075" s="836">
        <f t="shared" si="123"/>
        <v>0.05</v>
      </c>
    </row>
    <row r="1076" spans="2:9">
      <c r="B1076" s="835"/>
      <c r="C1076" s="697" t="s">
        <v>2836</v>
      </c>
      <c r="D1076" s="697">
        <v>936</v>
      </c>
      <c r="E1076" s="697">
        <v>93590.64</v>
      </c>
      <c r="F1076" s="697">
        <v>1</v>
      </c>
      <c r="G1076" s="852">
        <f t="shared" si="121"/>
        <v>0.00307756044151156</v>
      </c>
      <c r="H1076" s="852">
        <f t="shared" si="122"/>
        <v>0.00281999265247035</v>
      </c>
      <c r="I1076" s="836">
        <f t="shared" si="123"/>
        <v>0.01</v>
      </c>
    </row>
    <row r="1077" spans="2:9">
      <c r="B1077" s="835"/>
      <c r="C1077" s="697" t="s">
        <v>2904</v>
      </c>
      <c r="D1077" s="697">
        <v>817</v>
      </c>
      <c r="E1077" s="697">
        <v>81691.83</v>
      </c>
      <c r="F1077" s="697">
        <v>1</v>
      </c>
      <c r="G1077" s="852">
        <f t="shared" si="121"/>
        <v>0.00268628940247323</v>
      </c>
      <c r="H1077" s="852">
        <f t="shared" si="122"/>
        <v>0.00246146794558577</v>
      </c>
      <c r="I1077" s="836">
        <f t="shared" si="123"/>
        <v>0.01</v>
      </c>
    </row>
    <row r="1078" spans="2:9">
      <c r="B1078" s="835" t="s">
        <v>2916</v>
      </c>
      <c r="D1078" s="697">
        <v>22156</v>
      </c>
      <c r="E1078" s="697">
        <v>1094253.623</v>
      </c>
      <c r="F1078" s="697">
        <v>6</v>
      </c>
      <c r="G1078" s="852">
        <f t="shared" si="121"/>
        <v>0.0728487490834722</v>
      </c>
      <c r="H1078" s="852">
        <f t="shared" si="122"/>
        <v>0.0329711088288216</v>
      </c>
      <c r="I1078" s="836">
        <f t="shared" si="123"/>
        <v>0.06</v>
      </c>
    </row>
    <row r="1079" spans="2:9">
      <c r="B1079" s="835"/>
      <c r="C1079" s="697" t="s">
        <v>2812</v>
      </c>
      <c r="D1079" s="697">
        <v>22156</v>
      </c>
      <c r="E1079" s="697">
        <v>1094253.623</v>
      </c>
      <c r="F1079" s="697">
        <v>6</v>
      </c>
      <c r="G1079" s="852">
        <f t="shared" si="121"/>
        <v>0.0728487490834722</v>
      </c>
      <c r="H1079" s="852">
        <f t="shared" si="122"/>
        <v>0.0329711088288216</v>
      </c>
      <c r="I1079" s="836">
        <f t="shared" si="123"/>
        <v>0.06</v>
      </c>
    </row>
    <row r="1080" spans="2:9">
      <c r="B1080" s="835" t="s">
        <v>2857</v>
      </c>
      <c r="D1080" s="697">
        <v>21766</v>
      </c>
      <c r="E1080" s="697">
        <v>4931042.56</v>
      </c>
      <c r="F1080" s="697">
        <v>7</v>
      </c>
      <c r="G1080" s="852">
        <f t="shared" si="121"/>
        <v>0.0715664322328424</v>
      </c>
      <c r="H1080" s="852">
        <f t="shared" si="122"/>
        <v>0.1485779324537</v>
      </c>
      <c r="I1080" s="836">
        <f t="shared" si="123"/>
        <v>0.07</v>
      </c>
    </row>
    <row r="1081" spans="2:9">
      <c r="B1081" s="835"/>
      <c r="C1081" s="697" t="s">
        <v>2855</v>
      </c>
      <c r="D1081" s="697">
        <v>11474</v>
      </c>
      <c r="E1081" s="697">
        <v>2294685.2</v>
      </c>
      <c r="F1081" s="697">
        <v>1</v>
      </c>
      <c r="G1081" s="852">
        <f t="shared" si="121"/>
        <v>0.0377264193439141</v>
      </c>
      <c r="H1081" s="852">
        <f t="shared" si="122"/>
        <v>0.0691414804272357</v>
      </c>
      <c r="I1081" s="836">
        <f t="shared" si="123"/>
        <v>0.01</v>
      </c>
    </row>
    <row r="1082" spans="2:9">
      <c r="B1082" s="835"/>
      <c r="C1082" s="697" t="s">
        <v>2812</v>
      </c>
      <c r="D1082" s="697">
        <v>3982</v>
      </c>
      <c r="E1082" s="697">
        <v>882888.98</v>
      </c>
      <c r="F1082" s="697">
        <v>2</v>
      </c>
      <c r="G1082" s="852">
        <f t="shared" si="121"/>
        <v>0.0130927838441229</v>
      </c>
      <c r="H1082" s="852">
        <f t="shared" si="122"/>
        <v>0.0266024512338738</v>
      </c>
      <c r="I1082" s="836">
        <f t="shared" si="123"/>
        <v>0.02</v>
      </c>
    </row>
    <row r="1083" spans="2:9">
      <c r="B1083" s="835"/>
      <c r="C1083" s="697" t="s">
        <v>2836</v>
      </c>
      <c r="D1083" s="697">
        <v>3340</v>
      </c>
      <c r="E1083" s="697">
        <v>895138.38</v>
      </c>
      <c r="F1083" s="697">
        <v>3</v>
      </c>
      <c r="G1083" s="852">
        <f t="shared" si="121"/>
        <v>0.0109818930284707</v>
      </c>
      <c r="H1083" s="852">
        <f t="shared" si="122"/>
        <v>0.0269715396170409</v>
      </c>
      <c r="I1083" s="836">
        <f t="shared" si="123"/>
        <v>0.03</v>
      </c>
    </row>
    <row r="1084" spans="2:9">
      <c r="B1084" s="835"/>
      <c r="C1084" s="697" t="s">
        <v>2893</v>
      </c>
      <c r="D1084" s="697">
        <v>2970</v>
      </c>
      <c r="E1084" s="697">
        <v>858330</v>
      </c>
      <c r="F1084" s="697">
        <v>1</v>
      </c>
      <c r="G1084" s="852">
        <f t="shared" si="121"/>
        <v>0.00976533601633474</v>
      </c>
      <c r="H1084" s="852">
        <f t="shared" si="122"/>
        <v>0.02586246117555</v>
      </c>
      <c r="I1084" s="836">
        <f t="shared" si="123"/>
        <v>0.01</v>
      </c>
    </row>
    <row r="1085" spans="2:9">
      <c r="B1085" s="835" t="s">
        <v>2882</v>
      </c>
      <c r="D1085" s="697">
        <v>20334</v>
      </c>
      <c r="E1085" s="697">
        <v>1415899.706</v>
      </c>
      <c r="F1085" s="697">
        <v>10</v>
      </c>
      <c r="G1085" s="852">
        <f t="shared" si="121"/>
        <v>0.0668580277966837</v>
      </c>
      <c r="H1085" s="852">
        <f t="shared" si="122"/>
        <v>0.042662671903461</v>
      </c>
      <c r="I1085" s="836">
        <f t="shared" si="123"/>
        <v>0.1</v>
      </c>
    </row>
    <row r="1086" spans="2:9">
      <c r="B1086" s="835"/>
      <c r="C1086" s="697" t="s">
        <v>2812</v>
      </c>
      <c r="D1086" s="697">
        <v>18029</v>
      </c>
      <c r="E1086" s="697">
        <v>1254572.766</v>
      </c>
      <c r="F1086" s="697">
        <v>9</v>
      </c>
      <c r="G1086" s="852">
        <f t="shared" si="121"/>
        <v>0.0592792064102691</v>
      </c>
      <c r="H1086" s="852">
        <f t="shared" si="122"/>
        <v>0.0378017073300215</v>
      </c>
      <c r="I1086" s="836">
        <f t="shared" si="123"/>
        <v>0.09</v>
      </c>
    </row>
    <row r="1087" spans="2:9">
      <c r="B1087" s="835"/>
      <c r="C1087" s="697" t="s">
        <v>2836</v>
      </c>
      <c r="D1087" s="697">
        <v>2305</v>
      </c>
      <c r="E1087" s="697">
        <v>161326.94</v>
      </c>
      <c r="F1087" s="697">
        <v>1</v>
      </c>
      <c r="G1087" s="852">
        <f t="shared" si="121"/>
        <v>0.00757882138641467</v>
      </c>
      <c r="H1087" s="852">
        <f t="shared" si="122"/>
        <v>0.00486096457343945</v>
      </c>
      <c r="I1087" s="836">
        <f t="shared" si="123"/>
        <v>0.01</v>
      </c>
    </row>
    <row r="1088" spans="2:9">
      <c r="B1088" s="835" t="s">
        <v>2880</v>
      </c>
      <c r="D1088" s="870">
        <v>13945</v>
      </c>
      <c r="E1088" s="870">
        <v>2760257.51</v>
      </c>
      <c r="F1088" s="870">
        <v>5</v>
      </c>
      <c r="G1088" s="852">
        <f t="shared" si="121"/>
        <v>0.0458510473898276</v>
      </c>
      <c r="H1088" s="852">
        <f t="shared" si="122"/>
        <v>0.0831697047602848</v>
      </c>
      <c r="I1088" s="836">
        <f t="shared" si="123"/>
        <v>0.05</v>
      </c>
    </row>
    <row r="1089" spans="2:9">
      <c r="B1089" s="835"/>
      <c r="C1089" s="697" t="s">
        <v>2812</v>
      </c>
      <c r="D1089" s="697">
        <v>11560</v>
      </c>
      <c r="E1089" s="697">
        <v>2287531.35</v>
      </c>
      <c r="F1089" s="697">
        <v>3</v>
      </c>
      <c r="G1089" s="852">
        <f t="shared" si="121"/>
        <v>0.0380091866494376</v>
      </c>
      <c r="H1089" s="852">
        <f t="shared" si="122"/>
        <v>0.0689259267731857</v>
      </c>
      <c r="I1089" s="836">
        <f t="shared" si="123"/>
        <v>0.03</v>
      </c>
    </row>
    <row r="1090" spans="2:9">
      <c r="B1090" s="835"/>
      <c r="C1090" s="697" t="s">
        <v>2836</v>
      </c>
      <c r="D1090" s="697">
        <v>2385</v>
      </c>
      <c r="E1090" s="697">
        <v>472726.16</v>
      </c>
      <c r="F1090" s="697">
        <v>2</v>
      </c>
      <c r="G1090" s="852">
        <f t="shared" si="121"/>
        <v>0.00784186074039002</v>
      </c>
      <c r="H1090" s="852">
        <f t="shared" si="122"/>
        <v>0.0142437779870992</v>
      </c>
      <c r="I1090" s="836">
        <f t="shared" si="123"/>
        <v>0.02</v>
      </c>
    </row>
    <row r="1091" spans="2:9">
      <c r="B1091" s="835" t="s">
        <v>2887</v>
      </c>
      <c r="D1091" s="697">
        <v>13332</v>
      </c>
      <c r="E1091" s="697">
        <v>1910386.67</v>
      </c>
      <c r="F1091" s="697">
        <v>6</v>
      </c>
      <c r="G1091" s="852">
        <f t="shared" si="121"/>
        <v>0.0438355083399915</v>
      </c>
      <c r="H1091" s="852">
        <f t="shared" si="122"/>
        <v>0.0575621277168027</v>
      </c>
      <c r="I1091" s="836">
        <f t="shared" si="123"/>
        <v>0.06</v>
      </c>
    </row>
    <row r="1092" spans="2:9">
      <c r="B1092" s="835"/>
      <c r="C1092" s="697" t="s">
        <v>2812</v>
      </c>
      <c r="D1092" s="697">
        <v>9067</v>
      </c>
      <c r="E1092" s="697">
        <v>1270679.31</v>
      </c>
      <c r="F1092" s="697">
        <v>2</v>
      </c>
      <c r="G1092" s="852">
        <f t="shared" si="121"/>
        <v>0.0298122227811808</v>
      </c>
      <c r="H1092" s="852">
        <f t="shared" si="122"/>
        <v>0.0382870158580612</v>
      </c>
      <c r="I1092" s="836">
        <f t="shared" si="123"/>
        <v>0.02</v>
      </c>
    </row>
    <row r="1093" spans="2:9">
      <c r="B1093" s="835"/>
      <c r="C1093" s="697" t="s">
        <v>2836</v>
      </c>
      <c r="D1093" s="697">
        <v>4265</v>
      </c>
      <c r="E1093" s="697">
        <v>639707.36</v>
      </c>
      <c r="F1093" s="697">
        <v>4</v>
      </c>
      <c r="G1093" s="852">
        <f t="shared" si="121"/>
        <v>0.0140232855588107</v>
      </c>
      <c r="H1093" s="852">
        <f t="shared" si="122"/>
        <v>0.0192751118587415</v>
      </c>
      <c r="I1093" s="836">
        <f t="shared" si="123"/>
        <v>0.04</v>
      </c>
    </row>
    <row r="1094" spans="2:9">
      <c r="B1094" s="835" t="s">
        <v>2864</v>
      </c>
      <c r="D1094" s="697">
        <v>11434</v>
      </c>
      <c r="E1094" s="697">
        <v>451119.21</v>
      </c>
      <c r="F1094" s="697">
        <v>5</v>
      </c>
      <c r="G1094" s="852">
        <f t="shared" si="121"/>
        <v>0.0375948996669264</v>
      </c>
      <c r="H1094" s="852">
        <f t="shared" si="122"/>
        <v>0.0135927359572307</v>
      </c>
      <c r="I1094" s="836">
        <f t="shared" si="123"/>
        <v>0.05</v>
      </c>
    </row>
    <row r="1095" spans="2:9">
      <c r="B1095" s="835"/>
      <c r="C1095" s="697" t="s">
        <v>2812</v>
      </c>
      <c r="D1095" s="697">
        <v>11434</v>
      </c>
      <c r="E1095" s="697">
        <v>451119.21</v>
      </c>
      <c r="F1095" s="697">
        <v>5</v>
      </c>
      <c r="G1095" s="852">
        <f t="shared" si="121"/>
        <v>0.0375948996669264</v>
      </c>
      <c r="H1095" s="852">
        <f t="shared" si="122"/>
        <v>0.0135927359572307</v>
      </c>
      <c r="I1095" s="836">
        <f t="shared" si="123"/>
        <v>0.05</v>
      </c>
    </row>
    <row r="1096" spans="2:9">
      <c r="B1096" s="835" t="s">
        <v>2906</v>
      </c>
      <c r="D1096" s="697">
        <v>11125</v>
      </c>
      <c r="E1096" s="697">
        <v>1296486.805</v>
      </c>
      <c r="F1096" s="697">
        <v>8</v>
      </c>
      <c r="G1096" s="852">
        <f t="shared" si="121"/>
        <v>0.0365789101621966</v>
      </c>
      <c r="H1096" s="852">
        <f t="shared" si="122"/>
        <v>0.0390646250963212</v>
      </c>
      <c r="I1096" s="836">
        <f t="shared" si="123"/>
        <v>0.08</v>
      </c>
    </row>
    <row r="1097" spans="2:9">
      <c r="B1097" s="835"/>
      <c r="C1097" s="697" t="s">
        <v>2812</v>
      </c>
      <c r="D1097" s="697">
        <v>5760</v>
      </c>
      <c r="E1097" s="697">
        <v>688401.47</v>
      </c>
      <c r="F1097" s="697">
        <v>4</v>
      </c>
      <c r="G1097" s="852">
        <f t="shared" si="121"/>
        <v>0.018938833486225</v>
      </c>
      <c r="H1097" s="852">
        <f t="shared" si="122"/>
        <v>0.0207423208918091</v>
      </c>
      <c r="I1097" s="836">
        <f t="shared" si="123"/>
        <v>0.04</v>
      </c>
    </row>
    <row r="1098" spans="2:9">
      <c r="B1098" s="835"/>
      <c r="C1098" s="697" t="s">
        <v>2904</v>
      </c>
      <c r="D1098" s="697">
        <v>4765</v>
      </c>
      <c r="E1098" s="697">
        <v>536091.335</v>
      </c>
      <c r="F1098" s="697">
        <v>3</v>
      </c>
      <c r="G1098" s="852">
        <f t="shared" si="121"/>
        <v>0.0156672815211566</v>
      </c>
      <c r="H1098" s="852">
        <f t="shared" si="122"/>
        <v>0.0161530429298595</v>
      </c>
      <c r="I1098" s="836">
        <f t="shared" si="123"/>
        <v>0.03</v>
      </c>
    </row>
    <row r="1099" spans="2:9">
      <c r="B1099" s="835"/>
      <c r="C1099" s="697" t="s">
        <v>2836</v>
      </c>
      <c r="D1099" s="697">
        <v>600</v>
      </c>
      <c r="E1099" s="697">
        <v>71994</v>
      </c>
      <c r="F1099" s="697">
        <v>1</v>
      </c>
      <c r="G1099" s="852">
        <f t="shared" si="121"/>
        <v>0.0019727951548151</v>
      </c>
      <c r="H1099" s="852">
        <f t="shared" si="122"/>
        <v>0.00216926127465258</v>
      </c>
      <c r="I1099" s="836">
        <f t="shared" si="123"/>
        <v>0.01</v>
      </c>
    </row>
    <row r="1100" spans="2:9">
      <c r="B1100" s="835" t="s">
        <v>2890</v>
      </c>
      <c r="D1100" s="697">
        <v>10248</v>
      </c>
      <c r="E1100" s="697">
        <v>1638632.6</v>
      </c>
      <c r="F1100" s="697">
        <v>3</v>
      </c>
      <c r="G1100" s="852">
        <f t="shared" si="121"/>
        <v>0.0336953412442419</v>
      </c>
      <c r="H1100" s="852">
        <f t="shared" si="122"/>
        <v>0.0493738678579224</v>
      </c>
      <c r="I1100" s="836">
        <f t="shared" si="123"/>
        <v>0.03</v>
      </c>
    </row>
    <row r="1101" spans="2:9">
      <c r="B1101" s="835"/>
      <c r="C1101" s="697" t="s">
        <v>2812</v>
      </c>
      <c r="D1101" s="697">
        <v>5320</v>
      </c>
      <c r="E1101" s="697">
        <v>850934</v>
      </c>
      <c r="F1101" s="697">
        <v>1</v>
      </c>
      <c r="G1101" s="852">
        <f t="shared" si="121"/>
        <v>0.0174921170393606</v>
      </c>
      <c r="H1101" s="852">
        <f t="shared" si="122"/>
        <v>0.0256396112660113</v>
      </c>
      <c r="I1101" s="836">
        <f t="shared" si="123"/>
        <v>0.01</v>
      </c>
    </row>
    <row r="1102" spans="2:9">
      <c r="B1102" s="835"/>
      <c r="C1102" s="697" t="s">
        <v>2836</v>
      </c>
      <c r="D1102" s="697">
        <v>4928</v>
      </c>
      <c r="E1102" s="697">
        <v>787698.6</v>
      </c>
      <c r="F1102" s="697">
        <v>2</v>
      </c>
      <c r="G1102" s="852">
        <f t="shared" si="121"/>
        <v>0.0162032242048814</v>
      </c>
      <c r="H1102" s="852">
        <f t="shared" si="122"/>
        <v>0.0237342565919111</v>
      </c>
      <c r="I1102" s="836">
        <f t="shared" si="123"/>
        <v>0.02</v>
      </c>
    </row>
    <row r="1103" spans="2:9">
      <c r="B1103" s="835" t="s">
        <v>2866</v>
      </c>
      <c r="D1103" s="697">
        <v>10072</v>
      </c>
      <c r="E1103" s="697">
        <v>596203.979</v>
      </c>
      <c r="F1103" s="697">
        <v>4</v>
      </c>
      <c r="G1103" s="852">
        <f t="shared" si="121"/>
        <v>0.0331166546654961</v>
      </c>
      <c r="H1103" s="852">
        <f t="shared" si="122"/>
        <v>0.0179643054065405</v>
      </c>
      <c r="I1103" s="836">
        <f t="shared" si="123"/>
        <v>0.04</v>
      </c>
    </row>
    <row r="1104" spans="2:9">
      <c r="B1104" s="835"/>
      <c r="C1104" s="697" t="s">
        <v>2812</v>
      </c>
      <c r="D1104" s="697">
        <v>10072</v>
      </c>
      <c r="E1104" s="697">
        <v>596203.979</v>
      </c>
      <c r="F1104" s="697">
        <v>4</v>
      </c>
      <c r="G1104" s="852">
        <f t="shared" si="121"/>
        <v>0.0331166546654961</v>
      </c>
      <c r="H1104" s="852">
        <f t="shared" si="122"/>
        <v>0.0179643054065405</v>
      </c>
      <c r="I1104" s="836">
        <f t="shared" si="123"/>
        <v>0.04</v>
      </c>
    </row>
    <row r="1105" spans="2:9">
      <c r="B1105" s="835" t="s">
        <v>2871</v>
      </c>
      <c r="D1105" s="697">
        <v>7304</v>
      </c>
      <c r="E1105" s="697">
        <v>1460474.16</v>
      </c>
      <c r="F1105" s="697">
        <v>2</v>
      </c>
      <c r="G1105" s="852">
        <f t="shared" si="121"/>
        <v>0.0240154930179491</v>
      </c>
      <c r="H1105" s="852">
        <f t="shared" si="122"/>
        <v>0.0440057510058998</v>
      </c>
      <c r="I1105" s="836">
        <f t="shared" si="123"/>
        <v>0.02</v>
      </c>
    </row>
    <row r="1106" spans="2:9">
      <c r="B1106" s="835"/>
      <c r="C1106" s="697" t="s">
        <v>2855</v>
      </c>
      <c r="D1106" s="697">
        <v>6319</v>
      </c>
      <c r="E1106" s="697">
        <v>1263484</v>
      </c>
      <c r="F1106" s="697">
        <v>1</v>
      </c>
      <c r="G1106" s="852">
        <f t="shared" si="121"/>
        <v>0.0207768209721277</v>
      </c>
      <c r="H1106" s="852">
        <f t="shared" si="122"/>
        <v>0.0380702129669575</v>
      </c>
      <c r="I1106" s="836">
        <f t="shared" si="123"/>
        <v>0.01</v>
      </c>
    </row>
    <row r="1107" spans="2:9">
      <c r="B1107" s="835"/>
      <c r="C1107" s="697" t="s">
        <v>2836</v>
      </c>
      <c r="D1107" s="697">
        <v>985</v>
      </c>
      <c r="E1107" s="697">
        <v>196990.16</v>
      </c>
      <c r="F1107" s="697">
        <v>1</v>
      </c>
      <c r="G1107" s="852">
        <f t="shared" si="121"/>
        <v>0.00323867204582146</v>
      </c>
      <c r="H1107" s="852">
        <f t="shared" si="122"/>
        <v>0.00593553803894234</v>
      </c>
      <c r="I1107" s="836">
        <f t="shared" si="123"/>
        <v>0.01</v>
      </c>
    </row>
    <row r="1108" spans="2:9">
      <c r="B1108" s="835" t="s">
        <v>2939</v>
      </c>
      <c r="D1108" s="697">
        <v>6845</v>
      </c>
      <c r="E1108" s="697">
        <v>523813.385</v>
      </c>
      <c r="F1108" s="697">
        <v>7</v>
      </c>
      <c r="G1108" s="852">
        <f t="shared" si="121"/>
        <v>0.0225063047245156</v>
      </c>
      <c r="H1108" s="852">
        <f t="shared" si="122"/>
        <v>0.0157830943026527</v>
      </c>
      <c r="I1108" s="836">
        <f t="shared" si="123"/>
        <v>0.07</v>
      </c>
    </row>
    <row r="1109" spans="2:9">
      <c r="B1109" s="835"/>
      <c r="C1109" s="697" t="s">
        <v>2812</v>
      </c>
      <c r="D1109" s="697">
        <v>4915</v>
      </c>
      <c r="E1109" s="697">
        <v>363542.689</v>
      </c>
      <c r="F1109" s="697">
        <v>5</v>
      </c>
      <c r="G1109" s="852">
        <f t="shared" si="121"/>
        <v>0.0161604803098604</v>
      </c>
      <c r="H1109" s="852">
        <f t="shared" si="122"/>
        <v>0.0109539555647799</v>
      </c>
      <c r="I1109" s="836">
        <f t="shared" si="123"/>
        <v>0.05</v>
      </c>
    </row>
    <row r="1110" spans="2:9">
      <c r="B1110" s="835"/>
      <c r="C1110" s="697" t="s">
        <v>2836</v>
      </c>
      <c r="D1110" s="697">
        <v>1341</v>
      </c>
      <c r="E1110" s="697">
        <v>107266.586</v>
      </c>
      <c r="F1110" s="697">
        <v>1</v>
      </c>
      <c r="G1110" s="852">
        <f t="shared" si="121"/>
        <v>0.00440919717101175</v>
      </c>
      <c r="H1110" s="852">
        <f t="shared" si="122"/>
        <v>0.00323206449251313</v>
      </c>
      <c r="I1110" s="836">
        <f t="shared" si="123"/>
        <v>0.01</v>
      </c>
    </row>
    <row r="1111" spans="2:9">
      <c r="B1111" s="835"/>
      <c r="C1111" s="697" t="s">
        <v>2904</v>
      </c>
      <c r="D1111" s="697">
        <v>589</v>
      </c>
      <c r="E1111" s="697">
        <v>53004.11</v>
      </c>
      <c r="F1111" s="697">
        <v>1</v>
      </c>
      <c r="G1111" s="852">
        <f t="shared" si="121"/>
        <v>0.00193662724364349</v>
      </c>
      <c r="H1111" s="852">
        <f t="shared" si="122"/>
        <v>0.00159707424535969</v>
      </c>
      <c r="I1111" s="836">
        <f t="shared" si="123"/>
        <v>0.01</v>
      </c>
    </row>
    <row r="1112" spans="2:9">
      <c r="B1112" s="835" t="s">
        <v>2913</v>
      </c>
      <c r="D1112" s="697">
        <v>3891</v>
      </c>
      <c r="E1112" s="697">
        <v>597582.11</v>
      </c>
      <c r="F1112" s="697">
        <v>3</v>
      </c>
      <c r="G1112" s="852">
        <f t="shared" si="121"/>
        <v>0.0127935765789759</v>
      </c>
      <c r="H1112" s="852">
        <f t="shared" si="122"/>
        <v>0.0180058300642856</v>
      </c>
      <c r="I1112" s="836">
        <f t="shared" si="123"/>
        <v>0.03</v>
      </c>
    </row>
    <row r="1113" spans="2:9">
      <c r="B1113" s="835"/>
      <c r="C1113" s="697" t="s">
        <v>2836</v>
      </c>
      <c r="D1113" s="697">
        <v>3891</v>
      </c>
      <c r="E1113" s="697">
        <v>597582.11</v>
      </c>
      <c r="F1113" s="697">
        <v>3</v>
      </c>
      <c r="G1113" s="852">
        <f t="shared" si="121"/>
        <v>0.0127935765789759</v>
      </c>
      <c r="H1113" s="852">
        <f t="shared" si="122"/>
        <v>0.0180058300642856</v>
      </c>
      <c r="I1113" s="836">
        <f t="shared" si="123"/>
        <v>0.03</v>
      </c>
    </row>
    <row r="1114" spans="2:9">
      <c r="B1114" s="835" t="s">
        <v>3006</v>
      </c>
      <c r="D1114" s="697">
        <v>3836</v>
      </c>
      <c r="E1114" s="697">
        <v>22478.96</v>
      </c>
      <c r="F1114" s="697">
        <v>1</v>
      </c>
      <c r="G1114" s="852">
        <f t="shared" si="121"/>
        <v>0.0126127370231179</v>
      </c>
      <c r="H1114" s="852">
        <f t="shared" si="122"/>
        <v>0.000677316685035757</v>
      </c>
      <c r="I1114" s="836">
        <f t="shared" si="123"/>
        <v>0.01</v>
      </c>
    </row>
    <row r="1115" spans="2:9">
      <c r="B1115" s="835"/>
      <c r="C1115" s="697" t="s">
        <v>2812</v>
      </c>
      <c r="D1115" s="697">
        <v>3836</v>
      </c>
      <c r="E1115" s="697">
        <v>22478.96</v>
      </c>
      <c r="F1115" s="697">
        <v>1</v>
      </c>
      <c r="G1115" s="852">
        <f t="shared" si="121"/>
        <v>0.0126127370231179</v>
      </c>
      <c r="H1115" s="852">
        <f t="shared" si="122"/>
        <v>0.000677316685035757</v>
      </c>
      <c r="I1115" s="836">
        <f t="shared" si="123"/>
        <v>0.01</v>
      </c>
    </row>
    <row r="1116" spans="2:9">
      <c r="B1116" s="835" t="s">
        <v>2924</v>
      </c>
      <c r="D1116" s="870">
        <v>3212</v>
      </c>
      <c r="E1116" s="870">
        <v>577089.728</v>
      </c>
      <c r="F1116" s="870">
        <v>3</v>
      </c>
      <c r="G1116" s="852">
        <f t="shared" si="121"/>
        <v>0.0105610300621102</v>
      </c>
      <c r="H1116" s="852">
        <f t="shared" si="122"/>
        <v>0.0173883712385781</v>
      </c>
      <c r="I1116" s="836">
        <f t="shared" si="123"/>
        <v>0.03</v>
      </c>
    </row>
    <row r="1117" spans="2:9">
      <c r="B1117" s="835"/>
      <c r="C1117" s="697" t="s">
        <v>2812</v>
      </c>
      <c r="D1117" s="697">
        <v>2178</v>
      </c>
      <c r="E1117" s="697">
        <v>392003.728</v>
      </c>
      <c r="F1117" s="697">
        <v>2</v>
      </c>
      <c r="G1117" s="852">
        <f t="shared" si="121"/>
        <v>0.00716124641197881</v>
      </c>
      <c r="H1117" s="852">
        <f t="shared" si="122"/>
        <v>0.0118115191081179</v>
      </c>
      <c r="I1117" s="836">
        <f t="shared" si="123"/>
        <v>0.02</v>
      </c>
    </row>
    <row r="1118" spans="2:9">
      <c r="B1118" s="835"/>
      <c r="C1118" s="697" t="s">
        <v>2923</v>
      </c>
      <c r="D1118" s="697">
        <v>1034</v>
      </c>
      <c r="E1118" s="697">
        <v>185086</v>
      </c>
      <c r="F1118" s="697">
        <v>1</v>
      </c>
      <c r="G1118" s="852">
        <f t="shared" si="121"/>
        <v>0.00339978365013136</v>
      </c>
      <c r="H1118" s="852">
        <f t="shared" si="122"/>
        <v>0.00557685213046013</v>
      </c>
      <c r="I1118" s="836">
        <f t="shared" si="123"/>
        <v>0.01</v>
      </c>
    </row>
    <row r="1119" spans="2:9">
      <c r="B1119" s="835" t="s">
        <v>2937</v>
      </c>
      <c r="D1119" s="697">
        <v>2527</v>
      </c>
      <c r="E1119" s="697">
        <v>318510.93</v>
      </c>
      <c r="F1119" s="697">
        <v>3</v>
      </c>
      <c r="G1119" s="852">
        <f t="shared" si="121"/>
        <v>0.00830875559369626</v>
      </c>
      <c r="H1119" s="852">
        <f t="shared" si="122"/>
        <v>0.00959709734148092</v>
      </c>
      <c r="I1119" s="836">
        <f t="shared" si="123"/>
        <v>0.03</v>
      </c>
    </row>
    <row r="1120" spans="2:9">
      <c r="B1120" s="835"/>
      <c r="C1120" s="697" t="s">
        <v>2836</v>
      </c>
      <c r="D1120" s="697">
        <v>2527</v>
      </c>
      <c r="E1120" s="697">
        <v>318510.93</v>
      </c>
      <c r="F1120" s="697">
        <v>3</v>
      </c>
      <c r="G1120" s="852">
        <f t="shared" si="121"/>
        <v>0.00830875559369626</v>
      </c>
      <c r="H1120" s="852">
        <f t="shared" si="122"/>
        <v>0.00959709734148092</v>
      </c>
      <c r="I1120" s="836">
        <f t="shared" si="123"/>
        <v>0.03</v>
      </c>
    </row>
    <row r="1121" spans="1:9">
      <c r="B1121" s="835" t="s">
        <v>2984</v>
      </c>
      <c r="D1121" s="697">
        <v>1174</v>
      </c>
      <c r="E1121" s="697">
        <v>162318.27</v>
      </c>
      <c r="F1121" s="697">
        <v>2</v>
      </c>
      <c r="G1121" s="852">
        <f t="shared" si="121"/>
        <v>0.00386010251958821</v>
      </c>
      <c r="H1121" s="852">
        <f t="shared" si="122"/>
        <v>0.00489083447620081</v>
      </c>
      <c r="I1121" s="836">
        <f t="shared" si="123"/>
        <v>0.02</v>
      </c>
    </row>
    <row r="1122" spans="1:9">
      <c r="B1122" s="835"/>
      <c r="C1122" s="697" t="s">
        <v>2855</v>
      </c>
      <c r="D1122" s="697">
        <v>768</v>
      </c>
      <c r="E1122" s="697">
        <v>107512.33</v>
      </c>
      <c r="F1122" s="697">
        <v>1</v>
      </c>
      <c r="G1122" s="852">
        <f t="shared" si="121"/>
        <v>0.00252517779816333</v>
      </c>
      <c r="H1122" s="852">
        <f t="shared" si="122"/>
        <v>0.00323946903931812</v>
      </c>
      <c r="I1122" s="836">
        <f t="shared" si="123"/>
        <v>0.01</v>
      </c>
    </row>
    <row r="1123" spans="1:9">
      <c r="B1123" s="835"/>
      <c r="C1123" s="697" t="s">
        <v>2904</v>
      </c>
      <c r="D1123" s="697">
        <v>406</v>
      </c>
      <c r="E1123" s="697">
        <v>54805.94</v>
      </c>
      <c r="F1123" s="697">
        <v>1</v>
      </c>
      <c r="G1123" s="852">
        <f t="shared" si="121"/>
        <v>0.00133492472142488</v>
      </c>
      <c r="H1123" s="852">
        <f t="shared" si="122"/>
        <v>0.00165136543688269</v>
      </c>
      <c r="I1123" s="836">
        <f t="shared" si="123"/>
        <v>0.01</v>
      </c>
    </row>
    <row r="1124" ht="17.25" spans="1:9">
      <c r="B1124" s="871" t="s">
        <v>3102</v>
      </c>
      <c r="C1124" s="799"/>
      <c r="D1124" s="799">
        <v>304137</v>
      </c>
      <c r="E1124" s="799">
        <v>33188256.685</v>
      </c>
      <c r="F1124" s="799">
        <v>100</v>
      </c>
      <c r="G1124" s="795">
        <f t="shared" si="121"/>
        <v>1</v>
      </c>
      <c r="H1124" s="795">
        <f t="shared" si="122"/>
        <v>1</v>
      </c>
      <c r="I1124" s="872">
        <f t="shared" si="123"/>
        <v>1</v>
      </c>
    </row>
    <row r="1126" ht="17.25" spans="1:9">
      <c r="A1126" s="829" t="s">
        <v>3154</v>
      </c>
      <c r="B1126" s="830" t="s">
        <v>2805</v>
      </c>
      <c r="C1126" s="831" t="s">
        <v>2795</v>
      </c>
      <c r="D1126" s="831" t="s">
        <v>3098</v>
      </c>
      <c r="E1126" s="831" t="s">
        <v>3099</v>
      </c>
      <c r="F1126" s="831" t="s">
        <v>3100</v>
      </c>
      <c r="G1126" s="833" t="s">
        <v>3022</v>
      </c>
      <c r="H1126" s="833" t="s">
        <v>3023</v>
      </c>
      <c r="I1126" s="834" t="s">
        <v>3101</v>
      </c>
    </row>
    <row r="1127" spans="1:9">
      <c r="B1127" s="835" t="s">
        <v>2820</v>
      </c>
      <c r="D1127" s="697">
        <v>62949</v>
      </c>
      <c r="E1127" s="697">
        <v>5650633.572</v>
      </c>
      <c r="F1127" s="697">
        <v>9</v>
      </c>
      <c r="G1127" s="852">
        <f t="shared" ref="G1127:G1184" si="124">D1127/$C$150</f>
        <v>0.206975803667426</v>
      </c>
      <c r="H1127" s="852">
        <f t="shared" ref="H1127:H1184" si="125">E1127/$D$150</f>
        <v>0.17026002979403</v>
      </c>
      <c r="I1127" s="836">
        <f t="shared" ref="I1127:I1184" si="126">F1127/$E$150</f>
        <v>0.09</v>
      </c>
    </row>
    <row r="1128" spans="1:9">
      <c r="B1128" s="835"/>
      <c r="C1128" s="697" t="s">
        <v>64</v>
      </c>
      <c r="D1128" s="697">
        <v>60165</v>
      </c>
      <c r="E1128" s="697">
        <v>5397391.602</v>
      </c>
      <c r="F1128" s="697">
        <v>5</v>
      </c>
      <c r="G1128" s="852">
        <f t="shared" si="124"/>
        <v>0.197822034149084</v>
      </c>
      <c r="H1128" s="852">
        <f t="shared" si="125"/>
        <v>0.162629560607184</v>
      </c>
      <c r="I1128" s="836">
        <f t="shared" si="126"/>
        <v>0.05</v>
      </c>
    </row>
    <row r="1129" spans="1:9">
      <c r="B1129" s="835"/>
      <c r="C1129" s="697" t="s">
        <v>2877</v>
      </c>
      <c r="D1129" s="697">
        <v>1504</v>
      </c>
      <c r="E1129" s="697">
        <v>131216.81</v>
      </c>
      <c r="F1129" s="697">
        <v>2</v>
      </c>
      <c r="G1129" s="852">
        <f t="shared" si="124"/>
        <v>0.00494513985473652</v>
      </c>
      <c r="H1129" s="852">
        <f t="shared" si="125"/>
        <v>0.00395371203873163</v>
      </c>
      <c r="I1129" s="836">
        <f t="shared" si="126"/>
        <v>0.02</v>
      </c>
    </row>
    <row r="1130" spans="1:9">
      <c r="B1130" s="835"/>
      <c r="C1130" s="697" t="s">
        <v>2835</v>
      </c>
      <c r="D1130" s="697">
        <v>882</v>
      </c>
      <c r="E1130" s="697">
        <v>88191.18</v>
      </c>
      <c r="F1130" s="697">
        <v>1</v>
      </c>
      <c r="G1130" s="852">
        <f t="shared" si="124"/>
        <v>0.0029000088775782</v>
      </c>
      <c r="H1130" s="852">
        <f t="shared" si="125"/>
        <v>0.00265730076867398</v>
      </c>
      <c r="I1130" s="836">
        <f t="shared" si="126"/>
        <v>0.01</v>
      </c>
    </row>
    <row r="1131" spans="1:9">
      <c r="B1131" s="835"/>
      <c r="C1131" s="697" t="s">
        <v>2972</v>
      </c>
      <c r="D1131" s="697">
        <v>398</v>
      </c>
      <c r="E1131" s="697">
        <v>33833.98</v>
      </c>
      <c r="F1131" s="697">
        <v>1</v>
      </c>
      <c r="G1131" s="852">
        <f t="shared" si="124"/>
        <v>0.00130862078602735</v>
      </c>
      <c r="H1131" s="852">
        <f t="shared" si="125"/>
        <v>0.00101945637943953</v>
      </c>
      <c r="I1131" s="836">
        <f t="shared" si="126"/>
        <v>0.01</v>
      </c>
    </row>
    <row r="1132" spans="1:9">
      <c r="B1132" s="835" t="s">
        <v>2840</v>
      </c>
      <c r="D1132" s="697">
        <v>47906</v>
      </c>
      <c r="E1132" s="697">
        <v>5244223.682</v>
      </c>
      <c r="F1132" s="697">
        <v>9</v>
      </c>
      <c r="G1132" s="852">
        <f t="shared" si="124"/>
        <v>0.157514541144287</v>
      </c>
      <c r="H1132" s="852">
        <f t="shared" si="125"/>
        <v>0.15801443660553</v>
      </c>
      <c r="I1132" s="836">
        <f t="shared" si="126"/>
        <v>0.09</v>
      </c>
    </row>
    <row r="1133" spans="1:9">
      <c r="B1133" s="835"/>
      <c r="C1133" s="697" t="s">
        <v>64</v>
      </c>
      <c r="D1133" s="697">
        <v>35414</v>
      </c>
      <c r="E1133" s="697">
        <v>3874486.684</v>
      </c>
      <c r="F1133" s="697">
        <v>7</v>
      </c>
      <c r="G1133" s="852">
        <f t="shared" si="124"/>
        <v>0.116440946021037</v>
      </c>
      <c r="H1133" s="852">
        <f t="shared" si="125"/>
        <v>0.116742699707729</v>
      </c>
      <c r="I1133" s="836">
        <f t="shared" si="126"/>
        <v>0.07</v>
      </c>
    </row>
    <row r="1134" spans="1:9">
      <c r="B1134" s="835"/>
      <c r="C1134" s="697" t="s">
        <v>2835</v>
      </c>
      <c r="D1134" s="697">
        <v>11952</v>
      </c>
      <c r="E1134" s="697">
        <v>1314122.4</v>
      </c>
      <c r="F1134" s="697">
        <v>1</v>
      </c>
      <c r="G1134" s="852">
        <f t="shared" si="124"/>
        <v>0.0392980794839168</v>
      </c>
      <c r="H1134" s="852">
        <f t="shared" si="125"/>
        <v>0.0395960056737159</v>
      </c>
      <c r="I1134" s="836">
        <f t="shared" si="126"/>
        <v>0.01</v>
      </c>
    </row>
    <row r="1135" spans="1:9">
      <c r="B1135" s="835"/>
      <c r="C1135" s="697" t="s">
        <v>2907</v>
      </c>
      <c r="D1135" s="697">
        <v>540</v>
      </c>
      <c r="E1135" s="697">
        <v>55614.598</v>
      </c>
      <c r="F1135" s="697">
        <v>1</v>
      </c>
      <c r="G1135" s="852">
        <f t="shared" si="124"/>
        <v>0.00177551563933359</v>
      </c>
      <c r="H1135" s="852">
        <f t="shared" si="125"/>
        <v>0.00167573122408493</v>
      </c>
      <c r="I1135" s="836">
        <f t="shared" si="126"/>
        <v>0.01</v>
      </c>
    </row>
    <row r="1136" spans="1:9">
      <c r="B1136" s="835" t="s">
        <v>2830</v>
      </c>
      <c r="D1136" s="697">
        <v>30081</v>
      </c>
      <c r="E1136" s="697">
        <v>2536849.225</v>
      </c>
      <c r="F1136" s="697">
        <v>7</v>
      </c>
      <c r="G1136" s="852">
        <f t="shared" si="124"/>
        <v>0.098906085086655</v>
      </c>
      <c r="H1136" s="852">
        <f t="shared" si="125"/>
        <v>0.0764381585052213</v>
      </c>
      <c r="I1136" s="836">
        <f t="shared" si="126"/>
        <v>0.07</v>
      </c>
    </row>
    <row r="1137" spans="2:9">
      <c r="B1137" s="835"/>
      <c r="C1137" s="697" t="s">
        <v>64</v>
      </c>
      <c r="D1137" s="697">
        <v>28328</v>
      </c>
      <c r="E1137" s="697">
        <v>2361566.755</v>
      </c>
      <c r="F1137" s="697">
        <v>5</v>
      </c>
      <c r="G1137" s="852">
        <f t="shared" si="124"/>
        <v>0.0931422352426702</v>
      </c>
      <c r="H1137" s="852">
        <f t="shared" si="125"/>
        <v>0.0711566979071652</v>
      </c>
      <c r="I1137" s="836">
        <f t="shared" si="126"/>
        <v>0.05</v>
      </c>
    </row>
    <row r="1138" spans="2:9">
      <c r="B1138" s="835"/>
      <c r="C1138" s="697" t="s">
        <v>2877</v>
      </c>
      <c r="D1138" s="697">
        <v>1753</v>
      </c>
      <c r="E1138" s="697">
        <v>175282.47</v>
      </c>
      <c r="F1138" s="697">
        <v>2</v>
      </c>
      <c r="G1138" s="852">
        <f t="shared" si="124"/>
        <v>0.00576384984398478</v>
      </c>
      <c r="H1138" s="852">
        <f t="shared" si="125"/>
        <v>0.00528146059805612</v>
      </c>
      <c r="I1138" s="836">
        <f t="shared" si="126"/>
        <v>0.02</v>
      </c>
    </row>
    <row r="1139" spans="2:9">
      <c r="B1139" s="835" t="s">
        <v>2916</v>
      </c>
      <c r="D1139" s="697">
        <v>22156</v>
      </c>
      <c r="E1139" s="697">
        <v>1094253.623</v>
      </c>
      <c r="F1139" s="697">
        <v>6</v>
      </c>
      <c r="G1139" s="852">
        <f t="shared" si="124"/>
        <v>0.0728487490834722</v>
      </c>
      <c r="H1139" s="852">
        <f t="shared" si="125"/>
        <v>0.0329711088288216</v>
      </c>
      <c r="I1139" s="836">
        <f t="shared" si="126"/>
        <v>0.06</v>
      </c>
    </row>
    <row r="1140" spans="2:9">
      <c r="B1140" s="835"/>
      <c r="C1140" s="697" t="s">
        <v>64</v>
      </c>
      <c r="D1140" s="697">
        <v>22156</v>
      </c>
      <c r="E1140" s="697">
        <v>1094253.623</v>
      </c>
      <c r="F1140" s="697">
        <v>6</v>
      </c>
      <c r="G1140" s="852">
        <f t="shared" si="124"/>
        <v>0.0728487490834722</v>
      </c>
      <c r="H1140" s="852">
        <f t="shared" si="125"/>
        <v>0.0329711088288216</v>
      </c>
      <c r="I1140" s="836">
        <f t="shared" si="126"/>
        <v>0.06</v>
      </c>
    </row>
    <row r="1141" spans="2:9">
      <c r="B1141" s="835" t="s">
        <v>2857</v>
      </c>
      <c r="D1141" s="697">
        <v>21766</v>
      </c>
      <c r="E1141" s="697">
        <v>4931042.56</v>
      </c>
      <c r="F1141" s="697">
        <v>7</v>
      </c>
      <c r="G1141" s="852">
        <f t="shared" si="124"/>
        <v>0.0715664322328424</v>
      </c>
      <c r="H1141" s="852">
        <f t="shared" si="125"/>
        <v>0.1485779324537</v>
      </c>
      <c r="I1141" s="836">
        <f t="shared" si="126"/>
        <v>0.07</v>
      </c>
    </row>
    <row r="1142" spans="2:9">
      <c r="B1142" s="835"/>
      <c r="C1142" s="697" t="s">
        <v>64</v>
      </c>
      <c r="D1142" s="697">
        <v>11474</v>
      </c>
      <c r="E1142" s="697">
        <v>2294685.2</v>
      </c>
      <c r="F1142" s="697">
        <v>1</v>
      </c>
      <c r="G1142" s="852">
        <f t="shared" si="124"/>
        <v>0.0377264193439141</v>
      </c>
      <c r="H1142" s="852">
        <f t="shared" si="125"/>
        <v>0.0691414804272357</v>
      </c>
      <c r="I1142" s="836">
        <f t="shared" si="126"/>
        <v>0.01</v>
      </c>
    </row>
    <row r="1143" spans="2:9">
      <c r="B1143" s="835"/>
      <c r="C1143" s="697" t="s">
        <v>2877</v>
      </c>
      <c r="D1143" s="697">
        <v>7012</v>
      </c>
      <c r="E1143" s="697">
        <v>1914921.36</v>
      </c>
      <c r="F1143" s="697">
        <v>5</v>
      </c>
      <c r="G1143" s="852">
        <f t="shared" si="124"/>
        <v>0.0230553993759391</v>
      </c>
      <c r="H1143" s="852">
        <f t="shared" si="125"/>
        <v>0.0576987630948835</v>
      </c>
      <c r="I1143" s="836">
        <f t="shared" si="126"/>
        <v>0.05</v>
      </c>
    </row>
    <row r="1144" spans="2:9">
      <c r="B1144" s="835"/>
      <c r="C1144" s="697" t="s">
        <v>2907</v>
      </c>
      <c r="D1144" s="697">
        <v>3280</v>
      </c>
      <c r="E1144" s="697">
        <v>721436</v>
      </c>
      <c r="F1144" s="697">
        <v>1</v>
      </c>
      <c r="G1144" s="852">
        <f t="shared" si="124"/>
        <v>0.0107846135129892</v>
      </c>
      <c r="H1144" s="852">
        <f t="shared" si="125"/>
        <v>0.0217376889315812</v>
      </c>
      <c r="I1144" s="836">
        <f t="shared" si="126"/>
        <v>0.01</v>
      </c>
    </row>
    <row r="1145" spans="2:9">
      <c r="B1145" s="835" t="s">
        <v>2882</v>
      </c>
      <c r="D1145" s="697">
        <v>20334</v>
      </c>
      <c r="E1145" s="697">
        <v>1415899.706</v>
      </c>
      <c r="F1145" s="697">
        <v>10</v>
      </c>
      <c r="G1145" s="852">
        <f t="shared" si="124"/>
        <v>0.0668580277966837</v>
      </c>
      <c r="H1145" s="852">
        <f t="shared" si="125"/>
        <v>0.042662671903461</v>
      </c>
      <c r="I1145" s="836">
        <f t="shared" si="126"/>
        <v>0.1</v>
      </c>
    </row>
    <row r="1146" spans="2:9">
      <c r="B1146" s="835"/>
      <c r="C1146" s="697" t="s">
        <v>64</v>
      </c>
      <c r="D1146" s="697">
        <v>17788</v>
      </c>
      <c r="E1146" s="697">
        <v>1237705.176</v>
      </c>
      <c r="F1146" s="697">
        <v>8</v>
      </c>
      <c r="G1146" s="852">
        <f t="shared" si="124"/>
        <v>0.0584868003564183</v>
      </c>
      <c r="H1146" s="852">
        <f t="shared" si="125"/>
        <v>0.037293467618605</v>
      </c>
      <c r="I1146" s="836">
        <f t="shared" si="126"/>
        <v>0.08</v>
      </c>
    </row>
    <row r="1147" spans="2:9">
      <c r="B1147" s="835"/>
      <c r="C1147" s="697" t="s">
        <v>2835</v>
      </c>
      <c r="D1147" s="697">
        <v>2305</v>
      </c>
      <c r="E1147" s="697">
        <v>161326.94</v>
      </c>
      <c r="F1147" s="697">
        <v>1</v>
      </c>
      <c r="G1147" s="852">
        <f t="shared" si="124"/>
        <v>0.00757882138641467</v>
      </c>
      <c r="H1147" s="852">
        <f t="shared" si="125"/>
        <v>0.00486096457343945</v>
      </c>
      <c r="I1147" s="836">
        <f t="shared" si="126"/>
        <v>0.01</v>
      </c>
    </row>
    <row r="1148" spans="2:9">
      <c r="B1148" s="835"/>
      <c r="C1148" s="697" t="s">
        <v>2877</v>
      </c>
      <c r="D1148" s="697">
        <v>241</v>
      </c>
      <c r="E1148" s="697">
        <v>16867.59</v>
      </c>
      <c r="F1148" s="697">
        <v>1</v>
      </c>
      <c r="G1148" s="852">
        <f t="shared" si="124"/>
        <v>0.000792406053850732</v>
      </c>
      <c r="H1148" s="852">
        <f t="shared" si="125"/>
        <v>0.000508239711416466</v>
      </c>
      <c r="I1148" s="836">
        <f t="shared" si="126"/>
        <v>0.01</v>
      </c>
    </row>
    <row r="1149" spans="2:9">
      <c r="B1149" s="835" t="s">
        <v>2880</v>
      </c>
      <c r="D1149" s="870">
        <v>13945</v>
      </c>
      <c r="E1149" s="870">
        <v>2760257.51</v>
      </c>
      <c r="F1149" s="870">
        <v>5</v>
      </c>
      <c r="G1149" s="852">
        <f t="shared" si="124"/>
        <v>0.0458510473898276</v>
      </c>
      <c r="H1149" s="852">
        <f t="shared" si="125"/>
        <v>0.0831697047602848</v>
      </c>
      <c r="I1149" s="836">
        <f t="shared" si="126"/>
        <v>0.05</v>
      </c>
    </row>
    <row r="1150" spans="2:9">
      <c r="B1150" s="835"/>
      <c r="C1150" s="697" t="s">
        <v>2877</v>
      </c>
      <c r="D1150" s="697">
        <v>12357</v>
      </c>
      <c r="E1150" s="697">
        <v>2467026.56</v>
      </c>
      <c r="F1150" s="697">
        <v>3</v>
      </c>
      <c r="G1150" s="852">
        <f t="shared" si="124"/>
        <v>0.040629716213417</v>
      </c>
      <c r="H1150" s="852">
        <f t="shared" si="125"/>
        <v>0.0743343220288824</v>
      </c>
      <c r="I1150" s="836">
        <f t="shared" si="126"/>
        <v>0.03</v>
      </c>
    </row>
    <row r="1151" spans="2:9">
      <c r="B1151" s="835"/>
      <c r="C1151" s="697" t="s">
        <v>64</v>
      </c>
      <c r="D1151" s="697">
        <v>1588</v>
      </c>
      <c r="E1151" s="697">
        <v>293230.95</v>
      </c>
      <c r="F1151" s="697">
        <v>2</v>
      </c>
      <c r="G1151" s="852">
        <f t="shared" si="124"/>
        <v>0.00522133117641063</v>
      </c>
      <c r="H1151" s="852">
        <f t="shared" si="125"/>
        <v>0.00883538273140242</v>
      </c>
      <c r="I1151" s="836">
        <f t="shared" si="126"/>
        <v>0.02</v>
      </c>
    </row>
    <row r="1152" spans="2:9">
      <c r="B1152" s="835" t="s">
        <v>2887</v>
      </c>
      <c r="D1152" s="697">
        <v>13332</v>
      </c>
      <c r="E1152" s="697">
        <v>1910386.67</v>
      </c>
      <c r="F1152" s="697">
        <v>6</v>
      </c>
      <c r="G1152" s="852">
        <f t="shared" si="124"/>
        <v>0.0438355083399915</v>
      </c>
      <c r="H1152" s="852">
        <f t="shared" si="125"/>
        <v>0.0575621277168027</v>
      </c>
      <c r="I1152" s="836">
        <f t="shared" si="126"/>
        <v>0.06</v>
      </c>
    </row>
    <row r="1153" spans="2:9">
      <c r="B1153" s="835"/>
      <c r="C1153" s="697" t="s">
        <v>64</v>
      </c>
      <c r="D1153" s="697">
        <v>9067</v>
      </c>
      <c r="E1153" s="697">
        <v>1270679.31</v>
      </c>
      <c r="F1153" s="697">
        <v>2</v>
      </c>
      <c r="G1153" s="852">
        <f t="shared" si="124"/>
        <v>0.0298122227811808</v>
      </c>
      <c r="H1153" s="852">
        <f t="shared" si="125"/>
        <v>0.0382870158580612</v>
      </c>
      <c r="I1153" s="836">
        <f t="shared" si="126"/>
        <v>0.02</v>
      </c>
    </row>
    <row r="1154" spans="2:9">
      <c r="B1154" s="835"/>
      <c r="C1154" s="697" t="s">
        <v>2877</v>
      </c>
      <c r="D1154" s="697">
        <v>4265</v>
      </c>
      <c r="E1154" s="697">
        <v>639707.36</v>
      </c>
      <c r="F1154" s="697">
        <v>4</v>
      </c>
      <c r="G1154" s="852">
        <f t="shared" si="124"/>
        <v>0.0140232855588107</v>
      </c>
      <c r="H1154" s="852">
        <f t="shared" si="125"/>
        <v>0.0192751118587415</v>
      </c>
      <c r="I1154" s="836">
        <f t="shared" si="126"/>
        <v>0.04</v>
      </c>
    </row>
    <row r="1155" spans="2:9">
      <c r="B1155" s="835" t="s">
        <v>2864</v>
      </c>
      <c r="D1155" s="697">
        <v>11434</v>
      </c>
      <c r="E1155" s="697">
        <v>451119.21</v>
      </c>
      <c r="F1155" s="697">
        <v>5</v>
      </c>
      <c r="G1155" s="852">
        <f t="shared" si="124"/>
        <v>0.0375948996669264</v>
      </c>
      <c r="H1155" s="852">
        <f t="shared" si="125"/>
        <v>0.0135927359572307</v>
      </c>
      <c r="I1155" s="836">
        <f t="shared" si="126"/>
        <v>0.05</v>
      </c>
    </row>
    <row r="1156" spans="2:9">
      <c r="B1156" s="835"/>
      <c r="C1156" s="697" t="s">
        <v>64</v>
      </c>
      <c r="D1156" s="697">
        <v>11434</v>
      </c>
      <c r="E1156" s="697">
        <v>451119.21</v>
      </c>
      <c r="F1156" s="697">
        <v>5</v>
      </c>
      <c r="G1156" s="852">
        <f t="shared" si="124"/>
        <v>0.0375948996669264</v>
      </c>
      <c r="H1156" s="852">
        <f t="shared" si="125"/>
        <v>0.0135927359572307</v>
      </c>
      <c r="I1156" s="836">
        <f t="shared" si="126"/>
        <v>0.05</v>
      </c>
    </row>
    <row r="1157" spans="2:9">
      <c r="B1157" s="835" t="s">
        <v>2906</v>
      </c>
      <c r="D1157" s="697">
        <v>11125</v>
      </c>
      <c r="E1157" s="697">
        <v>1296486.805</v>
      </c>
      <c r="F1157" s="697">
        <v>8</v>
      </c>
      <c r="G1157" s="852">
        <f t="shared" si="124"/>
        <v>0.0365789101621966</v>
      </c>
      <c r="H1157" s="852">
        <f t="shared" si="125"/>
        <v>0.0390646250963212</v>
      </c>
      <c r="I1157" s="836">
        <f t="shared" si="126"/>
        <v>0.08</v>
      </c>
    </row>
    <row r="1158" spans="2:9">
      <c r="B1158" s="835"/>
      <c r="C1158" s="697" t="s">
        <v>64</v>
      </c>
      <c r="D1158" s="697">
        <v>9005</v>
      </c>
      <c r="E1158" s="697">
        <v>1077769</v>
      </c>
      <c r="F1158" s="697">
        <v>5</v>
      </c>
      <c r="G1158" s="852">
        <f t="shared" si="124"/>
        <v>0.02960836728185</v>
      </c>
      <c r="H1158" s="852">
        <f t="shared" si="125"/>
        <v>0.032474408349599</v>
      </c>
      <c r="I1158" s="836">
        <f t="shared" si="126"/>
        <v>0.05</v>
      </c>
    </row>
    <row r="1159" spans="2:9">
      <c r="B1159" s="835"/>
      <c r="C1159" s="697" t="s">
        <v>2877</v>
      </c>
      <c r="D1159" s="697">
        <v>2120</v>
      </c>
      <c r="E1159" s="697">
        <v>218717.805</v>
      </c>
      <c r="F1159" s="697">
        <v>3</v>
      </c>
      <c r="G1159" s="852">
        <f t="shared" si="124"/>
        <v>0.00697054288034669</v>
      </c>
      <c r="H1159" s="852">
        <f t="shared" si="125"/>
        <v>0.00659021674672214</v>
      </c>
      <c r="I1159" s="836">
        <f t="shared" si="126"/>
        <v>0.03</v>
      </c>
    </row>
    <row r="1160" spans="2:9">
      <c r="B1160" s="835" t="s">
        <v>2890</v>
      </c>
      <c r="D1160" s="697">
        <v>10248</v>
      </c>
      <c r="E1160" s="697">
        <v>1638632.6</v>
      </c>
      <c r="F1160" s="697">
        <v>3</v>
      </c>
      <c r="G1160" s="852">
        <f t="shared" si="124"/>
        <v>0.0336953412442419</v>
      </c>
      <c r="H1160" s="852">
        <f t="shared" si="125"/>
        <v>0.0493738678579224</v>
      </c>
      <c r="I1160" s="836">
        <f t="shared" si="126"/>
        <v>0.03</v>
      </c>
    </row>
    <row r="1161" spans="2:9">
      <c r="B1161" s="835"/>
      <c r="C1161" s="697" t="s">
        <v>64</v>
      </c>
      <c r="D1161" s="697">
        <v>9544</v>
      </c>
      <c r="E1161" s="697">
        <v>1526731.8</v>
      </c>
      <c r="F1161" s="697">
        <v>2</v>
      </c>
      <c r="G1161" s="852">
        <f t="shared" si="124"/>
        <v>0.0313805949292589</v>
      </c>
      <c r="H1161" s="852">
        <f t="shared" si="125"/>
        <v>0.0460021692157766</v>
      </c>
      <c r="I1161" s="836">
        <f t="shared" si="126"/>
        <v>0.02</v>
      </c>
    </row>
    <row r="1162" spans="2:9">
      <c r="B1162" s="835"/>
      <c r="C1162" s="697" t="s">
        <v>2877</v>
      </c>
      <c r="D1162" s="697">
        <v>704</v>
      </c>
      <c r="E1162" s="697">
        <v>111900.8</v>
      </c>
      <c r="F1162" s="697">
        <v>1</v>
      </c>
      <c r="G1162" s="852">
        <f t="shared" si="124"/>
        <v>0.00231474631498305</v>
      </c>
      <c r="H1162" s="852">
        <f t="shared" si="125"/>
        <v>0.00337169864214578</v>
      </c>
      <c r="I1162" s="836">
        <f t="shared" si="126"/>
        <v>0.01</v>
      </c>
    </row>
    <row r="1163" spans="2:9">
      <c r="B1163" s="835" t="s">
        <v>2866</v>
      </c>
      <c r="D1163" s="697">
        <v>10072</v>
      </c>
      <c r="E1163" s="697">
        <v>596203.979</v>
      </c>
      <c r="F1163" s="697">
        <v>4</v>
      </c>
      <c r="G1163" s="852">
        <f t="shared" si="124"/>
        <v>0.0331166546654961</v>
      </c>
      <c r="H1163" s="852">
        <f t="shared" si="125"/>
        <v>0.0179643054065405</v>
      </c>
      <c r="I1163" s="836">
        <f t="shared" si="126"/>
        <v>0.04</v>
      </c>
    </row>
    <row r="1164" spans="2:9">
      <c r="B1164" s="835"/>
      <c r="C1164" s="697" t="s">
        <v>64</v>
      </c>
      <c r="D1164" s="697">
        <v>10072</v>
      </c>
      <c r="E1164" s="697">
        <v>596203.979</v>
      </c>
      <c r="F1164" s="697">
        <v>4</v>
      </c>
      <c r="G1164" s="852">
        <f t="shared" si="124"/>
        <v>0.0331166546654961</v>
      </c>
      <c r="H1164" s="852">
        <f t="shared" si="125"/>
        <v>0.0179643054065405</v>
      </c>
      <c r="I1164" s="836">
        <f t="shared" si="126"/>
        <v>0.04</v>
      </c>
    </row>
    <row r="1165" spans="2:9">
      <c r="B1165" s="835" t="s">
        <v>2871</v>
      </c>
      <c r="D1165" s="697">
        <v>7304</v>
      </c>
      <c r="E1165" s="697">
        <v>1460474.16</v>
      </c>
      <c r="F1165" s="697">
        <v>2</v>
      </c>
      <c r="G1165" s="852">
        <f t="shared" si="124"/>
        <v>0.0240154930179491</v>
      </c>
      <c r="H1165" s="852">
        <f t="shared" si="125"/>
        <v>0.0440057510058998</v>
      </c>
      <c r="I1165" s="836">
        <f t="shared" si="126"/>
        <v>0.02</v>
      </c>
    </row>
    <row r="1166" spans="2:9">
      <c r="B1166" s="835"/>
      <c r="C1166" s="697" t="s">
        <v>64</v>
      </c>
      <c r="D1166" s="697">
        <v>6319</v>
      </c>
      <c r="E1166" s="697">
        <v>1263484</v>
      </c>
      <c r="F1166" s="697">
        <v>1</v>
      </c>
      <c r="G1166" s="852">
        <f t="shared" si="124"/>
        <v>0.0207768209721277</v>
      </c>
      <c r="H1166" s="852">
        <f t="shared" si="125"/>
        <v>0.0380702129669575</v>
      </c>
      <c r="I1166" s="836">
        <f t="shared" si="126"/>
        <v>0.01</v>
      </c>
    </row>
    <row r="1167" spans="2:9">
      <c r="B1167" s="835"/>
      <c r="C1167" s="697" t="s">
        <v>2877</v>
      </c>
      <c r="D1167" s="697">
        <v>985</v>
      </c>
      <c r="E1167" s="697">
        <v>196990.16</v>
      </c>
      <c r="F1167" s="697">
        <v>1</v>
      </c>
      <c r="G1167" s="852">
        <f t="shared" si="124"/>
        <v>0.00323867204582146</v>
      </c>
      <c r="H1167" s="852">
        <f t="shared" si="125"/>
        <v>0.00593553803894234</v>
      </c>
      <c r="I1167" s="836">
        <f t="shared" si="126"/>
        <v>0.01</v>
      </c>
    </row>
    <row r="1168" spans="2:9">
      <c r="B1168" s="835" t="s">
        <v>2939</v>
      </c>
      <c r="D1168" s="697">
        <v>6845</v>
      </c>
      <c r="E1168" s="697">
        <v>523813.385</v>
      </c>
      <c r="F1168" s="697">
        <v>7</v>
      </c>
      <c r="G1168" s="852">
        <f t="shared" si="124"/>
        <v>0.0225063047245156</v>
      </c>
      <c r="H1168" s="852">
        <f t="shared" si="125"/>
        <v>0.0157830943026527</v>
      </c>
      <c r="I1168" s="836">
        <f t="shared" si="126"/>
        <v>0.07</v>
      </c>
    </row>
    <row r="1169" spans="2:9">
      <c r="B1169" s="835"/>
      <c r="C1169" s="697" t="s">
        <v>64</v>
      </c>
      <c r="D1169" s="697">
        <v>4915</v>
      </c>
      <c r="E1169" s="697">
        <v>363542.689</v>
      </c>
      <c r="F1169" s="697">
        <v>5</v>
      </c>
      <c r="G1169" s="852">
        <f t="shared" si="124"/>
        <v>0.0161604803098604</v>
      </c>
      <c r="H1169" s="852">
        <f t="shared" si="125"/>
        <v>0.0109539555647799</v>
      </c>
      <c r="I1169" s="836">
        <f t="shared" si="126"/>
        <v>0.05</v>
      </c>
    </row>
    <row r="1170" spans="2:9">
      <c r="B1170" s="835"/>
      <c r="C1170" s="697" t="s">
        <v>2835</v>
      </c>
      <c r="D1170" s="697">
        <v>1341</v>
      </c>
      <c r="E1170" s="697">
        <v>107266.586</v>
      </c>
      <c r="F1170" s="697">
        <v>1</v>
      </c>
      <c r="G1170" s="852">
        <f t="shared" si="124"/>
        <v>0.00440919717101175</v>
      </c>
      <c r="H1170" s="852">
        <f t="shared" si="125"/>
        <v>0.00323206449251313</v>
      </c>
      <c r="I1170" s="836">
        <f t="shared" si="126"/>
        <v>0.01</v>
      </c>
    </row>
    <row r="1171" spans="2:9">
      <c r="B1171" s="835"/>
      <c r="C1171" s="697" t="s">
        <v>2877</v>
      </c>
      <c r="D1171" s="697">
        <v>589</v>
      </c>
      <c r="E1171" s="697">
        <v>53004.11</v>
      </c>
      <c r="F1171" s="697">
        <v>1</v>
      </c>
      <c r="G1171" s="852">
        <f t="shared" si="124"/>
        <v>0.00193662724364349</v>
      </c>
      <c r="H1171" s="852">
        <f t="shared" si="125"/>
        <v>0.00159707424535969</v>
      </c>
      <c r="I1171" s="836">
        <f t="shared" si="126"/>
        <v>0.01</v>
      </c>
    </row>
    <row r="1172" spans="2:9">
      <c r="B1172" s="835" t="s">
        <v>2913</v>
      </c>
      <c r="D1172" s="697">
        <v>3891</v>
      </c>
      <c r="E1172" s="697">
        <v>597582.11</v>
      </c>
      <c r="F1172" s="697">
        <v>3</v>
      </c>
      <c r="G1172" s="852">
        <f t="shared" si="124"/>
        <v>0.0127935765789759</v>
      </c>
      <c r="H1172" s="852">
        <f t="shared" si="125"/>
        <v>0.0180058300642856</v>
      </c>
      <c r="I1172" s="836">
        <f t="shared" si="126"/>
        <v>0.03</v>
      </c>
    </row>
    <row r="1173" spans="2:9">
      <c r="B1173" s="835"/>
      <c r="C1173" s="697" t="s">
        <v>2877</v>
      </c>
      <c r="D1173" s="697">
        <v>3019</v>
      </c>
      <c r="E1173" s="697">
        <v>484230.83</v>
      </c>
      <c r="F1173" s="697">
        <v>2</v>
      </c>
      <c r="G1173" s="852">
        <f t="shared" si="124"/>
        <v>0.00992644762064464</v>
      </c>
      <c r="H1173" s="852">
        <f t="shared" si="125"/>
        <v>0.0145904268065655</v>
      </c>
      <c r="I1173" s="836">
        <f t="shared" si="126"/>
        <v>0.02</v>
      </c>
    </row>
    <row r="1174" spans="2:9">
      <c r="B1174" s="835"/>
      <c r="C1174" s="697" t="s">
        <v>2835</v>
      </c>
      <c r="D1174" s="697">
        <v>872</v>
      </c>
      <c r="E1174" s="697">
        <v>113351.28</v>
      </c>
      <c r="F1174" s="697">
        <v>1</v>
      </c>
      <c r="G1174" s="852">
        <f t="shared" si="124"/>
        <v>0.00286712895833128</v>
      </c>
      <c r="H1174" s="852">
        <f t="shared" si="125"/>
        <v>0.0034154032577201</v>
      </c>
      <c r="I1174" s="836">
        <f t="shared" si="126"/>
        <v>0.01</v>
      </c>
    </row>
    <row r="1175" spans="2:9">
      <c r="B1175" s="835" t="s">
        <v>3006</v>
      </c>
      <c r="D1175" s="697">
        <v>3836</v>
      </c>
      <c r="E1175" s="697">
        <v>22478.96</v>
      </c>
      <c r="F1175" s="697">
        <v>1</v>
      </c>
      <c r="G1175" s="852">
        <f t="shared" si="124"/>
        <v>0.0126127370231179</v>
      </c>
      <c r="H1175" s="852">
        <f t="shared" si="125"/>
        <v>0.000677316685035757</v>
      </c>
      <c r="I1175" s="836">
        <f t="shared" si="126"/>
        <v>0.01</v>
      </c>
    </row>
    <row r="1176" spans="2:9">
      <c r="B1176" s="835"/>
      <c r="C1176" s="697" t="s">
        <v>64</v>
      </c>
      <c r="D1176" s="697">
        <v>3836</v>
      </c>
      <c r="E1176" s="697">
        <v>22478.96</v>
      </c>
      <c r="F1176" s="697">
        <v>1</v>
      </c>
      <c r="G1176" s="852">
        <f t="shared" si="124"/>
        <v>0.0126127370231179</v>
      </c>
      <c r="H1176" s="852">
        <f t="shared" si="125"/>
        <v>0.000677316685035757</v>
      </c>
      <c r="I1176" s="836">
        <f t="shared" si="126"/>
        <v>0.01</v>
      </c>
    </row>
    <row r="1177" spans="2:9">
      <c r="B1177" s="835" t="s">
        <v>2924</v>
      </c>
      <c r="D1177" s="870">
        <v>3212</v>
      </c>
      <c r="E1177" s="870">
        <v>577089.728</v>
      </c>
      <c r="F1177" s="870">
        <v>3</v>
      </c>
      <c r="G1177" s="852">
        <f t="shared" si="124"/>
        <v>0.0105610300621102</v>
      </c>
      <c r="H1177" s="852">
        <f t="shared" si="125"/>
        <v>0.0173883712385781</v>
      </c>
      <c r="I1177" s="836">
        <f t="shared" si="126"/>
        <v>0.03</v>
      </c>
    </row>
    <row r="1178" spans="2:9">
      <c r="B1178" s="835"/>
      <c r="C1178" s="697" t="s">
        <v>2907</v>
      </c>
      <c r="D1178" s="697">
        <v>1815</v>
      </c>
      <c r="E1178" s="697">
        <v>326681.88</v>
      </c>
      <c r="F1178" s="697">
        <v>1</v>
      </c>
      <c r="G1178" s="852">
        <f t="shared" si="124"/>
        <v>0.00596770534331568</v>
      </c>
      <c r="H1178" s="852">
        <f t="shared" si="125"/>
        <v>0.00984329737776343</v>
      </c>
      <c r="I1178" s="836">
        <f t="shared" si="126"/>
        <v>0.01</v>
      </c>
    </row>
    <row r="1179" spans="2:9">
      <c r="B1179" s="835"/>
      <c r="C1179" s="697" t="s">
        <v>2877</v>
      </c>
      <c r="D1179" s="697">
        <v>1034</v>
      </c>
      <c r="E1179" s="697">
        <v>185086</v>
      </c>
      <c r="F1179" s="697">
        <v>1</v>
      </c>
      <c r="G1179" s="852">
        <f t="shared" si="124"/>
        <v>0.00339978365013136</v>
      </c>
      <c r="H1179" s="852">
        <f t="shared" si="125"/>
        <v>0.00557685213046013</v>
      </c>
      <c r="I1179" s="836">
        <f t="shared" si="126"/>
        <v>0.01</v>
      </c>
    </row>
    <row r="1180" spans="2:9">
      <c r="B1180" s="835"/>
      <c r="C1180" s="697" t="s">
        <v>64</v>
      </c>
      <c r="D1180" s="697">
        <v>363</v>
      </c>
      <c r="E1180" s="697">
        <v>65321.848</v>
      </c>
      <c r="F1180" s="697">
        <v>1</v>
      </c>
      <c r="G1180" s="852">
        <f t="shared" si="124"/>
        <v>0.00119354106866314</v>
      </c>
      <c r="H1180" s="852">
        <f t="shared" si="125"/>
        <v>0.0019682217303545</v>
      </c>
      <c r="I1180" s="836">
        <f t="shared" si="126"/>
        <v>0.01</v>
      </c>
    </row>
    <row r="1181" spans="2:9">
      <c r="B1181" s="835" t="s">
        <v>2937</v>
      </c>
      <c r="D1181" s="697">
        <v>2527</v>
      </c>
      <c r="E1181" s="697">
        <v>318510.93</v>
      </c>
      <c r="F1181" s="697">
        <v>3</v>
      </c>
      <c r="G1181" s="852">
        <f t="shared" si="124"/>
        <v>0.00830875559369626</v>
      </c>
      <c r="H1181" s="852">
        <f t="shared" si="125"/>
        <v>0.00959709734148092</v>
      </c>
      <c r="I1181" s="836">
        <f t="shared" si="126"/>
        <v>0.03</v>
      </c>
    </row>
    <row r="1182" spans="2:9">
      <c r="B1182" s="835"/>
      <c r="C1182" s="697" t="s">
        <v>2835</v>
      </c>
      <c r="D1182" s="697">
        <v>1381</v>
      </c>
      <c r="E1182" s="697">
        <v>170097.77</v>
      </c>
      <c r="F1182" s="697">
        <v>1</v>
      </c>
      <c r="G1182" s="852">
        <f t="shared" si="124"/>
        <v>0.00454071684799942</v>
      </c>
      <c r="H1182" s="852">
        <f t="shared" si="125"/>
        <v>0.00512523967783094</v>
      </c>
      <c r="I1182" s="836">
        <f t="shared" si="126"/>
        <v>0.01</v>
      </c>
    </row>
    <row r="1183" spans="2:9">
      <c r="B1183" s="835"/>
      <c r="C1183" s="697" t="s">
        <v>2877</v>
      </c>
      <c r="D1183" s="697">
        <v>1146</v>
      </c>
      <c r="E1183" s="697">
        <v>148413.16</v>
      </c>
      <c r="F1183" s="697">
        <v>2</v>
      </c>
      <c r="G1183" s="852">
        <f t="shared" si="124"/>
        <v>0.00376803874569684</v>
      </c>
      <c r="H1183" s="852">
        <f t="shared" si="125"/>
        <v>0.00447185766364998</v>
      </c>
      <c r="I1183" s="836">
        <f t="shared" si="126"/>
        <v>0.02</v>
      </c>
    </row>
    <row r="1184" spans="2:9">
      <c r="B1184" s="835" t="s">
        <v>2984</v>
      </c>
      <c r="D1184" s="697">
        <v>1174</v>
      </c>
      <c r="E1184" s="697">
        <v>162318.27</v>
      </c>
      <c r="F1184" s="697">
        <v>2</v>
      </c>
      <c r="G1184" s="852">
        <f t="shared" si="124"/>
        <v>0.00386010251958821</v>
      </c>
      <c r="H1184" s="852">
        <f t="shared" si="125"/>
        <v>0.00489083447620081</v>
      </c>
      <c r="I1184" s="836">
        <f t="shared" si="126"/>
        <v>0.02</v>
      </c>
    </row>
    <row r="1185" spans="1:9">
      <c r="B1185" s="835"/>
      <c r="C1185" s="697" t="s">
        <v>64</v>
      </c>
      <c r="D1185" s="697">
        <v>768</v>
      </c>
      <c r="E1185" s="697">
        <v>107512.33</v>
      </c>
      <c r="F1185" s="697">
        <v>1</v>
      </c>
      <c r="G1185" s="852">
        <f t="shared" ref="G1185:G1250" si="127">D1185/$C$150</f>
        <v>0.00252517779816333</v>
      </c>
      <c r="H1185" s="852">
        <f t="shared" ref="H1185:H1250" si="128">E1185/$D$150</f>
        <v>0.00323946903931812</v>
      </c>
      <c r="I1185" s="836">
        <f t="shared" ref="I1185:I1250" si="129">F1185/$E$150</f>
        <v>0.01</v>
      </c>
    </row>
    <row r="1186" spans="1:9">
      <c r="B1186" s="835"/>
      <c r="C1186" s="697" t="s">
        <v>2877</v>
      </c>
      <c r="D1186" s="697">
        <v>406</v>
      </c>
      <c r="E1186" s="697">
        <v>54805.94</v>
      </c>
      <c r="F1186" s="697">
        <v>1</v>
      </c>
      <c r="G1186" s="852">
        <f t="shared" si="127"/>
        <v>0.00133492472142488</v>
      </c>
      <c r="H1186" s="852">
        <f t="shared" si="128"/>
        <v>0.00165136543688269</v>
      </c>
      <c r="I1186" s="836">
        <f t="shared" si="129"/>
        <v>0.01</v>
      </c>
    </row>
    <row r="1187" ht="17.25" spans="1:9">
      <c r="B1187" s="871" t="s">
        <v>3102</v>
      </c>
      <c r="C1187" s="799"/>
      <c r="D1187" s="799">
        <v>304137</v>
      </c>
      <c r="E1187" s="799">
        <v>33188256.685</v>
      </c>
      <c r="F1187" s="799">
        <v>100</v>
      </c>
      <c r="G1187" s="795">
        <f t="shared" si="127"/>
        <v>1</v>
      </c>
      <c r="H1187" s="795">
        <f t="shared" si="128"/>
        <v>1</v>
      </c>
      <c r="I1187" s="872">
        <f t="shared" si="129"/>
        <v>1</v>
      </c>
    </row>
    <row r="1189" ht="17.25" spans="1:9">
      <c r="A1189" s="829" t="s">
        <v>3155</v>
      </c>
      <c r="B1189" s="830" t="s">
        <v>2805</v>
      </c>
      <c r="C1189" s="831" t="s">
        <v>2799</v>
      </c>
      <c r="D1189" s="831" t="s">
        <v>3098</v>
      </c>
      <c r="E1189" s="831" t="s">
        <v>3099</v>
      </c>
      <c r="F1189" s="831" t="s">
        <v>3100</v>
      </c>
      <c r="G1189" s="833" t="s">
        <v>3022</v>
      </c>
      <c r="H1189" s="833" t="s">
        <v>3023</v>
      </c>
      <c r="I1189" s="834" t="s">
        <v>3101</v>
      </c>
    </row>
    <row r="1190" spans="1:9">
      <c r="B1190" s="835" t="s">
        <v>2820</v>
      </c>
      <c r="D1190" s="697">
        <v>62949</v>
      </c>
      <c r="E1190" s="697">
        <v>5650633.572</v>
      </c>
      <c r="F1190" s="697">
        <v>9</v>
      </c>
      <c r="G1190" s="852">
        <f t="shared" si="127"/>
        <v>0.206975803667426</v>
      </c>
      <c r="H1190" s="852">
        <f t="shared" si="128"/>
        <v>0.17026002979403</v>
      </c>
      <c r="I1190" s="836">
        <f t="shared" si="129"/>
        <v>0.09</v>
      </c>
    </row>
    <row r="1191" spans="1:9">
      <c r="B1191" s="835"/>
      <c r="C1191" s="697" t="s">
        <v>2815</v>
      </c>
      <c r="D1191" s="697">
        <v>61445</v>
      </c>
      <c r="E1191" s="697">
        <v>5519416.762</v>
      </c>
      <c r="F1191" s="697">
        <v>7</v>
      </c>
      <c r="G1191" s="852">
        <f t="shared" si="127"/>
        <v>0.20203066381269</v>
      </c>
      <c r="H1191" s="852">
        <f t="shared" si="128"/>
        <v>0.166306317755298</v>
      </c>
      <c r="I1191" s="836">
        <f t="shared" si="129"/>
        <v>0.07</v>
      </c>
    </row>
    <row r="1192" spans="1:9">
      <c r="B1192" s="835"/>
      <c r="C1192" s="697" t="s">
        <v>2978</v>
      </c>
      <c r="D1192" s="697">
        <v>949</v>
      </c>
      <c r="E1192" s="697">
        <v>81272.36</v>
      </c>
      <c r="F1192" s="697">
        <v>1</v>
      </c>
      <c r="G1192" s="852">
        <f t="shared" si="127"/>
        <v>0.00312030433653255</v>
      </c>
      <c r="H1192" s="852">
        <f t="shared" si="128"/>
        <v>0.0024488288363978</v>
      </c>
      <c r="I1192" s="836">
        <f t="shared" si="129"/>
        <v>0.01</v>
      </c>
    </row>
    <row r="1193" spans="1:9">
      <c r="B1193" s="835"/>
      <c r="C1193" s="697" t="s">
        <v>2829</v>
      </c>
      <c r="D1193" s="697">
        <v>555</v>
      </c>
      <c r="E1193" s="697">
        <v>49944.45</v>
      </c>
      <c r="F1193" s="697">
        <v>1</v>
      </c>
      <c r="G1193" s="852">
        <f t="shared" si="127"/>
        <v>0.00182483551820397</v>
      </c>
      <c r="H1193" s="852">
        <f t="shared" si="128"/>
        <v>0.00150488320233383</v>
      </c>
      <c r="I1193" s="836">
        <f t="shared" si="129"/>
        <v>0.01</v>
      </c>
    </row>
    <row r="1194" spans="1:9">
      <c r="B1194" s="835" t="s">
        <v>2840</v>
      </c>
      <c r="D1194" s="697">
        <v>47906</v>
      </c>
      <c r="E1194" s="697">
        <v>5244223.682</v>
      </c>
      <c r="F1194" s="697">
        <v>9</v>
      </c>
      <c r="G1194" s="852">
        <f t="shared" si="127"/>
        <v>0.157514541144287</v>
      </c>
      <c r="H1194" s="852">
        <f t="shared" si="128"/>
        <v>0.15801443660553</v>
      </c>
      <c r="I1194" s="836">
        <f t="shared" si="129"/>
        <v>0.09</v>
      </c>
    </row>
    <row r="1195" spans="1:9">
      <c r="B1195" s="835"/>
      <c r="C1195" s="697" t="s">
        <v>2815</v>
      </c>
      <c r="D1195" s="697">
        <v>36671</v>
      </c>
      <c r="E1195" s="697">
        <v>4012652.724</v>
      </c>
      <c r="F1195" s="697">
        <v>6</v>
      </c>
      <c r="G1195" s="852">
        <f t="shared" si="127"/>
        <v>0.120573951870374</v>
      </c>
      <c r="H1195" s="852">
        <f t="shared" si="128"/>
        <v>0.120905799966697</v>
      </c>
      <c r="I1195" s="836">
        <f t="shared" si="129"/>
        <v>0.06</v>
      </c>
    </row>
    <row r="1196" spans="1:9">
      <c r="B1196" s="835"/>
      <c r="C1196" s="697" t="s">
        <v>2829</v>
      </c>
      <c r="D1196" s="697">
        <v>10695</v>
      </c>
      <c r="E1196" s="697">
        <v>1175956.36</v>
      </c>
      <c r="F1196" s="697">
        <v>2</v>
      </c>
      <c r="G1196" s="852">
        <f t="shared" si="127"/>
        <v>0.0351650736345792</v>
      </c>
      <c r="H1196" s="852">
        <f t="shared" si="128"/>
        <v>0.0354329054147485</v>
      </c>
      <c r="I1196" s="836">
        <f t="shared" si="129"/>
        <v>0.02</v>
      </c>
    </row>
    <row r="1197" spans="1:9">
      <c r="B1197" s="835"/>
      <c r="C1197" s="697" t="s">
        <v>2895</v>
      </c>
      <c r="D1197" s="697">
        <v>540</v>
      </c>
      <c r="E1197" s="697">
        <v>55614.598</v>
      </c>
      <c r="F1197" s="697">
        <v>1</v>
      </c>
      <c r="G1197" s="852">
        <f t="shared" si="127"/>
        <v>0.00177551563933359</v>
      </c>
      <c r="H1197" s="852">
        <f t="shared" si="128"/>
        <v>0.00167573122408493</v>
      </c>
      <c r="I1197" s="836">
        <f t="shared" si="129"/>
        <v>0.01</v>
      </c>
    </row>
    <row r="1198" spans="1:9">
      <c r="B1198" s="835" t="s">
        <v>2830</v>
      </c>
      <c r="D1198" s="697">
        <v>30081</v>
      </c>
      <c r="E1198" s="697">
        <v>2536849.225</v>
      </c>
      <c r="F1198" s="697">
        <v>7</v>
      </c>
      <c r="G1198" s="852">
        <f t="shared" si="127"/>
        <v>0.098906085086655</v>
      </c>
      <c r="H1198" s="852">
        <f t="shared" si="128"/>
        <v>0.0764381585052213</v>
      </c>
      <c r="I1198" s="836">
        <f t="shared" si="129"/>
        <v>0.07</v>
      </c>
    </row>
    <row r="1199" spans="1:9">
      <c r="B1199" s="835"/>
      <c r="C1199" s="697" t="s">
        <v>2829</v>
      </c>
      <c r="D1199" s="697">
        <v>25976</v>
      </c>
      <c r="E1199" s="697">
        <v>2136249.865</v>
      </c>
      <c r="F1199" s="697">
        <v>4</v>
      </c>
      <c r="G1199" s="852">
        <f t="shared" si="127"/>
        <v>0.0854088782357951</v>
      </c>
      <c r="H1199" s="852">
        <f t="shared" si="128"/>
        <v>0.0643676432081326</v>
      </c>
      <c r="I1199" s="836">
        <f t="shared" si="129"/>
        <v>0.04</v>
      </c>
    </row>
    <row r="1200" spans="1:9">
      <c r="B1200" s="835"/>
      <c r="C1200" s="697" t="s">
        <v>2815</v>
      </c>
      <c r="D1200" s="697">
        <v>4105</v>
      </c>
      <c r="E1200" s="697">
        <v>400599.36</v>
      </c>
      <c r="F1200" s="697">
        <v>3</v>
      </c>
      <c r="G1200" s="852">
        <f t="shared" si="127"/>
        <v>0.01349720685086</v>
      </c>
      <c r="H1200" s="852">
        <f t="shared" si="128"/>
        <v>0.0120705152970887</v>
      </c>
      <c r="I1200" s="836">
        <f t="shared" si="129"/>
        <v>0.03</v>
      </c>
    </row>
    <row r="1201" spans="2:9">
      <c r="B1201" s="835" t="s">
        <v>2916</v>
      </c>
      <c r="D1201" s="697">
        <v>22156</v>
      </c>
      <c r="E1201" s="697">
        <v>1094253.623</v>
      </c>
      <c r="F1201" s="697">
        <v>6</v>
      </c>
      <c r="G1201" s="852">
        <f t="shared" si="127"/>
        <v>0.0728487490834722</v>
      </c>
      <c r="H1201" s="852">
        <f t="shared" si="128"/>
        <v>0.0329711088288216</v>
      </c>
      <c r="I1201" s="836">
        <f t="shared" si="129"/>
        <v>0.06</v>
      </c>
    </row>
    <row r="1202" spans="2:9">
      <c r="B1202" s="835"/>
      <c r="C1202" s="697" t="s">
        <v>2815</v>
      </c>
      <c r="D1202" s="697">
        <v>21319</v>
      </c>
      <c r="E1202" s="697">
        <v>1053608.9</v>
      </c>
      <c r="F1202" s="697">
        <v>5</v>
      </c>
      <c r="G1202" s="852">
        <f t="shared" si="127"/>
        <v>0.0700966998425052</v>
      </c>
      <c r="H1202" s="852">
        <f t="shared" si="128"/>
        <v>0.0317464370002958</v>
      </c>
      <c r="I1202" s="836">
        <f t="shared" si="129"/>
        <v>0.05</v>
      </c>
    </row>
    <row r="1203" spans="2:9">
      <c r="B1203" s="835"/>
      <c r="C1203" s="697" t="s">
        <v>2949</v>
      </c>
      <c r="D1203" s="697">
        <v>837</v>
      </c>
      <c r="E1203" s="697">
        <v>40644.723</v>
      </c>
      <c r="F1203" s="697">
        <v>1</v>
      </c>
      <c r="G1203" s="852">
        <f t="shared" si="127"/>
        <v>0.00275204924096706</v>
      </c>
      <c r="H1203" s="852">
        <f t="shared" si="128"/>
        <v>0.00122467182852572</v>
      </c>
      <c r="I1203" s="836">
        <f t="shared" si="129"/>
        <v>0.01</v>
      </c>
    </row>
    <row r="1204" spans="2:9">
      <c r="B1204" s="835" t="s">
        <v>2857</v>
      </c>
      <c r="D1204" s="697">
        <v>21766</v>
      </c>
      <c r="E1204" s="697">
        <v>4931042.56</v>
      </c>
      <c r="F1204" s="697">
        <v>7</v>
      </c>
      <c r="G1204" s="852">
        <f t="shared" si="127"/>
        <v>0.0715664322328424</v>
      </c>
      <c r="H1204" s="852">
        <f t="shared" si="128"/>
        <v>0.1485779324537</v>
      </c>
      <c r="I1204" s="836">
        <f t="shared" si="129"/>
        <v>0.07</v>
      </c>
    </row>
    <row r="1205" spans="2:9">
      <c r="B1205" s="835"/>
      <c r="C1205" s="697" t="s">
        <v>2829</v>
      </c>
      <c r="D1205" s="697">
        <v>13858</v>
      </c>
      <c r="E1205" s="697">
        <v>2855271.36</v>
      </c>
      <c r="F1205" s="697">
        <v>3</v>
      </c>
      <c r="G1205" s="852">
        <f t="shared" si="127"/>
        <v>0.0455649920923794</v>
      </c>
      <c r="H1205" s="852">
        <f t="shared" si="128"/>
        <v>0.0860325803521487</v>
      </c>
      <c r="I1205" s="836">
        <f t="shared" si="129"/>
        <v>0.03</v>
      </c>
    </row>
    <row r="1206" spans="2:9">
      <c r="B1206" s="835"/>
      <c r="C1206" s="697" t="s">
        <v>2895</v>
      </c>
      <c r="D1206" s="697">
        <v>4628</v>
      </c>
      <c r="E1206" s="697">
        <v>1354335.2</v>
      </c>
      <c r="F1206" s="697">
        <v>3</v>
      </c>
      <c r="G1206" s="852">
        <f t="shared" si="127"/>
        <v>0.0152168266274738</v>
      </c>
      <c r="H1206" s="852">
        <f t="shared" si="128"/>
        <v>0.0408076631699704</v>
      </c>
      <c r="I1206" s="836">
        <f t="shared" si="129"/>
        <v>0.03</v>
      </c>
    </row>
    <row r="1207" spans="2:9">
      <c r="B1207" s="835"/>
      <c r="C1207" s="697" t="s">
        <v>2815</v>
      </c>
      <c r="D1207" s="697">
        <v>3280</v>
      </c>
      <c r="E1207" s="697">
        <v>721436</v>
      </c>
      <c r="F1207" s="697">
        <v>1</v>
      </c>
      <c r="G1207" s="852">
        <f t="shared" si="127"/>
        <v>0.0107846135129892</v>
      </c>
      <c r="H1207" s="852">
        <f t="shared" si="128"/>
        <v>0.0217376889315812</v>
      </c>
      <c r="I1207" s="836">
        <f t="shared" si="129"/>
        <v>0.01</v>
      </c>
    </row>
    <row r="1208" spans="2:9">
      <c r="B1208" s="835" t="s">
        <v>2882</v>
      </c>
      <c r="D1208" s="697">
        <v>20334</v>
      </c>
      <c r="E1208" s="697">
        <v>1415899.706</v>
      </c>
      <c r="F1208" s="697">
        <v>10</v>
      </c>
      <c r="G1208" s="852">
        <f t="shared" si="127"/>
        <v>0.0668580277966837</v>
      </c>
      <c r="H1208" s="852">
        <f t="shared" si="128"/>
        <v>0.042662671903461</v>
      </c>
      <c r="I1208" s="836">
        <f t="shared" si="129"/>
        <v>0.1</v>
      </c>
    </row>
    <row r="1209" spans="2:9">
      <c r="B1209" s="835"/>
      <c r="C1209" s="697" t="s">
        <v>2815</v>
      </c>
      <c r="D1209" s="697">
        <v>12977</v>
      </c>
      <c r="E1209" s="697">
        <v>860459.613</v>
      </c>
      <c r="F1209" s="697">
        <v>6</v>
      </c>
      <c r="G1209" s="852">
        <f t="shared" si="127"/>
        <v>0.0426682712067259</v>
      </c>
      <c r="H1209" s="852">
        <f t="shared" si="128"/>
        <v>0.0259266288424514</v>
      </c>
      <c r="I1209" s="836">
        <f t="shared" si="129"/>
        <v>0.06</v>
      </c>
    </row>
    <row r="1210" spans="2:9">
      <c r="B1210" s="835"/>
      <c r="C1210" s="697" t="s">
        <v>2829</v>
      </c>
      <c r="D1210" s="697">
        <v>6584</v>
      </c>
      <c r="E1210" s="697">
        <v>503604.14</v>
      </c>
      <c r="F1210" s="697">
        <v>2</v>
      </c>
      <c r="G1210" s="852">
        <f t="shared" si="127"/>
        <v>0.021648138832171</v>
      </c>
      <c r="H1210" s="852">
        <f t="shared" si="128"/>
        <v>0.0151741667174586</v>
      </c>
      <c r="I1210" s="836">
        <f t="shared" si="129"/>
        <v>0.02</v>
      </c>
    </row>
    <row r="1211" spans="2:9">
      <c r="B1211" s="835"/>
      <c r="C1211" s="697" t="s">
        <v>2990</v>
      </c>
      <c r="D1211" s="697">
        <v>532</v>
      </c>
      <c r="E1211" s="697">
        <v>34968.363</v>
      </c>
      <c r="F1211" s="697">
        <v>1</v>
      </c>
      <c r="G1211" s="852">
        <f t="shared" si="127"/>
        <v>0.00174921170393606</v>
      </c>
      <c r="H1211" s="852">
        <f t="shared" si="128"/>
        <v>0.00105363663213454</v>
      </c>
      <c r="I1211" s="836">
        <f t="shared" si="129"/>
        <v>0.01</v>
      </c>
    </row>
    <row r="1212" spans="2:9">
      <c r="B1212" s="835"/>
      <c r="C1212" s="697" t="s">
        <v>2895</v>
      </c>
      <c r="D1212" s="697">
        <v>241</v>
      </c>
      <c r="E1212" s="697">
        <v>16867.59</v>
      </c>
      <c r="F1212" s="697">
        <v>1</v>
      </c>
      <c r="G1212" s="852">
        <f t="shared" si="127"/>
        <v>0.000792406053850732</v>
      </c>
      <c r="H1212" s="852">
        <f t="shared" si="128"/>
        <v>0.000508239711416466</v>
      </c>
      <c r="I1212" s="836">
        <f t="shared" si="129"/>
        <v>0.01</v>
      </c>
    </row>
    <row r="1213" spans="2:9">
      <c r="B1213" s="835" t="s">
        <v>2880</v>
      </c>
      <c r="D1213" s="870">
        <v>13945</v>
      </c>
      <c r="E1213" s="870">
        <v>2760257.51</v>
      </c>
      <c r="F1213" s="870">
        <v>5</v>
      </c>
      <c r="G1213" s="852">
        <f t="shared" si="127"/>
        <v>0.0458510473898276</v>
      </c>
      <c r="H1213" s="852">
        <f t="shared" si="128"/>
        <v>0.0831697047602848</v>
      </c>
      <c r="I1213" s="836">
        <f t="shared" si="129"/>
        <v>0.05</v>
      </c>
    </row>
    <row r="1214" spans="2:9">
      <c r="B1214" s="835"/>
      <c r="C1214" s="697" t="s">
        <v>2829</v>
      </c>
      <c r="D1214" s="697">
        <v>12357</v>
      </c>
      <c r="E1214" s="697">
        <v>2467026.56</v>
      </c>
      <c r="F1214" s="697">
        <v>3</v>
      </c>
      <c r="G1214" s="852">
        <f t="shared" si="127"/>
        <v>0.040629716213417</v>
      </c>
      <c r="H1214" s="852">
        <f t="shared" si="128"/>
        <v>0.0743343220288824</v>
      </c>
      <c r="I1214" s="836">
        <f t="shared" si="129"/>
        <v>0.03</v>
      </c>
    </row>
    <row r="1215" spans="2:9">
      <c r="B1215" s="835"/>
      <c r="C1215" s="697" t="s">
        <v>2815</v>
      </c>
      <c r="D1215" s="697">
        <v>1588</v>
      </c>
      <c r="E1215" s="697">
        <v>293230.95</v>
      </c>
      <c r="F1215" s="697">
        <v>2</v>
      </c>
      <c r="G1215" s="852">
        <f t="shared" si="127"/>
        <v>0.00522133117641063</v>
      </c>
      <c r="H1215" s="852">
        <f t="shared" si="128"/>
        <v>0.00883538273140242</v>
      </c>
      <c r="I1215" s="836">
        <f t="shared" si="129"/>
        <v>0.02</v>
      </c>
    </row>
    <row r="1216" spans="2:9">
      <c r="B1216" s="835" t="s">
        <v>2887</v>
      </c>
      <c r="D1216" s="697">
        <v>13332</v>
      </c>
      <c r="E1216" s="697">
        <v>1910386.67</v>
      </c>
      <c r="F1216" s="697">
        <v>6</v>
      </c>
      <c r="G1216" s="852">
        <f t="shared" si="127"/>
        <v>0.0438355083399915</v>
      </c>
      <c r="H1216" s="852">
        <f t="shared" si="128"/>
        <v>0.0575621277168027</v>
      </c>
      <c r="I1216" s="836">
        <f t="shared" si="129"/>
        <v>0.06</v>
      </c>
    </row>
    <row r="1217" spans="2:9">
      <c r="B1217" s="835"/>
      <c r="C1217" s="697" t="s">
        <v>2829</v>
      </c>
      <c r="D1217" s="697">
        <v>11844</v>
      </c>
      <c r="E1217" s="697">
        <v>1776481.56</v>
      </c>
      <c r="F1217" s="697">
        <v>5</v>
      </c>
      <c r="G1217" s="852">
        <f t="shared" si="127"/>
        <v>0.0389429763560501</v>
      </c>
      <c r="H1217" s="852">
        <f t="shared" si="128"/>
        <v>0.0535274141351001</v>
      </c>
      <c r="I1217" s="836">
        <f t="shared" si="129"/>
        <v>0.05</v>
      </c>
    </row>
    <row r="1218" spans="2:9">
      <c r="B1218" s="835"/>
      <c r="C1218" s="697" t="s">
        <v>2815</v>
      </c>
      <c r="D1218" s="697">
        <v>1488</v>
      </c>
      <c r="E1218" s="697">
        <v>133905.11</v>
      </c>
      <c r="F1218" s="697">
        <v>1</v>
      </c>
      <c r="G1218" s="852">
        <f t="shared" si="127"/>
        <v>0.00489253198394145</v>
      </c>
      <c r="H1218" s="852">
        <f t="shared" si="128"/>
        <v>0.00403471358170255</v>
      </c>
      <c r="I1218" s="836">
        <f t="shared" si="129"/>
        <v>0.01</v>
      </c>
    </row>
    <row r="1219" spans="2:9">
      <c r="B1219" s="835" t="s">
        <v>2864</v>
      </c>
      <c r="D1219" s="697">
        <v>11434</v>
      </c>
      <c r="E1219" s="697">
        <v>451119.21</v>
      </c>
      <c r="F1219" s="697">
        <v>5</v>
      </c>
      <c r="G1219" s="852">
        <f t="shared" si="127"/>
        <v>0.0375948996669264</v>
      </c>
      <c r="H1219" s="852">
        <f t="shared" si="128"/>
        <v>0.0135927359572307</v>
      </c>
      <c r="I1219" s="836">
        <f t="shared" si="129"/>
        <v>0.05</v>
      </c>
    </row>
    <row r="1220" spans="2:9">
      <c r="B1220" s="835"/>
      <c r="C1220" s="697" t="s">
        <v>2815</v>
      </c>
      <c r="D1220" s="697">
        <v>8247</v>
      </c>
      <c r="E1220" s="697">
        <v>329797.55</v>
      </c>
      <c r="F1220" s="697">
        <v>2</v>
      </c>
      <c r="G1220" s="852">
        <f t="shared" si="127"/>
        <v>0.0271160694029335</v>
      </c>
      <c r="H1220" s="852">
        <f t="shared" si="128"/>
        <v>0.00993717606592628</v>
      </c>
      <c r="I1220" s="836">
        <f t="shared" si="129"/>
        <v>0.02</v>
      </c>
    </row>
    <row r="1221" spans="2:9">
      <c r="B1221" s="835"/>
      <c r="C1221" s="697" t="s">
        <v>2903</v>
      </c>
      <c r="D1221" s="697">
        <v>3187</v>
      </c>
      <c r="E1221" s="697">
        <v>121321.66</v>
      </c>
      <c r="F1221" s="697">
        <v>3</v>
      </c>
      <c r="G1221" s="852">
        <f t="shared" si="127"/>
        <v>0.0104788302639929</v>
      </c>
      <c r="H1221" s="852">
        <f t="shared" si="128"/>
        <v>0.00365555989130437</v>
      </c>
      <c r="I1221" s="836">
        <f t="shared" si="129"/>
        <v>0.03</v>
      </c>
    </row>
    <row r="1222" spans="2:9">
      <c r="B1222" s="835" t="s">
        <v>2906</v>
      </c>
      <c r="D1222" s="697">
        <v>11125</v>
      </c>
      <c r="E1222" s="697">
        <v>1296486.805</v>
      </c>
      <c r="F1222" s="697">
        <v>8</v>
      </c>
      <c r="G1222" s="852">
        <f t="shared" si="127"/>
        <v>0.0365789101621966</v>
      </c>
      <c r="H1222" s="852">
        <f t="shared" si="128"/>
        <v>0.0390646250963212</v>
      </c>
      <c r="I1222" s="836">
        <f t="shared" si="129"/>
        <v>0.08</v>
      </c>
    </row>
    <row r="1223" spans="2:9">
      <c r="B1223" s="835"/>
      <c r="C1223" s="697" t="s">
        <v>2815</v>
      </c>
      <c r="D1223" s="697">
        <v>6123</v>
      </c>
      <c r="E1223" s="697">
        <v>699037.755</v>
      </c>
      <c r="F1223" s="697">
        <v>6</v>
      </c>
      <c r="G1223" s="852">
        <f t="shared" si="127"/>
        <v>0.0201323745548881</v>
      </c>
      <c r="H1223" s="852">
        <f t="shared" si="128"/>
        <v>0.0210628042814898</v>
      </c>
      <c r="I1223" s="836">
        <f t="shared" si="129"/>
        <v>0.06</v>
      </c>
    </row>
    <row r="1224" spans="2:9">
      <c r="B1224" s="835"/>
      <c r="C1224" s="697" t="s">
        <v>2903</v>
      </c>
      <c r="D1224" s="697">
        <v>3245</v>
      </c>
      <c r="E1224" s="697">
        <v>389367.53</v>
      </c>
      <c r="F1224" s="697">
        <v>1</v>
      </c>
      <c r="G1224" s="852">
        <f t="shared" si="127"/>
        <v>0.010669533795625</v>
      </c>
      <c r="H1224" s="852">
        <f t="shared" si="128"/>
        <v>0.0117320874577899</v>
      </c>
      <c r="I1224" s="836">
        <f t="shared" si="129"/>
        <v>0.01</v>
      </c>
    </row>
    <row r="1225" spans="2:9">
      <c r="B1225" s="835"/>
      <c r="C1225" s="697" t="s">
        <v>2829</v>
      </c>
      <c r="D1225" s="697">
        <v>1757</v>
      </c>
      <c r="E1225" s="697">
        <v>208081.52</v>
      </c>
      <c r="F1225" s="697">
        <v>1</v>
      </c>
      <c r="G1225" s="852">
        <f t="shared" si="127"/>
        <v>0.00577700181168355</v>
      </c>
      <c r="H1225" s="852">
        <f t="shared" si="128"/>
        <v>0.0062697333570415</v>
      </c>
      <c r="I1225" s="836">
        <f t="shared" si="129"/>
        <v>0.01</v>
      </c>
    </row>
    <row r="1226" spans="2:9">
      <c r="B1226" s="835" t="s">
        <v>2890</v>
      </c>
      <c r="D1226" s="697">
        <v>10248</v>
      </c>
      <c r="E1226" s="697">
        <v>1638632.6</v>
      </c>
      <c r="F1226" s="697">
        <v>3</v>
      </c>
      <c r="G1226" s="852">
        <f t="shared" si="127"/>
        <v>0.0336953412442419</v>
      </c>
      <c r="H1226" s="852">
        <f t="shared" si="128"/>
        <v>0.0493738678579224</v>
      </c>
      <c r="I1226" s="836">
        <f t="shared" si="129"/>
        <v>0.03</v>
      </c>
    </row>
    <row r="1227" spans="2:9">
      <c r="B1227" s="835"/>
      <c r="C1227" s="697" t="s">
        <v>2829</v>
      </c>
      <c r="D1227" s="697">
        <v>10248</v>
      </c>
      <c r="E1227" s="697">
        <v>1638632.6</v>
      </c>
      <c r="F1227" s="697">
        <v>3</v>
      </c>
      <c r="G1227" s="852">
        <f t="shared" si="127"/>
        <v>0.0336953412442419</v>
      </c>
      <c r="H1227" s="852">
        <f t="shared" si="128"/>
        <v>0.0493738678579224</v>
      </c>
      <c r="I1227" s="836">
        <f t="shared" si="129"/>
        <v>0.03</v>
      </c>
    </row>
    <row r="1228" spans="2:9">
      <c r="B1228" s="835" t="s">
        <v>2866</v>
      </c>
      <c r="D1228" s="697">
        <v>10072</v>
      </c>
      <c r="E1228" s="697">
        <v>596203.979</v>
      </c>
      <c r="F1228" s="697">
        <v>4</v>
      </c>
      <c r="G1228" s="852">
        <f t="shared" si="127"/>
        <v>0.0331166546654961</v>
      </c>
      <c r="H1228" s="852">
        <f t="shared" si="128"/>
        <v>0.0179643054065405</v>
      </c>
      <c r="I1228" s="836">
        <f t="shared" si="129"/>
        <v>0.04</v>
      </c>
    </row>
    <row r="1229" spans="2:9">
      <c r="B1229" s="835"/>
      <c r="C1229" s="697" t="s">
        <v>2815</v>
      </c>
      <c r="D1229" s="697">
        <v>9450</v>
      </c>
      <c r="E1229" s="697">
        <v>562734.159</v>
      </c>
      <c r="F1229" s="697">
        <v>3</v>
      </c>
      <c r="G1229" s="852">
        <f t="shared" si="127"/>
        <v>0.0310715236883378</v>
      </c>
      <c r="H1229" s="852">
        <f t="shared" si="128"/>
        <v>0.0169558215829498</v>
      </c>
      <c r="I1229" s="836">
        <f t="shared" si="129"/>
        <v>0.03</v>
      </c>
    </row>
    <row r="1230" spans="2:9">
      <c r="B1230" s="835"/>
      <c r="C1230" s="697" t="s">
        <v>2903</v>
      </c>
      <c r="D1230" s="697">
        <v>622</v>
      </c>
      <c r="E1230" s="697">
        <v>33469.82</v>
      </c>
      <c r="F1230" s="697">
        <v>1</v>
      </c>
      <c r="G1230" s="852">
        <f t="shared" si="127"/>
        <v>0.00204513097715832</v>
      </c>
      <c r="H1230" s="852">
        <f t="shared" si="128"/>
        <v>0.00100848382359075</v>
      </c>
      <c r="I1230" s="836">
        <f t="shared" si="129"/>
        <v>0.01</v>
      </c>
    </row>
    <row r="1231" spans="2:9">
      <c r="B1231" s="835" t="s">
        <v>2871</v>
      </c>
      <c r="D1231" s="697">
        <v>7304</v>
      </c>
      <c r="E1231" s="697">
        <v>1460474.16</v>
      </c>
      <c r="F1231" s="697">
        <v>2</v>
      </c>
      <c r="G1231" s="852">
        <f t="shared" si="127"/>
        <v>0.0240154930179491</v>
      </c>
      <c r="H1231" s="852">
        <f t="shared" si="128"/>
        <v>0.0440057510058998</v>
      </c>
      <c r="I1231" s="836">
        <f t="shared" si="129"/>
        <v>0.02</v>
      </c>
    </row>
    <row r="1232" spans="2:9">
      <c r="B1232" s="835"/>
      <c r="C1232" s="697" t="s">
        <v>2829</v>
      </c>
      <c r="D1232" s="697">
        <v>7304</v>
      </c>
      <c r="E1232" s="697">
        <v>1460474.16</v>
      </c>
      <c r="F1232" s="697">
        <v>2</v>
      </c>
      <c r="G1232" s="852">
        <f t="shared" si="127"/>
        <v>0.0240154930179491</v>
      </c>
      <c r="H1232" s="852">
        <f t="shared" si="128"/>
        <v>0.0440057510058998</v>
      </c>
      <c r="I1232" s="836">
        <f t="shared" si="129"/>
        <v>0.02</v>
      </c>
    </row>
    <row r="1233" spans="2:9">
      <c r="B1233" s="835" t="s">
        <v>2939</v>
      </c>
      <c r="D1233" s="697">
        <v>6845</v>
      </c>
      <c r="E1233" s="697">
        <v>523813.385</v>
      </c>
      <c r="F1233" s="697">
        <v>7</v>
      </c>
      <c r="G1233" s="852">
        <f t="shared" si="127"/>
        <v>0.0225063047245156</v>
      </c>
      <c r="H1233" s="852">
        <f t="shared" si="128"/>
        <v>0.0157830943026527</v>
      </c>
      <c r="I1233" s="836">
        <f t="shared" si="129"/>
        <v>0.07</v>
      </c>
    </row>
    <row r="1234" spans="2:9">
      <c r="B1234" s="835"/>
      <c r="C1234" s="697" t="s">
        <v>2815</v>
      </c>
      <c r="D1234" s="697">
        <v>6845</v>
      </c>
      <c r="E1234" s="697">
        <v>523813.385</v>
      </c>
      <c r="F1234" s="697">
        <v>7</v>
      </c>
      <c r="G1234" s="852">
        <f t="shared" si="127"/>
        <v>0.0225063047245156</v>
      </c>
      <c r="H1234" s="852">
        <f t="shared" si="128"/>
        <v>0.0157830943026527</v>
      </c>
      <c r="I1234" s="836">
        <f t="shared" si="129"/>
        <v>0.07</v>
      </c>
    </row>
    <row r="1235" spans="2:9">
      <c r="B1235" s="835" t="s">
        <v>2913</v>
      </c>
      <c r="D1235" s="697">
        <v>3891</v>
      </c>
      <c r="E1235" s="697">
        <v>597582.11</v>
      </c>
      <c r="F1235" s="697">
        <v>3</v>
      </c>
      <c r="G1235" s="852">
        <f t="shared" si="127"/>
        <v>0.0127935765789759</v>
      </c>
      <c r="H1235" s="852">
        <f t="shared" si="128"/>
        <v>0.0180058300642856</v>
      </c>
      <c r="I1235" s="836">
        <f t="shared" si="129"/>
        <v>0.03</v>
      </c>
    </row>
    <row r="1236" spans="2:9">
      <c r="B1236" s="835"/>
      <c r="C1236" s="697" t="s">
        <v>2829</v>
      </c>
      <c r="D1236" s="697">
        <v>2205</v>
      </c>
      <c r="E1236" s="697">
        <v>352777.97</v>
      </c>
      <c r="F1236" s="697">
        <v>1</v>
      </c>
      <c r="G1236" s="852">
        <f t="shared" si="127"/>
        <v>0.00725002219394549</v>
      </c>
      <c r="H1236" s="852">
        <f t="shared" si="128"/>
        <v>0.0106296023122975</v>
      </c>
      <c r="I1236" s="836">
        <f t="shared" si="129"/>
        <v>0.01</v>
      </c>
    </row>
    <row r="1237" spans="2:9">
      <c r="B1237" s="835"/>
      <c r="C1237" s="697" t="s">
        <v>2815</v>
      </c>
      <c r="D1237" s="697">
        <v>1686</v>
      </c>
      <c r="E1237" s="697">
        <v>244804.14</v>
      </c>
      <c r="F1237" s="697">
        <v>2</v>
      </c>
      <c r="G1237" s="852">
        <f t="shared" si="127"/>
        <v>0.00554355438503043</v>
      </c>
      <c r="H1237" s="852">
        <f t="shared" si="128"/>
        <v>0.00737622775198805</v>
      </c>
      <c r="I1237" s="836">
        <f t="shared" si="129"/>
        <v>0.02</v>
      </c>
    </row>
    <row r="1238" spans="2:9">
      <c r="B1238" s="835" t="s">
        <v>3006</v>
      </c>
      <c r="D1238" s="697">
        <v>3836</v>
      </c>
      <c r="E1238" s="697">
        <v>22478.96</v>
      </c>
      <c r="F1238" s="697">
        <v>1</v>
      </c>
      <c r="G1238" s="852">
        <f t="shared" si="127"/>
        <v>0.0126127370231179</v>
      </c>
      <c r="H1238" s="852">
        <f t="shared" si="128"/>
        <v>0.000677316685035757</v>
      </c>
      <c r="I1238" s="836">
        <f t="shared" si="129"/>
        <v>0.01</v>
      </c>
    </row>
    <row r="1239" spans="2:9">
      <c r="B1239" s="835"/>
      <c r="C1239" s="697" t="s">
        <v>2903</v>
      </c>
      <c r="D1239" s="697">
        <v>3836</v>
      </c>
      <c r="E1239" s="697">
        <v>22478.96</v>
      </c>
      <c r="F1239" s="697">
        <v>1</v>
      </c>
      <c r="G1239" s="852">
        <f t="shared" si="127"/>
        <v>0.0126127370231179</v>
      </c>
      <c r="H1239" s="852">
        <f t="shared" si="128"/>
        <v>0.000677316685035757</v>
      </c>
      <c r="I1239" s="836">
        <f t="shared" si="129"/>
        <v>0.01</v>
      </c>
    </row>
    <row r="1240" spans="2:9">
      <c r="B1240" s="835" t="s">
        <v>2924</v>
      </c>
      <c r="D1240" s="870">
        <v>3212</v>
      </c>
      <c r="E1240" s="870">
        <v>577089.728</v>
      </c>
      <c r="F1240" s="870">
        <v>3</v>
      </c>
      <c r="G1240" s="852">
        <f t="shared" si="127"/>
        <v>0.0105610300621102</v>
      </c>
      <c r="H1240" s="852">
        <f t="shared" si="128"/>
        <v>0.0173883712385781</v>
      </c>
      <c r="I1240" s="836">
        <f t="shared" si="129"/>
        <v>0.03</v>
      </c>
    </row>
    <row r="1241" spans="2:9">
      <c r="B1241" s="835"/>
      <c r="C1241" s="697" t="s">
        <v>2815</v>
      </c>
      <c r="D1241" s="697">
        <v>2178</v>
      </c>
      <c r="E1241" s="697">
        <v>392003.728</v>
      </c>
      <c r="F1241" s="697">
        <v>2</v>
      </c>
      <c r="G1241" s="852">
        <f t="shared" si="127"/>
        <v>0.00716124641197881</v>
      </c>
      <c r="H1241" s="852">
        <f t="shared" si="128"/>
        <v>0.0118115191081179</v>
      </c>
      <c r="I1241" s="836">
        <f t="shared" si="129"/>
        <v>0.02</v>
      </c>
    </row>
    <row r="1242" spans="2:9">
      <c r="B1242" s="835"/>
      <c r="C1242" s="697" t="s">
        <v>2895</v>
      </c>
      <c r="D1242" s="697">
        <v>1034</v>
      </c>
      <c r="E1242" s="697">
        <v>185086</v>
      </c>
      <c r="F1242" s="697">
        <v>1</v>
      </c>
      <c r="G1242" s="852">
        <f t="shared" si="127"/>
        <v>0.00339978365013136</v>
      </c>
      <c r="H1242" s="852">
        <f t="shared" si="128"/>
        <v>0.00557685213046013</v>
      </c>
      <c r="I1242" s="836">
        <f t="shared" si="129"/>
        <v>0.01</v>
      </c>
    </row>
    <row r="1243" spans="2:9">
      <c r="B1243" s="835" t="s">
        <v>2937</v>
      </c>
      <c r="D1243" s="697">
        <v>2527</v>
      </c>
      <c r="E1243" s="697">
        <v>318510.93</v>
      </c>
      <c r="F1243" s="697">
        <v>3</v>
      </c>
      <c r="G1243" s="852">
        <f t="shared" si="127"/>
        <v>0.00830875559369626</v>
      </c>
      <c r="H1243" s="852">
        <f t="shared" si="128"/>
        <v>0.00959709734148092</v>
      </c>
      <c r="I1243" s="836">
        <f t="shared" si="129"/>
        <v>0.03</v>
      </c>
    </row>
    <row r="1244" spans="2:9">
      <c r="B1244" s="835"/>
      <c r="C1244" s="697" t="s">
        <v>2829</v>
      </c>
      <c r="D1244" s="697">
        <v>2527</v>
      </c>
      <c r="E1244" s="697">
        <v>318510.93</v>
      </c>
      <c r="F1244" s="697">
        <v>3</v>
      </c>
      <c r="G1244" s="852">
        <f t="shared" si="127"/>
        <v>0.00830875559369626</v>
      </c>
      <c r="H1244" s="852">
        <f t="shared" si="128"/>
        <v>0.00959709734148092</v>
      </c>
      <c r="I1244" s="836">
        <f t="shared" si="129"/>
        <v>0.03</v>
      </c>
    </row>
    <row r="1245" spans="2:9">
      <c r="B1245" s="835" t="s">
        <v>2984</v>
      </c>
      <c r="D1245" s="697">
        <v>1174</v>
      </c>
      <c r="E1245" s="697">
        <v>162318.27</v>
      </c>
      <c r="F1245" s="697">
        <v>2</v>
      </c>
      <c r="G1245" s="852">
        <f t="shared" si="127"/>
        <v>0.00386010251958821</v>
      </c>
      <c r="H1245" s="852">
        <f t="shared" si="128"/>
        <v>0.00489083447620081</v>
      </c>
      <c r="I1245" s="836">
        <f t="shared" si="129"/>
        <v>0.02</v>
      </c>
    </row>
    <row r="1246" spans="2:9">
      <c r="B1246" s="835"/>
      <c r="C1246" s="697" t="s">
        <v>2815</v>
      </c>
      <c r="D1246" s="697">
        <v>768</v>
      </c>
      <c r="E1246" s="697">
        <v>107512.33</v>
      </c>
      <c r="F1246" s="697">
        <v>1</v>
      </c>
      <c r="G1246" s="852">
        <f t="shared" si="127"/>
        <v>0.00252517779816333</v>
      </c>
      <c r="H1246" s="852">
        <f t="shared" si="128"/>
        <v>0.00323946903931812</v>
      </c>
      <c r="I1246" s="836">
        <f t="shared" si="129"/>
        <v>0.01</v>
      </c>
    </row>
    <row r="1247" spans="2:9">
      <c r="B1247" s="835"/>
      <c r="C1247" s="697" t="s">
        <v>2829</v>
      </c>
      <c r="D1247" s="697">
        <v>406</v>
      </c>
      <c r="E1247" s="697">
        <v>54805.94</v>
      </c>
      <c r="F1247" s="697">
        <v>1</v>
      </c>
      <c r="G1247" s="852">
        <f t="shared" si="127"/>
        <v>0.00133492472142488</v>
      </c>
      <c r="H1247" s="852">
        <f t="shared" si="128"/>
        <v>0.00165136543688269</v>
      </c>
      <c r="I1247" s="836">
        <f t="shared" si="129"/>
        <v>0.01</v>
      </c>
    </row>
    <row r="1248" ht="17.25" spans="2:9">
      <c r="B1248" s="871" t="s">
        <v>3102</v>
      </c>
      <c r="C1248" s="799"/>
      <c r="D1248" s="799">
        <v>304137</v>
      </c>
      <c r="E1248" s="799">
        <v>33188256.685</v>
      </c>
      <c r="F1248" s="799">
        <v>100</v>
      </c>
      <c r="G1248" s="795">
        <f t="shared" si="127"/>
        <v>1</v>
      </c>
      <c r="H1248" s="795">
        <f t="shared" si="128"/>
        <v>1</v>
      </c>
      <c r="I1248" s="872">
        <f t="shared" si="129"/>
        <v>1</v>
      </c>
    </row>
    <row r="1250" ht="17.25" spans="1:9">
      <c r="A1250" s="829" t="s">
        <v>3156</v>
      </c>
      <c r="B1250" s="830" t="s">
        <v>2805</v>
      </c>
      <c r="C1250" s="831" t="s">
        <v>2804</v>
      </c>
      <c r="D1250" s="831" t="s">
        <v>3098</v>
      </c>
      <c r="E1250" s="831" t="s">
        <v>3099</v>
      </c>
      <c r="F1250" s="831" t="s">
        <v>3100</v>
      </c>
      <c r="G1250" s="833" t="s">
        <v>3022</v>
      </c>
      <c r="H1250" s="833" t="s">
        <v>3023</v>
      </c>
      <c r="I1250" s="834" t="s">
        <v>3101</v>
      </c>
    </row>
    <row r="1251" spans="1:9">
      <c r="B1251" s="835" t="s">
        <v>2820</v>
      </c>
      <c r="C1251" s="787"/>
      <c r="D1251" s="787">
        <v>62949</v>
      </c>
      <c r="E1251" s="787">
        <v>5650633.572</v>
      </c>
      <c r="F1251" s="787">
        <v>9</v>
      </c>
      <c r="G1251" s="852">
        <f t="shared" ref="G1251:G1309" si="130">D1251/$C$150</f>
        <v>0.206975803667426</v>
      </c>
      <c r="H1251" s="852">
        <f t="shared" ref="H1251:H1309" si="131">E1251/$D$150</f>
        <v>0.17026002979403</v>
      </c>
      <c r="I1251" s="836">
        <f t="shared" ref="I1251:I1309" si="132">F1251/$E$150</f>
        <v>0.09</v>
      </c>
    </row>
    <row r="1252" spans="1:9">
      <c r="B1252" s="835"/>
      <c r="C1252" s="873" t="s">
        <v>2819</v>
      </c>
      <c r="D1252" s="873">
        <v>38291</v>
      </c>
      <c r="E1252" s="873">
        <v>3431625.262</v>
      </c>
      <c r="F1252" s="873">
        <v>4</v>
      </c>
      <c r="G1252" s="852">
        <f t="shared" si="130"/>
        <v>0.125900498788375</v>
      </c>
      <c r="H1252" s="852">
        <f t="shared" si="131"/>
        <v>0.103398780314694</v>
      </c>
      <c r="I1252" s="836">
        <f t="shared" si="132"/>
        <v>0.04</v>
      </c>
    </row>
    <row r="1253" spans="1:9">
      <c r="B1253" s="835"/>
      <c r="C1253" s="787" t="s">
        <v>2850</v>
      </c>
      <c r="D1253" s="787">
        <v>21741</v>
      </c>
      <c r="E1253" s="787">
        <v>1956472.5</v>
      </c>
      <c r="F1253" s="787">
        <v>1</v>
      </c>
      <c r="G1253" s="852">
        <f t="shared" si="130"/>
        <v>0.0714842324347251</v>
      </c>
      <c r="H1253" s="852">
        <f t="shared" si="131"/>
        <v>0.0589507463007016</v>
      </c>
      <c r="I1253" s="836">
        <f t="shared" si="132"/>
        <v>0.01</v>
      </c>
    </row>
    <row r="1254" spans="1:9">
      <c r="B1254" s="835"/>
      <c r="C1254" s="787" t="s">
        <v>2839</v>
      </c>
      <c r="D1254" s="787">
        <v>2035</v>
      </c>
      <c r="E1254" s="787">
        <v>174344.63</v>
      </c>
      <c r="F1254" s="787">
        <v>3</v>
      </c>
      <c r="G1254" s="852">
        <f t="shared" si="130"/>
        <v>0.00669106356674788</v>
      </c>
      <c r="H1254" s="852">
        <f t="shared" si="131"/>
        <v>0.00525320240995961</v>
      </c>
      <c r="I1254" s="836">
        <f t="shared" si="132"/>
        <v>0.03</v>
      </c>
    </row>
    <row r="1255" spans="1:9">
      <c r="B1255" s="835"/>
      <c r="C1255" s="787" t="s">
        <v>2971</v>
      </c>
      <c r="D1255" s="787">
        <v>882</v>
      </c>
      <c r="E1255" s="787">
        <v>88191.18</v>
      </c>
      <c r="F1255" s="787">
        <v>1</v>
      </c>
      <c r="G1255" s="852">
        <f t="shared" si="130"/>
        <v>0.0029000088775782</v>
      </c>
      <c r="H1255" s="852">
        <f t="shared" si="131"/>
        <v>0.00265730076867398</v>
      </c>
      <c r="I1255" s="836">
        <f t="shared" si="132"/>
        <v>0.01</v>
      </c>
    </row>
    <row r="1256" spans="1:9">
      <c r="B1256" s="835" t="s">
        <v>2840</v>
      </c>
      <c r="C1256" s="787"/>
      <c r="D1256" s="787">
        <v>47906</v>
      </c>
      <c r="E1256" s="787">
        <v>5244223.682</v>
      </c>
      <c r="F1256" s="787">
        <v>9</v>
      </c>
      <c r="G1256" s="852">
        <f t="shared" si="130"/>
        <v>0.157514541144287</v>
      </c>
      <c r="H1256" s="852">
        <f t="shared" si="131"/>
        <v>0.15801443660553</v>
      </c>
      <c r="I1256" s="836">
        <f t="shared" si="132"/>
        <v>0.09</v>
      </c>
    </row>
    <row r="1257" spans="1:9">
      <c r="B1257" s="835"/>
      <c r="C1257" s="873" t="s">
        <v>2850</v>
      </c>
      <c r="D1257" s="873">
        <v>23450</v>
      </c>
      <c r="E1257" s="873">
        <v>2563388</v>
      </c>
      <c r="F1257" s="873">
        <v>3</v>
      </c>
      <c r="G1257" s="852">
        <f t="shared" si="130"/>
        <v>0.0771034106340235</v>
      </c>
      <c r="H1257" s="852">
        <f t="shared" si="131"/>
        <v>0.0772378020433525</v>
      </c>
      <c r="I1257" s="836">
        <f t="shared" si="132"/>
        <v>0.03</v>
      </c>
    </row>
    <row r="1258" spans="1:9">
      <c r="B1258" s="835"/>
      <c r="C1258" s="787" t="s">
        <v>2839</v>
      </c>
      <c r="D1258" s="787">
        <v>12492</v>
      </c>
      <c r="E1258" s="787">
        <v>1369736.998</v>
      </c>
      <c r="F1258" s="787">
        <v>2</v>
      </c>
      <c r="G1258" s="852">
        <f t="shared" si="130"/>
        <v>0.0410735951232504</v>
      </c>
      <c r="H1258" s="852">
        <f t="shared" si="131"/>
        <v>0.0412717368978008</v>
      </c>
      <c r="I1258" s="836">
        <f t="shared" si="132"/>
        <v>0.02</v>
      </c>
    </row>
    <row r="1259" spans="1:9">
      <c r="B1259" s="835"/>
      <c r="C1259" s="787" t="s">
        <v>2846</v>
      </c>
      <c r="D1259" s="787">
        <v>9323</v>
      </c>
      <c r="E1259" s="787">
        <v>1025063.8</v>
      </c>
      <c r="F1259" s="787">
        <v>1</v>
      </c>
      <c r="G1259" s="852">
        <f t="shared" si="130"/>
        <v>0.030653948713902</v>
      </c>
      <c r="H1259" s="852">
        <f t="shared" si="131"/>
        <v>0.0308863406032199</v>
      </c>
      <c r="I1259" s="836">
        <f t="shared" si="132"/>
        <v>0.01</v>
      </c>
    </row>
    <row r="1260" spans="1:9">
      <c r="B1260" s="835"/>
      <c r="C1260" s="787" t="s">
        <v>2889</v>
      </c>
      <c r="D1260" s="787">
        <v>1372</v>
      </c>
      <c r="E1260" s="787">
        <v>150892.56</v>
      </c>
      <c r="F1260" s="787">
        <v>1</v>
      </c>
      <c r="G1260" s="852">
        <f t="shared" si="130"/>
        <v>0.0045111249206772</v>
      </c>
      <c r="H1260" s="852">
        <f t="shared" si="131"/>
        <v>0.00454656481152861</v>
      </c>
      <c r="I1260" s="836">
        <f t="shared" si="132"/>
        <v>0.01</v>
      </c>
    </row>
    <row r="1261" spans="1:9">
      <c r="B1261" s="835"/>
      <c r="C1261" s="787" t="s">
        <v>2819</v>
      </c>
      <c r="D1261" s="787">
        <v>1269</v>
      </c>
      <c r="E1261" s="787">
        <v>135142.324</v>
      </c>
      <c r="F1261" s="787">
        <v>2</v>
      </c>
      <c r="G1261" s="852">
        <f t="shared" si="130"/>
        <v>0.00417246175243394</v>
      </c>
      <c r="H1261" s="852">
        <f t="shared" si="131"/>
        <v>0.00407199224962846</v>
      </c>
      <c r="I1261" s="836">
        <f t="shared" si="132"/>
        <v>0.02</v>
      </c>
    </row>
    <row r="1262" spans="1:9">
      <c r="B1262" s="835" t="s">
        <v>2830</v>
      </c>
      <c r="C1262" s="787"/>
      <c r="D1262" s="787">
        <v>30081</v>
      </c>
      <c r="E1262" s="787">
        <v>2536849.225</v>
      </c>
      <c r="F1262" s="787">
        <v>7</v>
      </c>
      <c r="G1262" s="852">
        <f t="shared" si="130"/>
        <v>0.098906085086655</v>
      </c>
      <c r="H1262" s="852">
        <f t="shared" si="131"/>
        <v>0.0764381585052213</v>
      </c>
      <c r="I1262" s="836">
        <f t="shared" si="132"/>
        <v>0.07</v>
      </c>
    </row>
    <row r="1263" spans="1:9">
      <c r="B1263" s="835"/>
      <c r="C1263" s="873" t="s">
        <v>2819</v>
      </c>
      <c r="D1263" s="873">
        <v>23277</v>
      </c>
      <c r="E1263" s="873">
        <v>1864972.86</v>
      </c>
      <c r="F1263" s="873">
        <v>2</v>
      </c>
      <c r="G1263" s="852">
        <f t="shared" si="130"/>
        <v>0.0765345880310518</v>
      </c>
      <c r="H1263" s="852">
        <f t="shared" si="131"/>
        <v>0.0561937578614338</v>
      </c>
      <c r="I1263" s="836">
        <f t="shared" si="132"/>
        <v>0.02</v>
      </c>
    </row>
    <row r="1264" spans="1:9">
      <c r="B1264" s="835"/>
      <c r="C1264" s="787" t="s">
        <v>2850</v>
      </c>
      <c r="D1264" s="787">
        <v>2980</v>
      </c>
      <c r="E1264" s="787">
        <v>297970.2</v>
      </c>
      <c r="F1264" s="787">
        <v>1</v>
      </c>
      <c r="G1264" s="852">
        <f t="shared" si="130"/>
        <v>0.00979821593558166</v>
      </c>
      <c r="H1264" s="852">
        <f t="shared" si="131"/>
        <v>0.00897818173542911</v>
      </c>
      <c r="I1264" s="836">
        <f t="shared" si="132"/>
        <v>0.01</v>
      </c>
    </row>
    <row r="1265" spans="2:9">
      <c r="B1265" s="835"/>
      <c r="C1265" s="787" t="s">
        <v>2971</v>
      </c>
      <c r="D1265" s="787">
        <v>1180</v>
      </c>
      <c r="E1265" s="787">
        <v>117988.195</v>
      </c>
      <c r="F1265" s="787">
        <v>1</v>
      </c>
      <c r="G1265" s="852">
        <f t="shared" si="130"/>
        <v>0.00387983047113636</v>
      </c>
      <c r="H1265" s="852">
        <f t="shared" si="131"/>
        <v>0.0035551187915612</v>
      </c>
      <c r="I1265" s="836">
        <f t="shared" si="132"/>
        <v>0.01</v>
      </c>
    </row>
    <row r="1266" spans="2:9">
      <c r="B1266" s="835"/>
      <c r="C1266" s="787" t="s">
        <v>2896</v>
      </c>
      <c r="D1266" s="787">
        <v>936</v>
      </c>
      <c r="E1266" s="787">
        <v>93590.64</v>
      </c>
      <c r="F1266" s="787">
        <v>1</v>
      </c>
      <c r="G1266" s="852">
        <f t="shared" si="130"/>
        <v>0.00307756044151156</v>
      </c>
      <c r="H1266" s="852">
        <f t="shared" si="131"/>
        <v>0.00281999265247035</v>
      </c>
      <c r="I1266" s="836">
        <f t="shared" si="132"/>
        <v>0.01</v>
      </c>
    </row>
    <row r="1267" spans="2:9">
      <c r="B1267" s="835"/>
      <c r="C1267" s="787" t="s">
        <v>2889</v>
      </c>
      <c r="D1267" s="787">
        <v>891</v>
      </c>
      <c r="E1267" s="787">
        <v>80635.5</v>
      </c>
      <c r="F1267" s="787">
        <v>1</v>
      </c>
      <c r="G1267" s="852">
        <f t="shared" si="130"/>
        <v>0.00292960080490042</v>
      </c>
      <c r="H1267" s="852">
        <f t="shared" si="131"/>
        <v>0.00242963951874112</v>
      </c>
      <c r="I1267" s="836">
        <f t="shared" si="132"/>
        <v>0.01</v>
      </c>
    </row>
    <row r="1268" spans="2:9">
      <c r="B1268" s="835"/>
      <c r="C1268" s="787" t="s">
        <v>2839</v>
      </c>
      <c r="D1268" s="787">
        <v>817</v>
      </c>
      <c r="E1268" s="787">
        <v>81691.83</v>
      </c>
      <c r="F1268" s="787">
        <v>1</v>
      </c>
      <c r="G1268" s="852">
        <f t="shared" si="130"/>
        <v>0.00268628940247323</v>
      </c>
      <c r="H1268" s="852">
        <f t="shared" si="131"/>
        <v>0.00246146794558577</v>
      </c>
      <c r="I1268" s="836">
        <f t="shared" si="132"/>
        <v>0.01</v>
      </c>
    </row>
    <row r="1269" spans="2:9">
      <c r="B1269" s="835" t="s">
        <v>2916</v>
      </c>
      <c r="C1269" s="787"/>
      <c r="D1269" s="787">
        <v>22156</v>
      </c>
      <c r="E1269" s="787">
        <v>1094253.623</v>
      </c>
      <c r="F1269" s="787">
        <v>6</v>
      </c>
      <c r="G1269" s="852">
        <f t="shared" si="130"/>
        <v>0.0728487490834722</v>
      </c>
      <c r="H1269" s="852">
        <f t="shared" si="131"/>
        <v>0.0329711088288216</v>
      </c>
      <c r="I1269" s="836">
        <f t="shared" si="132"/>
        <v>0.06</v>
      </c>
    </row>
    <row r="1270" spans="2:9">
      <c r="B1270" s="835"/>
      <c r="C1270" s="787" t="s">
        <v>2819</v>
      </c>
      <c r="D1270" s="787">
        <v>22156</v>
      </c>
      <c r="E1270" s="787">
        <v>1094253.623</v>
      </c>
      <c r="F1270" s="787">
        <v>6</v>
      </c>
      <c r="G1270" s="852">
        <f t="shared" si="130"/>
        <v>0.0728487490834722</v>
      </c>
      <c r="H1270" s="852">
        <f t="shared" si="131"/>
        <v>0.0329711088288216</v>
      </c>
      <c r="I1270" s="836">
        <f t="shared" si="132"/>
        <v>0.06</v>
      </c>
    </row>
    <row r="1271" spans="2:9">
      <c r="B1271" s="835" t="s">
        <v>2857</v>
      </c>
      <c r="C1271" s="787"/>
      <c r="D1271" s="787">
        <v>21766</v>
      </c>
      <c r="E1271" s="787">
        <v>4931042.56</v>
      </c>
      <c r="F1271" s="787">
        <v>7</v>
      </c>
      <c r="G1271" s="852">
        <f t="shared" si="130"/>
        <v>0.0715664322328424</v>
      </c>
      <c r="H1271" s="852">
        <f t="shared" si="131"/>
        <v>0.1485779324537</v>
      </c>
      <c r="I1271" s="836">
        <f t="shared" si="132"/>
        <v>0.07</v>
      </c>
    </row>
    <row r="1272" spans="2:9">
      <c r="B1272" s="835"/>
      <c r="C1272" s="873" t="s">
        <v>2850</v>
      </c>
      <c r="D1272" s="873">
        <v>11474</v>
      </c>
      <c r="E1272" s="873">
        <v>2294685.2</v>
      </c>
      <c r="F1272" s="873">
        <v>1</v>
      </c>
      <c r="G1272" s="852">
        <f t="shared" si="130"/>
        <v>0.0377264193439141</v>
      </c>
      <c r="H1272" s="852">
        <f t="shared" si="131"/>
        <v>0.0691414804272357</v>
      </c>
      <c r="I1272" s="836">
        <f t="shared" si="132"/>
        <v>0.01</v>
      </c>
    </row>
    <row r="1273" spans="2:9">
      <c r="B1273" s="835"/>
      <c r="C1273" s="787" t="s">
        <v>2896</v>
      </c>
      <c r="D1273" s="787">
        <v>5825</v>
      </c>
      <c r="E1273" s="787">
        <v>1536481.45</v>
      </c>
      <c r="F1273" s="787">
        <v>3</v>
      </c>
      <c r="G1273" s="852">
        <f t="shared" si="130"/>
        <v>0.0191525529613299</v>
      </c>
      <c r="H1273" s="852">
        <f t="shared" si="131"/>
        <v>0.0462959372823713</v>
      </c>
      <c r="I1273" s="836">
        <f t="shared" si="132"/>
        <v>0.03</v>
      </c>
    </row>
    <row r="1274" spans="2:9">
      <c r="B1274" s="835"/>
      <c r="C1274" s="787" t="s">
        <v>2909</v>
      </c>
      <c r="D1274" s="787">
        <v>3280</v>
      </c>
      <c r="E1274" s="787">
        <v>721436</v>
      </c>
      <c r="F1274" s="787">
        <v>1</v>
      </c>
      <c r="G1274" s="852">
        <f t="shared" si="130"/>
        <v>0.0107846135129892</v>
      </c>
      <c r="H1274" s="852">
        <f t="shared" si="131"/>
        <v>0.0217376889315812</v>
      </c>
      <c r="I1274" s="836">
        <f t="shared" si="132"/>
        <v>0.01</v>
      </c>
    </row>
    <row r="1275" spans="2:9">
      <c r="B1275" s="835"/>
      <c r="C1275" s="787" t="s">
        <v>2889</v>
      </c>
      <c r="D1275" s="787">
        <v>956</v>
      </c>
      <c r="E1275" s="787">
        <v>334552.22</v>
      </c>
      <c r="F1275" s="787">
        <v>1</v>
      </c>
      <c r="G1275" s="852">
        <f t="shared" si="130"/>
        <v>0.00314332028000539</v>
      </c>
      <c r="H1275" s="852">
        <f t="shared" si="131"/>
        <v>0.0100804396921278</v>
      </c>
      <c r="I1275" s="836">
        <f t="shared" si="132"/>
        <v>0.01</v>
      </c>
    </row>
    <row r="1276" spans="2:9">
      <c r="B1276" s="835"/>
      <c r="C1276" s="787" t="s">
        <v>2839</v>
      </c>
      <c r="D1276" s="787">
        <v>231</v>
      </c>
      <c r="E1276" s="787">
        <v>43887.69</v>
      </c>
      <c r="F1276" s="787">
        <v>1</v>
      </c>
      <c r="G1276" s="852">
        <f t="shared" si="130"/>
        <v>0.000759526134603813</v>
      </c>
      <c r="H1276" s="852">
        <f t="shared" si="131"/>
        <v>0.00132238612038444</v>
      </c>
      <c r="I1276" s="836">
        <f t="shared" si="132"/>
        <v>0.01</v>
      </c>
    </row>
    <row r="1277" spans="2:9">
      <c r="B1277" s="835" t="s">
        <v>2882</v>
      </c>
      <c r="C1277" s="787"/>
      <c r="D1277" s="787">
        <v>20334</v>
      </c>
      <c r="E1277" s="787">
        <v>1415899.706</v>
      </c>
      <c r="F1277" s="787">
        <v>10</v>
      </c>
      <c r="G1277" s="852">
        <f t="shared" si="130"/>
        <v>0.0668580277966837</v>
      </c>
      <c r="H1277" s="852">
        <f t="shared" si="131"/>
        <v>0.042662671903461</v>
      </c>
      <c r="I1277" s="836">
        <f t="shared" si="132"/>
        <v>0.1</v>
      </c>
    </row>
    <row r="1278" spans="2:9">
      <c r="B1278" s="835"/>
      <c r="C1278" s="873" t="s">
        <v>2819</v>
      </c>
      <c r="D1278" s="873">
        <v>17256</v>
      </c>
      <c r="E1278" s="873">
        <v>1202736.813</v>
      </c>
      <c r="F1278" s="873">
        <v>7</v>
      </c>
      <c r="G1278" s="852">
        <f t="shared" si="130"/>
        <v>0.0567375886524823</v>
      </c>
      <c r="H1278" s="852">
        <f t="shared" si="131"/>
        <v>0.0362398309864705</v>
      </c>
      <c r="I1278" s="836">
        <f t="shared" si="132"/>
        <v>0.07</v>
      </c>
    </row>
    <row r="1279" spans="2:9">
      <c r="B1279" s="835"/>
      <c r="C1279" s="787" t="s">
        <v>2889</v>
      </c>
      <c r="D1279" s="787">
        <v>2305</v>
      </c>
      <c r="E1279" s="787">
        <v>161326.94</v>
      </c>
      <c r="F1279" s="787">
        <v>1</v>
      </c>
      <c r="G1279" s="852">
        <f t="shared" si="130"/>
        <v>0.00757882138641467</v>
      </c>
      <c r="H1279" s="852">
        <f t="shared" si="131"/>
        <v>0.00486096457343945</v>
      </c>
      <c r="I1279" s="836">
        <f t="shared" si="132"/>
        <v>0.01</v>
      </c>
    </row>
    <row r="1280" spans="2:9">
      <c r="B1280" s="835"/>
      <c r="C1280" s="787" t="s">
        <v>2839</v>
      </c>
      <c r="D1280" s="787">
        <v>532</v>
      </c>
      <c r="E1280" s="787">
        <v>34968.363</v>
      </c>
      <c r="F1280" s="787">
        <v>1</v>
      </c>
      <c r="G1280" s="852">
        <f t="shared" si="130"/>
        <v>0.00174921170393606</v>
      </c>
      <c r="H1280" s="852">
        <f t="shared" si="131"/>
        <v>0.00105363663213454</v>
      </c>
      <c r="I1280" s="836">
        <f t="shared" si="132"/>
        <v>0.01</v>
      </c>
    </row>
    <row r="1281" spans="2:9">
      <c r="B1281" s="835"/>
      <c r="C1281" s="787" t="s">
        <v>2850</v>
      </c>
      <c r="D1281" s="787">
        <v>241</v>
      </c>
      <c r="E1281" s="787">
        <v>16867.59</v>
      </c>
      <c r="F1281" s="787">
        <v>1</v>
      </c>
      <c r="G1281" s="852">
        <f t="shared" si="130"/>
        <v>0.000792406053850732</v>
      </c>
      <c r="H1281" s="852">
        <f t="shared" si="131"/>
        <v>0.000508239711416466</v>
      </c>
      <c r="I1281" s="836">
        <f t="shared" si="132"/>
        <v>0.01</v>
      </c>
    </row>
    <row r="1282" spans="2:9">
      <c r="B1282" s="835" t="s">
        <v>2880</v>
      </c>
      <c r="C1282" s="787"/>
      <c r="D1282" s="874">
        <v>13945</v>
      </c>
      <c r="E1282" s="874">
        <v>2760257.51</v>
      </c>
      <c r="F1282" s="874">
        <v>5</v>
      </c>
      <c r="G1282" s="852">
        <f t="shared" si="130"/>
        <v>0.0458510473898276</v>
      </c>
      <c r="H1282" s="852">
        <f t="shared" si="131"/>
        <v>0.0831697047602848</v>
      </c>
      <c r="I1282" s="836">
        <f t="shared" si="132"/>
        <v>0.05</v>
      </c>
    </row>
    <row r="1283" spans="2:9">
      <c r="B1283" s="835"/>
      <c r="C1283" s="787" t="s">
        <v>2850</v>
      </c>
      <c r="D1283" s="787">
        <v>10638</v>
      </c>
      <c r="E1283" s="787">
        <v>2120833.74</v>
      </c>
      <c r="F1283" s="787">
        <v>2</v>
      </c>
      <c r="G1283" s="852">
        <f t="shared" si="130"/>
        <v>0.0349776580948717</v>
      </c>
      <c r="H1283" s="852">
        <f t="shared" si="131"/>
        <v>0.0639031377914631</v>
      </c>
      <c r="I1283" s="836">
        <f t="shared" si="132"/>
        <v>0.02</v>
      </c>
    </row>
    <row r="1284" spans="2:9">
      <c r="B1284" s="835"/>
      <c r="C1284" s="787" t="s">
        <v>2896</v>
      </c>
      <c r="D1284" s="787">
        <v>1895</v>
      </c>
      <c r="E1284" s="787">
        <v>360031.06</v>
      </c>
      <c r="F1284" s="787">
        <v>1</v>
      </c>
      <c r="G1284" s="852">
        <f t="shared" si="130"/>
        <v>0.00623074469729102</v>
      </c>
      <c r="H1284" s="852">
        <f t="shared" si="131"/>
        <v>0.0108481461806556</v>
      </c>
      <c r="I1284" s="836">
        <f t="shared" si="132"/>
        <v>0.01</v>
      </c>
    </row>
    <row r="1285" spans="2:9">
      <c r="B1285" s="835"/>
      <c r="C1285" s="787" t="s">
        <v>2819</v>
      </c>
      <c r="D1285" s="787">
        <v>922</v>
      </c>
      <c r="E1285" s="787">
        <v>166697.61</v>
      </c>
      <c r="F1285" s="787">
        <v>1</v>
      </c>
      <c r="G1285" s="852">
        <f t="shared" si="130"/>
        <v>0.00303152855456587</v>
      </c>
      <c r="H1285" s="852">
        <f t="shared" si="131"/>
        <v>0.00502278898172262</v>
      </c>
      <c r="I1285" s="836">
        <f t="shared" si="132"/>
        <v>0.01</v>
      </c>
    </row>
    <row r="1286" spans="2:9">
      <c r="B1286" s="835"/>
      <c r="C1286" s="787" t="s">
        <v>2839</v>
      </c>
      <c r="D1286" s="787">
        <v>490</v>
      </c>
      <c r="E1286" s="787">
        <v>112695.1</v>
      </c>
      <c r="F1286" s="787">
        <v>1</v>
      </c>
      <c r="G1286" s="852">
        <f t="shared" si="130"/>
        <v>0.001611116043099</v>
      </c>
      <c r="H1286" s="852">
        <f t="shared" si="131"/>
        <v>0.00339563180644359</v>
      </c>
      <c r="I1286" s="836">
        <f t="shared" si="132"/>
        <v>0.01</v>
      </c>
    </row>
    <row r="1287" spans="2:9">
      <c r="B1287" s="835" t="s">
        <v>2887</v>
      </c>
      <c r="C1287" s="787"/>
      <c r="D1287" s="787">
        <v>13332</v>
      </c>
      <c r="E1287" s="787">
        <v>1910386.67</v>
      </c>
      <c r="F1287" s="787">
        <v>6</v>
      </c>
      <c r="G1287" s="852">
        <f t="shared" si="130"/>
        <v>0.0438355083399915</v>
      </c>
      <c r="H1287" s="852">
        <f t="shared" si="131"/>
        <v>0.0575621277168027</v>
      </c>
      <c r="I1287" s="836">
        <f t="shared" si="132"/>
        <v>0.06</v>
      </c>
    </row>
    <row r="1288" spans="2:9">
      <c r="B1288" s="835"/>
      <c r="C1288" s="873" t="s">
        <v>2819</v>
      </c>
      <c r="D1288" s="873">
        <v>9067</v>
      </c>
      <c r="E1288" s="873">
        <v>1270679.31</v>
      </c>
      <c r="F1288" s="873">
        <v>2</v>
      </c>
      <c r="G1288" s="852">
        <f t="shared" si="130"/>
        <v>0.0298122227811808</v>
      </c>
      <c r="H1288" s="852">
        <f t="shared" si="131"/>
        <v>0.0382870158580612</v>
      </c>
      <c r="I1288" s="836">
        <f t="shared" si="132"/>
        <v>0.02</v>
      </c>
    </row>
    <row r="1289" spans="2:9">
      <c r="B1289" s="835"/>
      <c r="C1289" s="787" t="s">
        <v>2839</v>
      </c>
      <c r="D1289" s="787">
        <v>2415</v>
      </c>
      <c r="E1289" s="787">
        <v>362225.86</v>
      </c>
      <c r="F1289" s="787">
        <v>3</v>
      </c>
      <c r="G1289" s="852">
        <f t="shared" si="130"/>
        <v>0.00794050049813078</v>
      </c>
      <c r="H1289" s="852">
        <f t="shared" si="131"/>
        <v>0.0109142780061634</v>
      </c>
      <c r="I1289" s="836">
        <f t="shared" si="132"/>
        <v>0.03</v>
      </c>
    </row>
    <row r="1290" spans="2:9">
      <c r="B1290" s="835"/>
      <c r="C1290" s="787" t="s">
        <v>2889</v>
      </c>
      <c r="D1290" s="787">
        <v>1850</v>
      </c>
      <c r="E1290" s="787">
        <v>277481.5</v>
      </c>
      <c r="F1290" s="787">
        <v>1</v>
      </c>
      <c r="G1290" s="852">
        <f t="shared" si="130"/>
        <v>0.00608278506067989</v>
      </c>
      <c r="H1290" s="852">
        <f t="shared" si="131"/>
        <v>0.00836083385257812</v>
      </c>
      <c r="I1290" s="836">
        <f t="shared" si="132"/>
        <v>0.01</v>
      </c>
    </row>
    <row r="1291" spans="2:9">
      <c r="B1291" s="835" t="s">
        <v>2864</v>
      </c>
      <c r="C1291" s="787"/>
      <c r="D1291" s="787">
        <v>11434</v>
      </c>
      <c r="E1291" s="787">
        <v>451119.21</v>
      </c>
      <c r="F1291" s="787">
        <v>5</v>
      </c>
      <c r="G1291" s="852">
        <f t="shared" si="130"/>
        <v>0.0375948996669264</v>
      </c>
      <c r="H1291" s="852">
        <f t="shared" si="131"/>
        <v>0.0135927359572307</v>
      </c>
      <c r="I1291" s="836">
        <f t="shared" si="132"/>
        <v>0.05</v>
      </c>
    </row>
    <row r="1292" spans="2:9">
      <c r="B1292" s="835"/>
      <c r="C1292" s="873" t="s">
        <v>2819</v>
      </c>
      <c r="D1292" s="873">
        <v>11434</v>
      </c>
      <c r="E1292" s="873">
        <v>451119.21</v>
      </c>
      <c r="F1292" s="873">
        <v>5</v>
      </c>
      <c r="G1292" s="852">
        <f t="shared" si="130"/>
        <v>0.0375948996669264</v>
      </c>
      <c r="H1292" s="852">
        <f t="shared" si="131"/>
        <v>0.0135927359572307</v>
      </c>
      <c r="I1292" s="836">
        <f t="shared" si="132"/>
        <v>0.05</v>
      </c>
    </row>
    <row r="1293" spans="2:9">
      <c r="B1293" s="835" t="s">
        <v>2906</v>
      </c>
      <c r="C1293" s="787"/>
      <c r="D1293" s="787">
        <v>11125</v>
      </c>
      <c r="E1293" s="787">
        <v>1296486.805</v>
      </c>
      <c r="F1293" s="787">
        <v>8</v>
      </c>
      <c r="G1293" s="852">
        <f t="shared" si="130"/>
        <v>0.0365789101621966</v>
      </c>
      <c r="H1293" s="852">
        <f t="shared" si="131"/>
        <v>0.0390646250963212</v>
      </c>
      <c r="I1293" s="836">
        <f t="shared" si="132"/>
        <v>0.08</v>
      </c>
    </row>
    <row r="1294" spans="2:9">
      <c r="B1294" s="835"/>
      <c r="C1294" s="787" t="s">
        <v>2850</v>
      </c>
      <c r="D1294" s="787">
        <v>3748</v>
      </c>
      <c r="E1294" s="787">
        <v>411621.515</v>
      </c>
      <c r="F1294" s="787">
        <v>3</v>
      </c>
      <c r="G1294" s="852">
        <f t="shared" si="130"/>
        <v>0.012323393733745</v>
      </c>
      <c r="H1294" s="852">
        <f t="shared" si="131"/>
        <v>0.012402625389662</v>
      </c>
      <c r="I1294" s="836">
        <f t="shared" si="132"/>
        <v>0.03</v>
      </c>
    </row>
    <row r="1295" spans="2:9">
      <c r="B1295" s="835"/>
      <c r="C1295" s="787" t="s">
        <v>2889</v>
      </c>
      <c r="D1295" s="787">
        <v>3245</v>
      </c>
      <c r="E1295" s="787">
        <v>389367.53</v>
      </c>
      <c r="F1295" s="787">
        <v>1</v>
      </c>
      <c r="G1295" s="852">
        <f t="shared" si="130"/>
        <v>0.010669533795625</v>
      </c>
      <c r="H1295" s="852">
        <f t="shared" si="131"/>
        <v>0.0117320874577899</v>
      </c>
      <c r="I1295" s="836">
        <f t="shared" si="132"/>
        <v>0.01</v>
      </c>
    </row>
    <row r="1296" spans="2:9">
      <c r="B1296" s="835"/>
      <c r="C1296" s="787" t="s">
        <v>2819</v>
      </c>
      <c r="D1296" s="787">
        <v>3022</v>
      </c>
      <c r="E1296" s="787">
        <v>362609.76</v>
      </c>
      <c r="F1296" s="787">
        <v>2</v>
      </c>
      <c r="G1296" s="852">
        <f t="shared" si="130"/>
        <v>0.00993631159641872</v>
      </c>
      <c r="H1296" s="852">
        <f t="shared" si="131"/>
        <v>0.0109258453507107</v>
      </c>
      <c r="I1296" s="836">
        <f t="shared" si="132"/>
        <v>0.02</v>
      </c>
    </row>
    <row r="1297" spans="2:9">
      <c r="B1297" s="835"/>
      <c r="C1297" s="787" t="s">
        <v>2839</v>
      </c>
      <c r="D1297" s="787">
        <v>1110</v>
      </c>
      <c r="E1297" s="787">
        <v>132888</v>
      </c>
      <c r="F1297" s="787">
        <v>2</v>
      </c>
      <c r="G1297" s="852">
        <f t="shared" si="130"/>
        <v>0.00364967103640793</v>
      </c>
      <c r="H1297" s="852">
        <f t="shared" si="131"/>
        <v>0.00400406689815862</v>
      </c>
      <c r="I1297" s="836">
        <f t="shared" si="132"/>
        <v>0.02</v>
      </c>
    </row>
    <row r="1298" spans="2:9">
      <c r="B1298" s="835" t="s">
        <v>2890</v>
      </c>
      <c r="C1298" s="787"/>
      <c r="D1298" s="787">
        <v>10248</v>
      </c>
      <c r="E1298" s="787">
        <v>1638632.6</v>
      </c>
      <c r="F1298" s="787">
        <v>3</v>
      </c>
      <c r="G1298" s="852">
        <f t="shared" si="130"/>
        <v>0.0336953412442419</v>
      </c>
      <c r="H1298" s="852">
        <f t="shared" si="131"/>
        <v>0.0493738678579224</v>
      </c>
      <c r="I1298" s="836">
        <f t="shared" si="132"/>
        <v>0.03</v>
      </c>
    </row>
    <row r="1299" spans="2:9">
      <c r="B1299" s="835"/>
      <c r="C1299" s="787" t="s">
        <v>2850</v>
      </c>
      <c r="D1299" s="787">
        <v>5320</v>
      </c>
      <c r="E1299" s="787">
        <v>850934</v>
      </c>
      <c r="F1299" s="787">
        <v>1</v>
      </c>
      <c r="G1299" s="852">
        <f t="shared" si="130"/>
        <v>0.0174921170393606</v>
      </c>
      <c r="H1299" s="852">
        <f t="shared" si="131"/>
        <v>0.0256396112660113</v>
      </c>
      <c r="I1299" s="836">
        <f t="shared" si="132"/>
        <v>0.01</v>
      </c>
    </row>
    <row r="1300" spans="2:9">
      <c r="B1300" s="835"/>
      <c r="C1300" s="787" t="s">
        <v>2896</v>
      </c>
      <c r="D1300" s="787">
        <v>4224</v>
      </c>
      <c r="E1300" s="787">
        <v>675797.8</v>
      </c>
      <c r="F1300" s="787">
        <v>1</v>
      </c>
      <c r="G1300" s="852">
        <f t="shared" si="130"/>
        <v>0.0138884778898983</v>
      </c>
      <c r="H1300" s="852">
        <f t="shared" si="131"/>
        <v>0.0203625579497654</v>
      </c>
      <c r="I1300" s="836">
        <f t="shared" si="132"/>
        <v>0.01</v>
      </c>
    </row>
    <row r="1301" spans="2:9">
      <c r="B1301" s="835"/>
      <c r="C1301" s="787" t="s">
        <v>2985</v>
      </c>
      <c r="D1301" s="787">
        <v>704</v>
      </c>
      <c r="E1301" s="787">
        <v>111900.8</v>
      </c>
      <c r="F1301" s="787">
        <v>1</v>
      </c>
      <c r="G1301" s="852">
        <f t="shared" si="130"/>
        <v>0.00231474631498305</v>
      </c>
      <c r="H1301" s="852">
        <f t="shared" si="131"/>
        <v>0.00337169864214578</v>
      </c>
      <c r="I1301" s="836">
        <f t="shared" si="132"/>
        <v>0.01</v>
      </c>
    </row>
    <row r="1302" spans="2:9">
      <c r="B1302" s="835" t="s">
        <v>2866</v>
      </c>
      <c r="C1302" s="787"/>
      <c r="D1302" s="787">
        <v>10072</v>
      </c>
      <c r="E1302" s="787">
        <v>596203.979</v>
      </c>
      <c r="F1302" s="787">
        <v>4</v>
      </c>
      <c r="G1302" s="852">
        <f t="shared" si="130"/>
        <v>0.0331166546654961</v>
      </c>
      <c r="H1302" s="852">
        <f t="shared" si="131"/>
        <v>0.0179643054065405</v>
      </c>
      <c r="I1302" s="836">
        <f t="shared" si="132"/>
        <v>0.04</v>
      </c>
    </row>
    <row r="1303" spans="2:9">
      <c r="B1303" s="835"/>
      <c r="C1303" s="787" t="s">
        <v>2819</v>
      </c>
      <c r="D1303" s="787">
        <v>10072</v>
      </c>
      <c r="E1303" s="787">
        <v>596203.979</v>
      </c>
      <c r="F1303" s="787">
        <v>4</v>
      </c>
      <c r="G1303" s="852">
        <f t="shared" si="130"/>
        <v>0.0331166546654961</v>
      </c>
      <c r="H1303" s="852">
        <f t="shared" si="131"/>
        <v>0.0179643054065405</v>
      </c>
      <c r="I1303" s="836">
        <f t="shared" si="132"/>
        <v>0.04</v>
      </c>
    </row>
    <row r="1304" spans="2:9">
      <c r="B1304" s="835" t="s">
        <v>2871</v>
      </c>
      <c r="C1304" s="787"/>
      <c r="D1304" s="787">
        <v>7304</v>
      </c>
      <c r="E1304" s="787">
        <v>1460474.16</v>
      </c>
      <c r="F1304" s="787">
        <v>2</v>
      </c>
      <c r="G1304" s="852">
        <f t="shared" si="130"/>
        <v>0.0240154930179491</v>
      </c>
      <c r="H1304" s="852">
        <f t="shared" si="131"/>
        <v>0.0440057510058998</v>
      </c>
      <c r="I1304" s="836">
        <f t="shared" si="132"/>
        <v>0.02</v>
      </c>
    </row>
    <row r="1305" spans="2:9">
      <c r="B1305" s="835"/>
      <c r="C1305" s="787" t="s">
        <v>2850</v>
      </c>
      <c r="D1305" s="787">
        <v>6319</v>
      </c>
      <c r="E1305" s="787">
        <v>1263484</v>
      </c>
      <c r="F1305" s="787">
        <v>1</v>
      </c>
      <c r="G1305" s="852">
        <f t="shared" si="130"/>
        <v>0.0207768209721277</v>
      </c>
      <c r="H1305" s="852">
        <f t="shared" si="131"/>
        <v>0.0380702129669575</v>
      </c>
      <c r="I1305" s="836">
        <f t="shared" si="132"/>
        <v>0.01</v>
      </c>
    </row>
    <row r="1306" spans="2:9">
      <c r="B1306" s="835"/>
      <c r="C1306" s="787" t="s">
        <v>2889</v>
      </c>
      <c r="D1306" s="787">
        <v>985</v>
      </c>
      <c r="E1306" s="787">
        <v>196990.16</v>
      </c>
      <c r="F1306" s="787">
        <v>1</v>
      </c>
      <c r="G1306" s="852">
        <f t="shared" si="130"/>
        <v>0.00323867204582146</v>
      </c>
      <c r="H1306" s="852">
        <f t="shared" si="131"/>
        <v>0.00593553803894234</v>
      </c>
      <c r="I1306" s="836">
        <f t="shared" si="132"/>
        <v>0.01</v>
      </c>
    </row>
    <row r="1307" spans="2:9">
      <c r="B1307" s="835" t="s">
        <v>2939</v>
      </c>
      <c r="C1307" s="787"/>
      <c r="D1307" s="787">
        <v>6845</v>
      </c>
      <c r="E1307" s="787">
        <v>523813.385</v>
      </c>
      <c r="F1307" s="787">
        <v>7</v>
      </c>
      <c r="G1307" s="852">
        <f t="shared" si="130"/>
        <v>0.0225063047245156</v>
      </c>
      <c r="H1307" s="852">
        <f t="shared" si="131"/>
        <v>0.0157830943026527</v>
      </c>
      <c r="I1307" s="836">
        <f t="shared" si="132"/>
        <v>0.07</v>
      </c>
    </row>
    <row r="1308" spans="2:9">
      <c r="B1308" s="835"/>
      <c r="C1308" s="787" t="s">
        <v>2819</v>
      </c>
      <c r="D1308" s="787">
        <v>3139</v>
      </c>
      <c r="E1308" s="787">
        <v>239268.804</v>
      </c>
      <c r="F1308" s="787">
        <v>3</v>
      </c>
      <c r="G1308" s="852">
        <f t="shared" si="130"/>
        <v>0.0103210066516077</v>
      </c>
      <c r="H1308" s="852">
        <f t="shared" si="131"/>
        <v>0.00720944176944798</v>
      </c>
      <c r="I1308" s="836">
        <f t="shared" si="132"/>
        <v>0.03</v>
      </c>
    </row>
    <row r="1309" spans="2:9">
      <c r="B1309" s="835"/>
      <c r="C1309" s="787" t="s">
        <v>2850</v>
      </c>
      <c r="D1309" s="787">
        <v>1776</v>
      </c>
      <c r="E1309" s="787">
        <v>124273.885</v>
      </c>
      <c r="F1309" s="787">
        <v>2</v>
      </c>
      <c r="G1309" s="852">
        <f t="shared" ref="G1309:G1328" si="133">D1309/$C$150</f>
        <v>0.00583947365825269</v>
      </c>
      <c r="H1309" s="852">
        <f t="shared" ref="H1309:H1328" si="134">E1309/$D$150</f>
        <v>0.00374451379533194</v>
      </c>
      <c r="I1309" s="836">
        <f t="shared" ref="I1309:I1328" si="135">F1309/$E$150</f>
        <v>0.02</v>
      </c>
    </row>
    <row r="1310" spans="2:9">
      <c r="B1310" s="835"/>
      <c r="C1310" s="787" t="s">
        <v>2896</v>
      </c>
      <c r="D1310" s="787">
        <v>1341</v>
      </c>
      <c r="E1310" s="787">
        <v>107266.586</v>
      </c>
      <c r="F1310" s="787">
        <v>1</v>
      </c>
      <c r="G1310" s="852">
        <f t="shared" si="133"/>
        <v>0.00440919717101175</v>
      </c>
      <c r="H1310" s="852">
        <f t="shared" si="134"/>
        <v>0.00323206449251313</v>
      </c>
      <c r="I1310" s="836">
        <f t="shared" si="135"/>
        <v>0.01</v>
      </c>
    </row>
    <row r="1311" spans="2:9">
      <c r="B1311" s="835"/>
      <c r="C1311" s="787" t="s">
        <v>2839</v>
      </c>
      <c r="D1311" s="787">
        <v>589</v>
      </c>
      <c r="E1311" s="787">
        <v>53004.11</v>
      </c>
      <c r="F1311" s="787">
        <v>1</v>
      </c>
      <c r="G1311" s="852">
        <f t="shared" si="133"/>
        <v>0.00193662724364349</v>
      </c>
      <c r="H1311" s="852">
        <f t="shared" si="134"/>
        <v>0.00159707424535969</v>
      </c>
      <c r="I1311" s="836">
        <f t="shared" si="135"/>
        <v>0.01</v>
      </c>
    </row>
    <row r="1312" spans="2:9">
      <c r="B1312" s="835" t="s">
        <v>2913</v>
      </c>
      <c r="C1312" s="787"/>
      <c r="D1312" s="787">
        <v>3891</v>
      </c>
      <c r="E1312" s="787">
        <v>597582.11</v>
      </c>
      <c r="F1312" s="787">
        <v>3</v>
      </c>
      <c r="G1312" s="852">
        <f t="shared" si="133"/>
        <v>0.0127935765789759</v>
      </c>
      <c r="H1312" s="852">
        <f t="shared" si="134"/>
        <v>0.0180058300642856</v>
      </c>
      <c r="I1312" s="836">
        <f t="shared" si="135"/>
        <v>0.03</v>
      </c>
    </row>
    <row r="1313" spans="2:9">
      <c r="B1313" s="835"/>
      <c r="C1313" s="787" t="s">
        <v>2896</v>
      </c>
      <c r="D1313" s="787">
        <v>2205</v>
      </c>
      <c r="E1313" s="787">
        <v>352777.97</v>
      </c>
      <c r="F1313" s="787">
        <v>1</v>
      </c>
      <c r="G1313" s="852">
        <f t="shared" si="133"/>
        <v>0.00725002219394549</v>
      </c>
      <c r="H1313" s="852">
        <f t="shared" si="134"/>
        <v>0.0106296023122975</v>
      </c>
      <c r="I1313" s="836">
        <f t="shared" si="135"/>
        <v>0.01</v>
      </c>
    </row>
    <row r="1314" spans="2:9">
      <c r="B1314" s="835"/>
      <c r="C1314" s="787" t="s">
        <v>2889</v>
      </c>
      <c r="D1314" s="787">
        <v>872</v>
      </c>
      <c r="E1314" s="787">
        <v>113351.28</v>
      </c>
      <c r="F1314" s="787">
        <v>1</v>
      </c>
      <c r="G1314" s="852">
        <f t="shared" si="133"/>
        <v>0.00286712895833128</v>
      </c>
      <c r="H1314" s="852">
        <f t="shared" si="134"/>
        <v>0.0034154032577201</v>
      </c>
      <c r="I1314" s="836">
        <f t="shared" si="135"/>
        <v>0.01</v>
      </c>
    </row>
    <row r="1315" spans="2:9">
      <c r="B1315" s="835"/>
      <c r="C1315" s="787" t="s">
        <v>2839</v>
      </c>
      <c r="D1315" s="787">
        <v>814</v>
      </c>
      <c r="E1315" s="787">
        <v>131452.86</v>
      </c>
      <c r="F1315" s="787">
        <v>1</v>
      </c>
      <c r="G1315" s="852">
        <f t="shared" si="133"/>
        <v>0.00267642542669915</v>
      </c>
      <c r="H1315" s="852">
        <f t="shared" si="134"/>
        <v>0.00396082449426795</v>
      </c>
      <c r="I1315" s="836">
        <f t="shared" si="135"/>
        <v>0.01</v>
      </c>
    </row>
    <row r="1316" spans="2:9">
      <c r="B1316" s="835" t="s">
        <v>3006</v>
      </c>
      <c r="C1316" s="787"/>
      <c r="D1316" s="787">
        <v>3836</v>
      </c>
      <c r="E1316" s="787">
        <v>22478.96</v>
      </c>
      <c r="F1316" s="787">
        <v>1</v>
      </c>
      <c r="G1316" s="852">
        <f t="shared" si="133"/>
        <v>0.0126127370231179</v>
      </c>
      <c r="H1316" s="852">
        <f t="shared" si="134"/>
        <v>0.000677316685035757</v>
      </c>
      <c r="I1316" s="836">
        <f t="shared" si="135"/>
        <v>0.01</v>
      </c>
    </row>
    <row r="1317" spans="2:9">
      <c r="B1317" s="835"/>
      <c r="C1317" s="787" t="s">
        <v>2819</v>
      </c>
      <c r="D1317" s="787">
        <v>3836</v>
      </c>
      <c r="E1317" s="787">
        <v>22478.96</v>
      </c>
      <c r="F1317" s="787">
        <v>1</v>
      </c>
      <c r="G1317" s="852">
        <f t="shared" si="133"/>
        <v>0.0126127370231179</v>
      </c>
      <c r="H1317" s="852">
        <f t="shared" si="134"/>
        <v>0.000677316685035757</v>
      </c>
      <c r="I1317" s="836">
        <f t="shared" si="135"/>
        <v>0.01</v>
      </c>
    </row>
    <row r="1318" spans="2:9">
      <c r="B1318" s="835" t="s">
        <v>2924</v>
      </c>
      <c r="C1318" s="787"/>
      <c r="D1318" s="874">
        <v>3212</v>
      </c>
      <c r="E1318" s="874">
        <v>577089.728</v>
      </c>
      <c r="F1318" s="874">
        <v>3</v>
      </c>
      <c r="G1318" s="852">
        <f t="shared" si="133"/>
        <v>0.0105610300621102</v>
      </c>
      <c r="H1318" s="852">
        <f t="shared" si="134"/>
        <v>0.0173883712385781</v>
      </c>
      <c r="I1318" s="836">
        <f t="shared" si="135"/>
        <v>0.03</v>
      </c>
    </row>
    <row r="1319" spans="2:9">
      <c r="B1319" s="835"/>
      <c r="C1319" s="787" t="s">
        <v>2909</v>
      </c>
      <c r="D1319" s="787">
        <v>1815</v>
      </c>
      <c r="E1319" s="787">
        <v>326681.88</v>
      </c>
      <c r="F1319" s="787">
        <v>1</v>
      </c>
      <c r="G1319" s="852">
        <f t="shared" si="133"/>
        <v>0.00596770534331568</v>
      </c>
      <c r="H1319" s="852">
        <f t="shared" si="134"/>
        <v>0.00984329737776343</v>
      </c>
      <c r="I1319" s="836">
        <f t="shared" si="135"/>
        <v>0.01</v>
      </c>
    </row>
    <row r="1320" spans="2:9">
      <c r="B1320" s="835"/>
      <c r="C1320" s="787" t="s">
        <v>2896</v>
      </c>
      <c r="D1320" s="787">
        <v>1034</v>
      </c>
      <c r="E1320" s="787">
        <v>185086</v>
      </c>
      <c r="F1320" s="787">
        <v>1</v>
      </c>
      <c r="G1320" s="852">
        <f t="shared" si="133"/>
        <v>0.00339978365013136</v>
      </c>
      <c r="H1320" s="852">
        <f t="shared" si="134"/>
        <v>0.00557685213046013</v>
      </c>
      <c r="I1320" s="836">
        <f t="shared" si="135"/>
        <v>0.01</v>
      </c>
    </row>
    <row r="1321" spans="2:9">
      <c r="B1321" s="835"/>
      <c r="C1321" s="787" t="s">
        <v>2819</v>
      </c>
      <c r="D1321" s="787">
        <v>363</v>
      </c>
      <c r="E1321" s="787">
        <v>65321.848</v>
      </c>
      <c r="F1321" s="787">
        <v>1</v>
      </c>
      <c r="G1321" s="852">
        <f t="shared" si="133"/>
        <v>0.00119354106866314</v>
      </c>
      <c r="H1321" s="852">
        <f t="shared" si="134"/>
        <v>0.0019682217303545</v>
      </c>
      <c r="I1321" s="836">
        <f t="shared" si="135"/>
        <v>0.01</v>
      </c>
    </row>
    <row r="1322" spans="2:9">
      <c r="B1322" s="835" t="s">
        <v>2937</v>
      </c>
      <c r="C1322" s="787"/>
      <c r="D1322" s="787">
        <v>2527</v>
      </c>
      <c r="E1322" s="787">
        <v>318510.93</v>
      </c>
      <c r="F1322" s="787">
        <v>3</v>
      </c>
      <c r="G1322" s="852">
        <f t="shared" si="133"/>
        <v>0.00830875559369626</v>
      </c>
      <c r="H1322" s="852">
        <f t="shared" si="134"/>
        <v>0.00959709734148092</v>
      </c>
      <c r="I1322" s="836">
        <f t="shared" si="135"/>
        <v>0.03</v>
      </c>
    </row>
    <row r="1323" spans="2:9">
      <c r="B1323" s="835"/>
      <c r="C1323" s="787" t="s">
        <v>2896</v>
      </c>
      <c r="D1323" s="787">
        <v>1381</v>
      </c>
      <c r="E1323" s="787">
        <v>170097.77</v>
      </c>
      <c r="F1323" s="787">
        <v>1</v>
      </c>
      <c r="G1323" s="852">
        <f t="shared" si="133"/>
        <v>0.00454071684799942</v>
      </c>
      <c r="H1323" s="852">
        <f t="shared" si="134"/>
        <v>0.00512523967783094</v>
      </c>
      <c r="I1323" s="836">
        <f t="shared" si="135"/>
        <v>0.01</v>
      </c>
    </row>
    <row r="1324" spans="2:9">
      <c r="B1324" s="835"/>
      <c r="C1324" s="787" t="s">
        <v>2839</v>
      </c>
      <c r="D1324" s="787">
        <v>1146</v>
      </c>
      <c r="E1324" s="787">
        <v>148413.16</v>
      </c>
      <c r="F1324" s="787">
        <v>2</v>
      </c>
      <c r="G1324" s="852">
        <f t="shared" si="133"/>
        <v>0.00376803874569684</v>
      </c>
      <c r="H1324" s="852">
        <f t="shared" si="134"/>
        <v>0.00447185766364998</v>
      </c>
      <c r="I1324" s="836">
        <f t="shared" si="135"/>
        <v>0.02</v>
      </c>
    </row>
    <row r="1325" spans="2:9">
      <c r="B1325" s="835" t="s">
        <v>2984</v>
      </c>
      <c r="C1325" s="787"/>
      <c r="D1325" s="787">
        <v>1174</v>
      </c>
      <c r="E1325" s="787">
        <v>162318.27</v>
      </c>
      <c r="F1325" s="787">
        <v>2</v>
      </c>
      <c r="G1325" s="852">
        <f t="shared" si="133"/>
        <v>0.00386010251958821</v>
      </c>
      <c r="H1325" s="852">
        <f t="shared" si="134"/>
        <v>0.00489083447620081</v>
      </c>
      <c r="I1325" s="836">
        <f t="shared" si="135"/>
        <v>0.02</v>
      </c>
    </row>
    <row r="1326" spans="2:9">
      <c r="B1326" s="835"/>
      <c r="C1326" s="787" t="s">
        <v>2819</v>
      </c>
      <c r="D1326" s="787">
        <v>768</v>
      </c>
      <c r="E1326" s="787">
        <v>107512.33</v>
      </c>
      <c r="F1326" s="787">
        <v>1</v>
      </c>
      <c r="G1326" s="852">
        <f t="shared" si="133"/>
        <v>0.00252517779816333</v>
      </c>
      <c r="H1326" s="852">
        <f t="shared" si="134"/>
        <v>0.00323946903931812</v>
      </c>
      <c r="I1326" s="836">
        <f t="shared" si="135"/>
        <v>0.01</v>
      </c>
    </row>
    <row r="1327" spans="2:9">
      <c r="B1327" s="835"/>
      <c r="C1327" s="787" t="s">
        <v>2839</v>
      </c>
      <c r="D1327" s="787">
        <v>406</v>
      </c>
      <c r="E1327" s="787">
        <v>54805.94</v>
      </c>
      <c r="F1327" s="787">
        <v>1</v>
      </c>
      <c r="G1327" s="852">
        <f t="shared" si="133"/>
        <v>0.00133492472142488</v>
      </c>
      <c r="H1327" s="852">
        <f t="shared" si="134"/>
        <v>0.00165136543688269</v>
      </c>
      <c r="I1327" s="836">
        <f t="shared" si="135"/>
        <v>0.01</v>
      </c>
    </row>
    <row r="1328" ht="17.25" spans="2:9">
      <c r="B1328" s="871" t="s">
        <v>3102</v>
      </c>
      <c r="C1328" s="799"/>
      <c r="D1328" s="799">
        <v>304137</v>
      </c>
      <c r="E1328" s="799">
        <v>33188256.685</v>
      </c>
      <c r="F1328" s="799">
        <v>100</v>
      </c>
      <c r="G1328" s="795">
        <f t="shared" si="133"/>
        <v>1</v>
      </c>
      <c r="H1328" s="795">
        <f t="shared" si="134"/>
        <v>1</v>
      </c>
      <c r="I1328" s="872">
        <f t="shared" si="135"/>
        <v>1</v>
      </c>
    </row>
  </sheetData>
  <mergeCells count="138">
    <mergeCell ref="E2:O2"/>
    <mergeCell ref="P2:Y2"/>
    <mergeCell ref="AA2:AK2"/>
    <mergeCell ref="E33:H33"/>
    <mergeCell ref="I33:AB33"/>
    <mergeCell ref="N34:Y34"/>
    <mergeCell ref="Z34:AB34"/>
    <mergeCell ref="N35:Y35"/>
    <mergeCell ref="Z35:AB35"/>
    <mergeCell ref="N36:Y36"/>
    <mergeCell ref="Z36:AB36"/>
    <mergeCell ref="N37:Y37"/>
    <mergeCell ref="Z37:AB37"/>
    <mergeCell ref="N38:Y38"/>
    <mergeCell ref="Z38:AB38"/>
    <mergeCell ref="N39:Y39"/>
    <mergeCell ref="Z39:AB39"/>
    <mergeCell ref="N40:Y40"/>
    <mergeCell ref="Z40:AB40"/>
    <mergeCell ref="N41:Y41"/>
    <mergeCell ref="Z41:AB41"/>
    <mergeCell ref="N42:Y42"/>
    <mergeCell ref="Z42:AB42"/>
    <mergeCell ref="N43:Y43"/>
    <mergeCell ref="Z43:AB43"/>
    <mergeCell ref="N44:Y44"/>
    <mergeCell ref="Z44:AB44"/>
    <mergeCell ref="N45:Y45"/>
    <mergeCell ref="Z45:AB45"/>
    <mergeCell ref="N46:Y46"/>
    <mergeCell ref="Z46:AB4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AO18:AO19"/>
    <mergeCell ref="AO20:AO21"/>
    <mergeCell ref="AO22:AO23"/>
    <mergeCell ref="AO24:AO25"/>
    <mergeCell ref="AO26:AO27"/>
    <mergeCell ref="AO28:AO29"/>
    <mergeCell ref="AO30:AO31"/>
    <mergeCell ref="AO32:AO33"/>
    <mergeCell ref="AQ4:AQ5"/>
    <mergeCell ref="AQ6:AQ7"/>
    <mergeCell ref="AQ8:AQ9"/>
    <mergeCell ref="AQ10:AQ11"/>
    <mergeCell ref="AQ12:AQ13"/>
    <mergeCell ref="AQ14:AQ15"/>
    <mergeCell ref="AQ16:AQ17"/>
    <mergeCell ref="AQ18:AQ19"/>
    <mergeCell ref="AQ20:AQ21"/>
    <mergeCell ref="AQ22:AQ23"/>
    <mergeCell ref="AQ24:AQ25"/>
    <mergeCell ref="AQ26:AQ27"/>
    <mergeCell ref="AQ28:AQ29"/>
    <mergeCell ref="AQ30:AQ31"/>
    <mergeCell ref="AQ32:AQ33"/>
    <mergeCell ref="AR4:AR5"/>
    <mergeCell ref="AR6:AR7"/>
    <mergeCell ref="AR8:AR9"/>
    <mergeCell ref="AR10:AR11"/>
    <mergeCell ref="AR12:AR13"/>
    <mergeCell ref="AR14:AR15"/>
    <mergeCell ref="AR16:AR17"/>
    <mergeCell ref="AR18:AR19"/>
    <mergeCell ref="AR20:AR21"/>
    <mergeCell ref="AR22:AR23"/>
    <mergeCell ref="AR24:AR25"/>
    <mergeCell ref="AR26:AR27"/>
    <mergeCell ref="AR28:AR29"/>
    <mergeCell ref="AR30:AR31"/>
    <mergeCell ref="AR32:AR33"/>
    <mergeCell ref="B151:H156"/>
    <mergeCell ref="B188:H193"/>
    <mergeCell ref="B206:H211"/>
    <mergeCell ref="F71:AB100"/>
    <mergeCell ref="B97:E100"/>
    <mergeCell ref="B34:H46"/>
    <mergeCell ref="B259:H264"/>
    <mergeCell ref="J259:P264"/>
    <mergeCell ref="B273:H278"/>
    <mergeCell ref="B288:H294"/>
    <mergeCell ref="B313:H319"/>
    <mergeCell ref="B340:H346"/>
    <mergeCell ref="B357:H363"/>
    <mergeCell ref="B369:H374"/>
    <mergeCell ref="B380:H385"/>
    <mergeCell ref="B391:H396"/>
    <mergeCell ref="B410:H415"/>
    <mergeCell ref="B428:H433"/>
    <mergeCell ref="B456:H461"/>
    <mergeCell ref="B472:H477"/>
    <mergeCell ref="B487:H492"/>
    <mergeCell ref="B503:H508"/>
    <mergeCell ref="B619:I624"/>
    <mergeCell ref="B735:I740"/>
  </mergeCells>
  <conditionalFormatting sqref="AA2">
    <cfRule type="colorScale" priority="647">
      <colorScale>
        <cfvo type="min"/>
        <cfvo type="percentile" val="50"/>
        <cfvo type="max"/>
        <color rgb="FFF8696B"/>
        <color rgb="FFFFEB84"/>
        <color rgb="FF63BE7B"/>
      </colorScale>
    </cfRule>
  </conditionalFormatting>
  <conditionalFormatting sqref="AK4">
    <cfRule type="dataBar" priority="626">
      <dataBar>
        <cfvo type="min"/>
        <cfvo type="max"/>
        <color rgb="FF638EC6"/>
      </dataBar>
      <extLst>
        <ext xmlns:x14="http://schemas.microsoft.com/office/spreadsheetml/2009/9/main" uri="{B025F937-C7B1-47D3-B67F-A62EFF666E3E}">
          <x14:id>{51344ef4-9ad6-44cb-877c-b6a6244e21aa}</x14:id>
        </ext>
      </extLst>
    </cfRule>
    <cfRule type="dataBar" priority="627">
      <dataBar>
        <cfvo type="min"/>
        <cfvo type="max"/>
        <color rgb="FF638EC6"/>
      </dataBar>
      <extLst>
        <ext xmlns:x14="http://schemas.microsoft.com/office/spreadsheetml/2009/9/main" uri="{B025F937-C7B1-47D3-B67F-A62EFF666E3E}">
          <x14:id>{6129aa1a-5db0-49ff-b2b2-2763345503d9}</x14:id>
        </ext>
      </extLst>
    </cfRule>
  </conditionalFormatting>
  <conditionalFormatting sqref="AK6">
    <cfRule type="dataBar" priority="624">
      <dataBar>
        <cfvo type="min"/>
        <cfvo type="max"/>
        <color rgb="FF638EC6"/>
      </dataBar>
      <extLst>
        <ext xmlns:x14="http://schemas.microsoft.com/office/spreadsheetml/2009/9/main" uri="{B025F937-C7B1-47D3-B67F-A62EFF666E3E}">
          <x14:id>{5cf8bf84-45fa-4cad-a76b-3186acdc282b}</x14:id>
        </ext>
      </extLst>
    </cfRule>
    <cfRule type="dataBar" priority="625">
      <dataBar>
        <cfvo type="min"/>
        <cfvo type="max"/>
        <color rgb="FF638EC6"/>
      </dataBar>
      <extLst>
        <ext xmlns:x14="http://schemas.microsoft.com/office/spreadsheetml/2009/9/main" uri="{B025F937-C7B1-47D3-B67F-A62EFF666E3E}">
          <x14:id>{1076ff3d-1c83-4d37-bb7b-31f50de67c97}</x14:id>
        </ext>
      </extLst>
    </cfRule>
  </conditionalFormatting>
  <conditionalFormatting sqref="AK8">
    <cfRule type="dataBar" priority="622">
      <dataBar>
        <cfvo type="min"/>
        <cfvo type="max"/>
        <color rgb="FF638EC6"/>
      </dataBar>
      <extLst>
        <ext xmlns:x14="http://schemas.microsoft.com/office/spreadsheetml/2009/9/main" uri="{B025F937-C7B1-47D3-B67F-A62EFF666E3E}">
          <x14:id>{f2d17b4c-ffd3-433c-ac61-7c6f7fef2138}</x14:id>
        </ext>
      </extLst>
    </cfRule>
    <cfRule type="dataBar" priority="623">
      <dataBar>
        <cfvo type="min"/>
        <cfvo type="max"/>
        <color rgb="FF638EC6"/>
      </dataBar>
      <extLst>
        <ext xmlns:x14="http://schemas.microsoft.com/office/spreadsheetml/2009/9/main" uri="{B025F937-C7B1-47D3-B67F-A62EFF666E3E}">
          <x14:id>{ef1fb004-9214-4f65-a1ac-2796b51740ec}</x14:id>
        </ext>
      </extLst>
    </cfRule>
  </conditionalFormatting>
  <conditionalFormatting sqref="AK12">
    <cfRule type="dataBar" priority="618">
      <dataBar>
        <cfvo type="min"/>
        <cfvo type="max"/>
        <color rgb="FF638EC6"/>
      </dataBar>
      <extLst>
        <ext xmlns:x14="http://schemas.microsoft.com/office/spreadsheetml/2009/9/main" uri="{B025F937-C7B1-47D3-B67F-A62EFF666E3E}">
          <x14:id>{5bb23949-4e6a-4dff-81dd-3cd7c1159959}</x14:id>
        </ext>
      </extLst>
    </cfRule>
    <cfRule type="dataBar" priority="619">
      <dataBar>
        <cfvo type="min"/>
        <cfvo type="max"/>
        <color rgb="FF638EC6"/>
      </dataBar>
      <extLst>
        <ext xmlns:x14="http://schemas.microsoft.com/office/spreadsheetml/2009/9/main" uri="{B025F937-C7B1-47D3-B67F-A62EFF666E3E}">
          <x14:id>{ff81c683-b4f2-4406-9f9d-cbc89fe23fed}</x14:id>
        </ext>
      </extLst>
    </cfRule>
  </conditionalFormatting>
  <conditionalFormatting sqref="AK14">
    <cfRule type="dataBar" priority="616">
      <dataBar>
        <cfvo type="min"/>
        <cfvo type="max"/>
        <color rgb="FF638EC6"/>
      </dataBar>
      <extLst>
        <ext xmlns:x14="http://schemas.microsoft.com/office/spreadsheetml/2009/9/main" uri="{B025F937-C7B1-47D3-B67F-A62EFF666E3E}">
          <x14:id>{4f41a432-52ae-43b2-b68a-43e245386e39}</x14:id>
        </ext>
      </extLst>
    </cfRule>
    <cfRule type="dataBar" priority="617">
      <dataBar>
        <cfvo type="min"/>
        <cfvo type="max"/>
        <color rgb="FF638EC6"/>
      </dataBar>
      <extLst>
        <ext xmlns:x14="http://schemas.microsoft.com/office/spreadsheetml/2009/9/main" uri="{B025F937-C7B1-47D3-B67F-A62EFF666E3E}">
          <x14:id>{cf0ca313-bd83-4431-aafd-3226074ef95d}</x14:id>
        </ext>
      </extLst>
    </cfRule>
  </conditionalFormatting>
  <conditionalFormatting sqref="AK16">
    <cfRule type="dataBar" priority="614">
      <dataBar>
        <cfvo type="min"/>
        <cfvo type="max"/>
        <color rgb="FF638EC6"/>
      </dataBar>
      <extLst>
        <ext xmlns:x14="http://schemas.microsoft.com/office/spreadsheetml/2009/9/main" uri="{B025F937-C7B1-47D3-B67F-A62EFF666E3E}">
          <x14:id>{0099febe-0c5b-4bd2-9aa9-75c52c541ac3}</x14:id>
        </ext>
      </extLst>
    </cfRule>
    <cfRule type="dataBar" priority="615">
      <dataBar>
        <cfvo type="min"/>
        <cfvo type="max"/>
        <color rgb="FF638EC6"/>
      </dataBar>
      <extLst>
        <ext xmlns:x14="http://schemas.microsoft.com/office/spreadsheetml/2009/9/main" uri="{B025F937-C7B1-47D3-B67F-A62EFF666E3E}">
          <x14:id>{4d74f1fa-9600-4e6c-9211-48793a921571}</x14:id>
        </ext>
      </extLst>
    </cfRule>
  </conditionalFormatting>
  <conditionalFormatting sqref="AK18">
    <cfRule type="dataBar" priority="612">
      <dataBar>
        <cfvo type="min"/>
        <cfvo type="max"/>
        <color rgb="FF638EC6"/>
      </dataBar>
      <extLst>
        <ext xmlns:x14="http://schemas.microsoft.com/office/spreadsheetml/2009/9/main" uri="{B025F937-C7B1-47D3-B67F-A62EFF666E3E}">
          <x14:id>{6d49795b-8b4f-437a-b601-f9b55be63046}</x14:id>
        </ext>
      </extLst>
    </cfRule>
    <cfRule type="dataBar" priority="613">
      <dataBar>
        <cfvo type="min"/>
        <cfvo type="max"/>
        <color rgb="FF638EC6"/>
      </dataBar>
      <extLst>
        <ext xmlns:x14="http://schemas.microsoft.com/office/spreadsheetml/2009/9/main" uri="{B025F937-C7B1-47D3-B67F-A62EFF666E3E}">
          <x14:id>{c90a2eeb-6f49-480a-9243-4bcaaa8efd6c}</x14:id>
        </ext>
      </extLst>
    </cfRule>
  </conditionalFormatting>
  <conditionalFormatting sqref="AK20">
    <cfRule type="dataBar" priority="610">
      <dataBar>
        <cfvo type="min"/>
        <cfvo type="max"/>
        <color rgb="FF638EC6"/>
      </dataBar>
      <extLst>
        <ext xmlns:x14="http://schemas.microsoft.com/office/spreadsheetml/2009/9/main" uri="{B025F937-C7B1-47D3-B67F-A62EFF666E3E}">
          <x14:id>{cd22b55a-2b7d-45f6-9f2d-6e8dbbf05958}</x14:id>
        </ext>
      </extLst>
    </cfRule>
    <cfRule type="dataBar" priority="611">
      <dataBar>
        <cfvo type="min"/>
        <cfvo type="max"/>
        <color rgb="FF638EC6"/>
      </dataBar>
      <extLst>
        <ext xmlns:x14="http://schemas.microsoft.com/office/spreadsheetml/2009/9/main" uri="{B025F937-C7B1-47D3-B67F-A62EFF666E3E}">
          <x14:id>{f1ff80ba-1311-4cb6-b292-729ceadf68d0}</x14:id>
        </ext>
      </extLst>
    </cfRule>
  </conditionalFormatting>
  <conditionalFormatting sqref="AK22">
    <cfRule type="dataBar" priority="608">
      <dataBar>
        <cfvo type="min"/>
        <cfvo type="max"/>
        <color rgb="FF638EC6"/>
      </dataBar>
      <extLst>
        <ext xmlns:x14="http://schemas.microsoft.com/office/spreadsheetml/2009/9/main" uri="{B025F937-C7B1-47D3-B67F-A62EFF666E3E}">
          <x14:id>{ac41416a-08b5-4f35-9d57-9fac5f0b0514}</x14:id>
        </ext>
      </extLst>
    </cfRule>
    <cfRule type="dataBar" priority="609">
      <dataBar>
        <cfvo type="min"/>
        <cfvo type="max"/>
        <color rgb="FF638EC6"/>
      </dataBar>
      <extLst>
        <ext xmlns:x14="http://schemas.microsoft.com/office/spreadsheetml/2009/9/main" uri="{B025F937-C7B1-47D3-B67F-A62EFF666E3E}">
          <x14:id>{5ef344c2-c483-49ad-adbb-77d313c4219a}</x14:id>
        </ext>
      </extLst>
    </cfRule>
  </conditionalFormatting>
  <conditionalFormatting sqref="AK24">
    <cfRule type="dataBar" priority="606">
      <dataBar>
        <cfvo type="min"/>
        <cfvo type="max"/>
        <color rgb="FF638EC6"/>
      </dataBar>
      <extLst>
        <ext xmlns:x14="http://schemas.microsoft.com/office/spreadsheetml/2009/9/main" uri="{B025F937-C7B1-47D3-B67F-A62EFF666E3E}">
          <x14:id>{91ce5e8d-708a-4568-bfee-d23a67acee60}</x14:id>
        </ext>
      </extLst>
    </cfRule>
    <cfRule type="dataBar" priority="607">
      <dataBar>
        <cfvo type="min"/>
        <cfvo type="max"/>
        <color rgb="FF638EC6"/>
      </dataBar>
      <extLst>
        <ext xmlns:x14="http://schemas.microsoft.com/office/spreadsheetml/2009/9/main" uri="{B025F937-C7B1-47D3-B67F-A62EFF666E3E}">
          <x14:id>{a8dbb34f-d455-4284-bda3-72545e465a53}</x14:id>
        </ext>
      </extLst>
    </cfRule>
  </conditionalFormatting>
  <conditionalFormatting sqref="O28">
    <cfRule type="dataBar" priority="585">
      <dataBar>
        <cfvo type="min"/>
        <cfvo type="max"/>
        <color rgb="FF638EC6"/>
      </dataBar>
      <extLst>
        <ext xmlns:x14="http://schemas.microsoft.com/office/spreadsheetml/2009/9/main" uri="{B025F937-C7B1-47D3-B67F-A62EFF666E3E}">
          <x14:id>{ab4472d6-2bce-4f4a-82f7-efe88ab86496}</x14:id>
        </ext>
      </extLst>
    </cfRule>
  </conditionalFormatting>
  <conditionalFormatting sqref="J35">
    <cfRule type="colorScale" priority="240">
      <colorScale>
        <cfvo type="min"/>
        <cfvo type="percentile" val="50"/>
        <cfvo type="max"/>
        <color rgb="FFF8696B"/>
        <color rgb="FFFFEB84"/>
        <color rgb="FF63BE7B"/>
      </colorScale>
    </cfRule>
  </conditionalFormatting>
  <conditionalFormatting sqref="J36">
    <cfRule type="colorScale" priority="238">
      <colorScale>
        <cfvo type="min"/>
        <cfvo type="percentile" val="50"/>
        <cfvo type="max"/>
        <color rgb="FFF8696B"/>
        <color rgb="FFFFEB84"/>
        <color rgb="FF63BE7B"/>
      </colorScale>
    </cfRule>
  </conditionalFormatting>
  <conditionalFormatting sqref="P36">
    <cfRule type="dataBar" priority="239">
      <dataBar>
        <cfvo type="min"/>
        <cfvo type="max"/>
        <color rgb="FF638EC6"/>
      </dataBar>
      <extLst>
        <ext xmlns:x14="http://schemas.microsoft.com/office/spreadsheetml/2009/9/main" uri="{B025F937-C7B1-47D3-B67F-A62EFF666E3E}">
          <x14:id>{c26b0bdc-d367-4130-a972-79dcab6155e3}</x14:id>
        </ext>
      </extLst>
    </cfRule>
  </conditionalFormatting>
  <conditionalFormatting sqref="J43">
    <cfRule type="colorScale" priority="237">
      <colorScale>
        <cfvo type="min"/>
        <cfvo type="percentile" val="50"/>
        <cfvo type="max"/>
        <color rgb="FFF8696B"/>
        <color rgb="FFFFEB84"/>
        <color rgb="FF63BE7B"/>
      </colorScale>
    </cfRule>
  </conditionalFormatting>
  <conditionalFormatting sqref="P44">
    <cfRule type="dataBar" priority="61">
      <dataBar>
        <cfvo type="min"/>
        <cfvo type="max"/>
        <color rgb="FF638EC6"/>
      </dataBar>
      <extLst>
        <ext xmlns:x14="http://schemas.microsoft.com/office/spreadsheetml/2009/9/main" uri="{B025F937-C7B1-47D3-B67F-A62EFF666E3E}">
          <x14:id>{b014010b-1277-403c-a073-1ccbae17c268}</x14:id>
        </ext>
      </extLst>
    </cfRule>
  </conditionalFormatting>
  <conditionalFormatting sqref="I153">
    <cfRule type="dataBar" priority="230">
      <dataBar>
        <cfvo type="min"/>
        <cfvo type="max"/>
        <color rgb="FF638EC6"/>
      </dataBar>
      <extLst>
        <ext xmlns:x14="http://schemas.microsoft.com/office/spreadsheetml/2009/9/main" uri="{B025F937-C7B1-47D3-B67F-A62EFF666E3E}">
          <x14:id>{fb1c138d-4858-4db7-82ce-e8067715eb70}</x14:id>
        </ext>
      </extLst>
    </cfRule>
  </conditionalFormatting>
  <conditionalFormatting sqref="I155">
    <cfRule type="dataBar" priority="229">
      <dataBar>
        <cfvo type="min"/>
        <cfvo type="max"/>
        <color rgb="FF638EC6"/>
      </dataBar>
      <extLst>
        <ext xmlns:x14="http://schemas.microsoft.com/office/spreadsheetml/2009/9/main" uri="{B025F937-C7B1-47D3-B67F-A62EFF666E3E}">
          <x14:id>{18b5da35-6860-4eae-b26e-a2410790d201}</x14:id>
        </ext>
      </extLst>
    </cfRule>
  </conditionalFormatting>
  <conditionalFormatting sqref="C3:C30">
    <cfRule type="colorScale" priority="246">
      <colorScale>
        <cfvo type="min"/>
        <cfvo type="percentile" val="50"/>
        <cfvo type="max"/>
        <color rgb="FFF8696B"/>
        <color rgb="FFFFEB84"/>
        <color rgb="FF63BE7B"/>
      </colorScale>
    </cfRule>
  </conditionalFormatting>
  <conditionalFormatting sqref="C31:C32">
    <cfRule type="colorScale" priority="76">
      <colorScale>
        <cfvo type="min"/>
        <cfvo type="percentile" val="50"/>
        <cfvo type="max"/>
        <color rgb="FFF8696B"/>
        <color rgb="FFFFEB84"/>
        <color rgb="FF63BE7B"/>
      </colorScale>
    </cfRule>
  </conditionalFormatting>
  <conditionalFormatting sqref="C72:C96">
    <cfRule type="colorScale" priority="70">
      <colorScale>
        <cfvo type="min"/>
        <cfvo type="percentile" val="50"/>
        <cfvo type="max"/>
        <color rgb="FFF8696B"/>
        <color rgb="FFFFEB84"/>
        <color rgb="FF63BE7B"/>
      </colorScale>
    </cfRule>
  </conditionalFormatting>
  <conditionalFormatting sqref="D3:D30">
    <cfRule type="colorScale" priority="245">
      <colorScale>
        <cfvo type="min"/>
        <cfvo type="percentile" val="50"/>
        <cfvo type="max"/>
        <color rgb="FFF8696B"/>
        <color rgb="FFFFEB84"/>
        <color rgb="FF63BE7B"/>
      </colorScale>
    </cfRule>
  </conditionalFormatting>
  <conditionalFormatting sqref="D31:D32">
    <cfRule type="colorScale" priority="75">
      <colorScale>
        <cfvo type="min"/>
        <cfvo type="percentile" val="50"/>
        <cfvo type="max"/>
        <color rgb="FFF8696B"/>
        <color rgb="FFFFEB84"/>
        <color rgb="FF63BE7B"/>
      </colorScale>
    </cfRule>
  </conditionalFormatting>
  <conditionalFormatting sqref="D72:D96">
    <cfRule type="colorScale" priority="66">
      <colorScale>
        <cfvo type="min"/>
        <cfvo type="percentile" val="50"/>
        <cfvo type="max"/>
        <color rgb="FFF8696B"/>
        <color rgb="FFFFEB84"/>
        <color rgb="FF63BE7B"/>
      </colorScale>
    </cfRule>
  </conditionalFormatting>
  <conditionalFormatting sqref="F151:F156">
    <cfRule type="dataBar" priority="231">
      <dataBar>
        <cfvo type="min"/>
        <cfvo type="max"/>
        <color rgb="FF638EC6"/>
      </dataBar>
      <extLst>
        <ext xmlns:x14="http://schemas.microsoft.com/office/spreadsheetml/2009/9/main" uri="{B025F937-C7B1-47D3-B67F-A62EFF666E3E}">
          <x14:id>{074e5810-cad1-4679-8cbe-e94018ddfb9d}</x14:id>
        </ext>
      </extLst>
    </cfRule>
  </conditionalFormatting>
  <conditionalFormatting sqref="F188:F193">
    <cfRule type="dataBar" priority="197">
      <dataBar>
        <cfvo type="min"/>
        <cfvo type="max"/>
        <color rgb="FF638EC6"/>
      </dataBar>
      <extLst>
        <ext xmlns:x14="http://schemas.microsoft.com/office/spreadsheetml/2009/9/main" uri="{B025F937-C7B1-47D3-B67F-A62EFF666E3E}">
          <x14:id>{087e23c7-4d6e-454b-bf6a-21d5c468585a}</x14:id>
        </ext>
      </extLst>
    </cfRule>
  </conditionalFormatting>
  <conditionalFormatting sqref="F206:F211">
    <cfRule type="dataBar" priority="191">
      <dataBar>
        <cfvo type="min"/>
        <cfvo type="max"/>
        <color rgb="FF638EC6"/>
      </dataBar>
      <extLst>
        <ext xmlns:x14="http://schemas.microsoft.com/office/spreadsheetml/2009/9/main" uri="{B025F937-C7B1-47D3-B67F-A62EFF666E3E}">
          <x14:id>{2417bfb2-bc8c-498d-81d6-0a3a314c9c66}</x14:id>
        </ext>
      </extLst>
    </cfRule>
  </conditionalFormatting>
  <conditionalFormatting sqref="F259:F264">
    <cfRule type="dataBar" priority="186">
      <dataBar>
        <cfvo type="min"/>
        <cfvo type="max"/>
        <color rgb="FF638EC6"/>
      </dataBar>
      <extLst>
        <ext xmlns:x14="http://schemas.microsoft.com/office/spreadsheetml/2009/9/main" uri="{B025F937-C7B1-47D3-B67F-A62EFF666E3E}">
          <x14:id>{4029555c-fe1d-4873-9c09-3da98abae200}</x14:id>
        </ext>
      </extLst>
    </cfRule>
  </conditionalFormatting>
  <conditionalFormatting sqref="F273:F278">
    <cfRule type="dataBar" priority="177">
      <dataBar>
        <cfvo type="min"/>
        <cfvo type="max"/>
        <color rgb="FF638EC6"/>
      </dataBar>
      <extLst>
        <ext xmlns:x14="http://schemas.microsoft.com/office/spreadsheetml/2009/9/main" uri="{B025F937-C7B1-47D3-B67F-A62EFF666E3E}">
          <x14:id>{7013548a-be51-4352-a935-811b296eaedd}</x14:id>
        </ext>
      </extLst>
    </cfRule>
  </conditionalFormatting>
  <conditionalFormatting sqref="F288:F294">
    <cfRule type="dataBar" priority="167">
      <dataBar>
        <cfvo type="min"/>
        <cfvo type="max"/>
        <color rgb="FF638EC6"/>
      </dataBar>
      <extLst>
        <ext xmlns:x14="http://schemas.microsoft.com/office/spreadsheetml/2009/9/main" uri="{B025F937-C7B1-47D3-B67F-A62EFF666E3E}">
          <x14:id>{29fa7f3a-6618-4e00-97f6-8974e070bef5}</x14:id>
        </ext>
      </extLst>
    </cfRule>
  </conditionalFormatting>
  <conditionalFormatting sqref="F313:F319">
    <cfRule type="dataBar" priority="162">
      <dataBar>
        <cfvo type="min"/>
        <cfvo type="max"/>
        <color rgb="FF638EC6"/>
      </dataBar>
      <extLst>
        <ext xmlns:x14="http://schemas.microsoft.com/office/spreadsheetml/2009/9/main" uri="{B025F937-C7B1-47D3-B67F-A62EFF666E3E}">
          <x14:id>{0f78eb5d-39df-4ac2-9cf8-bff53056569b}</x14:id>
        </ext>
      </extLst>
    </cfRule>
  </conditionalFormatting>
  <conditionalFormatting sqref="F340:F346">
    <cfRule type="dataBar" priority="157">
      <dataBar>
        <cfvo type="min"/>
        <cfvo type="max"/>
        <color rgb="FF638EC6"/>
      </dataBar>
      <extLst>
        <ext xmlns:x14="http://schemas.microsoft.com/office/spreadsheetml/2009/9/main" uri="{B025F937-C7B1-47D3-B67F-A62EFF666E3E}">
          <x14:id>{1c07f764-36a2-4cf8-a785-419d56e840ad}</x14:id>
        </ext>
      </extLst>
    </cfRule>
  </conditionalFormatting>
  <conditionalFormatting sqref="F357:F363">
    <cfRule type="dataBar" priority="147">
      <dataBar>
        <cfvo type="min"/>
        <cfvo type="max"/>
        <color rgb="FF638EC6"/>
      </dataBar>
      <extLst>
        <ext xmlns:x14="http://schemas.microsoft.com/office/spreadsheetml/2009/9/main" uri="{B025F937-C7B1-47D3-B67F-A62EFF666E3E}">
          <x14:id>{3a693f8d-3141-4f1b-9c40-b5fe550cd9ec}</x14:id>
        </ext>
      </extLst>
    </cfRule>
  </conditionalFormatting>
  <conditionalFormatting sqref="F369:F374">
    <cfRule type="dataBar" priority="137">
      <dataBar>
        <cfvo type="min"/>
        <cfvo type="max"/>
        <color rgb="FF638EC6"/>
      </dataBar>
      <extLst>
        <ext xmlns:x14="http://schemas.microsoft.com/office/spreadsheetml/2009/9/main" uri="{B025F937-C7B1-47D3-B67F-A62EFF666E3E}">
          <x14:id>{785bbfdc-1277-48b2-95f8-2ad656319ee7}</x14:id>
        </ext>
      </extLst>
    </cfRule>
  </conditionalFormatting>
  <conditionalFormatting sqref="F380:F385">
    <cfRule type="dataBar" priority="39">
      <dataBar>
        <cfvo type="min"/>
        <cfvo type="max"/>
        <color rgb="FF638EC6"/>
      </dataBar>
      <extLst>
        <ext xmlns:x14="http://schemas.microsoft.com/office/spreadsheetml/2009/9/main" uri="{B025F937-C7B1-47D3-B67F-A62EFF666E3E}">
          <x14:id>{3ab5f785-5bf0-4a39-a280-36a9569e35be}</x14:id>
        </ext>
      </extLst>
    </cfRule>
  </conditionalFormatting>
  <conditionalFormatting sqref="F391:F396">
    <cfRule type="dataBar" priority="119">
      <dataBar>
        <cfvo type="min"/>
        <cfvo type="max"/>
        <color rgb="FF638EC6"/>
      </dataBar>
      <extLst>
        <ext xmlns:x14="http://schemas.microsoft.com/office/spreadsheetml/2009/9/main" uri="{B025F937-C7B1-47D3-B67F-A62EFF666E3E}">
          <x14:id>{c822bb09-8a2d-460a-a597-dde24ae4341d}</x14:id>
        </ext>
      </extLst>
    </cfRule>
  </conditionalFormatting>
  <conditionalFormatting sqref="F410:F415">
    <cfRule type="dataBar" priority="109">
      <dataBar>
        <cfvo type="min"/>
        <cfvo type="max"/>
        <color rgb="FF638EC6"/>
      </dataBar>
      <extLst>
        <ext xmlns:x14="http://schemas.microsoft.com/office/spreadsheetml/2009/9/main" uri="{B025F937-C7B1-47D3-B67F-A62EFF666E3E}">
          <x14:id>{e7097f06-88b3-4784-81a1-6e550881ec20}</x14:id>
        </ext>
      </extLst>
    </cfRule>
  </conditionalFormatting>
  <conditionalFormatting sqref="F428:F433">
    <cfRule type="dataBar" priority="99">
      <dataBar>
        <cfvo type="min"/>
        <cfvo type="max"/>
        <color rgb="FF638EC6"/>
      </dataBar>
      <extLst>
        <ext xmlns:x14="http://schemas.microsoft.com/office/spreadsheetml/2009/9/main" uri="{B025F937-C7B1-47D3-B67F-A62EFF666E3E}">
          <x14:id>{585af577-8bdc-4449-8819-ac630b807001}</x14:id>
        </ext>
      </extLst>
    </cfRule>
  </conditionalFormatting>
  <conditionalFormatting sqref="F456:F461">
    <cfRule type="dataBar" priority="26">
      <dataBar>
        <cfvo type="min"/>
        <cfvo type="max"/>
        <color rgb="FF638EC6"/>
      </dataBar>
      <extLst>
        <ext xmlns:x14="http://schemas.microsoft.com/office/spreadsheetml/2009/9/main" uri="{B025F937-C7B1-47D3-B67F-A62EFF666E3E}">
          <x14:id>{9f5e9d27-8951-477c-94cb-c7fcc562b950}</x14:id>
        </ext>
      </extLst>
    </cfRule>
  </conditionalFormatting>
  <conditionalFormatting sqref="F472:F477">
    <cfRule type="dataBar" priority="21">
      <dataBar>
        <cfvo type="min"/>
        <cfvo type="max"/>
        <color rgb="FF638EC6"/>
      </dataBar>
      <extLst>
        <ext xmlns:x14="http://schemas.microsoft.com/office/spreadsheetml/2009/9/main" uri="{B025F937-C7B1-47D3-B67F-A62EFF666E3E}">
          <x14:id>{31745ed5-9868-4d9e-bac4-f6ee8a857bf9}</x14:id>
        </ext>
      </extLst>
    </cfRule>
  </conditionalFormatting>
  <conditionalFormatting sqref="F487:F492">
    <cfRule type="dataBar" priority="16">
      <dataBar>
        <cfvo type="min"/>
        <cfvo type="max"/>
        <color rgb="FF638EC6"/>
      </dataBar>
      <extLst>
        <ext xmlns:x14="http://schemas.microsoft.com/office/spreadsheetml/2009/9/main" uri="{B025F937-C7B1-47D3-B67F-A62EFF666E3E}">
          <x14:id>{8b39af41-d59e-425c-b018-42a9af30f82c}</x14:id>
        </ext>
      </extLst>
    </cfRule>
  </conditionalFormatting>
  <conditionalFormatting sqref="F503:F508">
    <cfRule type="dataBar" priority="11">
      <dataBar>
        <cfvo type="min"/>
        <cfvo type="max"/>
        <color rgb="FF638EC6"/>
      </dataBar>
      <extLst>
        <ext xmlns:x14="http://schemas.microsoft.com/office/spreadsheetml/2009/9/main" uri="{B025F937-C7B1-47D3-B67F-A62EFF666E3E}">
          <x14:id>{4574239c-eef0-4550-86c4-3a7043ace65c}</x14:id>
        </ext>
      </extLst>
    </cfRule>
  </conditionalFormatting>
  <conditionalFormatting sqref="I33:I34">
    <cfRule type="dataBar" priority="591">
      <dataBar>
        <cfvo type="min"/>
        <cfvo type="max"/>
        <color rgb="FF638EC6"/>
      </dataBar>
      <extLst>
        <ext xmlns:x14="http://schemas.microsoft.com/office/spreadsheetml/2009/9/main" uri="{B025F937-C7B1-47D3-B67F-A62EFF666E3E}">
          <x14:id>{1383c6a1-88d2-47a1-94a4-925cc8b3ba0e}</x14:id>
        </ext>
      </extLst>
    </cfRule>
  </conditionalFormatting>
  <conditionalFormatting sqref="N259:N264">
    <cfRule type="dataBar" priority="49">
      <dataBar>
        <cfvo type="min"/>
        <cfvo type="max"/>
        <color rgb="FF638EC6"/>
      </dataBar>
      <extLst>
        <ext xmlns:x14="http://schemas.microsoft.com/office/spreadsheetml/2009/9/main" uri="{B025F937-C7B1-47D3-B67F-A62EFF666E3E}">
          <x14:id>{c0c07e30-bd18-4179-8b4e-687070d5e891}</x14:id>
        </ext>
      </extLst>
    </cfRule>
  </conditionalFormatting>
  <conditionalFormatting sqref="O29:O30">
    <cfRule type="dataBar" priority="255">
      <dataBar>
        <cfvo type="min"/>
        <cfvo type="max"/>
        <color rgb="FF638EC6"/>
      </dataBar>
      <extLst>
        <ext xmlns:x14="http://schemas.microsoft.com/office/spreadsheetml/2009/9/main" uri="{B025F937-C7B1-47D3-B67F-A62EFF666E3E}">
          <x14:id>{e6632ac3-a67e-4719-92d2-1bc7461f429f}</x14:id>
        </ext>
      </extLst>
    </cfRule>
  </conditionalFormatting>
  <conditionalFormatting sqref="O31:O32">
    <cfRule type="dataBar" priority="77">
      <dataBar>
        <cfvo type="min"/>
        <cfvo type="max"/>
        <color rgb="FF638EC6"/>
      </dataBar>
      <extLst>
        <ext xmlns:x14="http://schemas.microsoft.com/office/spreadsheetml/2009/9/main" uri="{B025F937-C7B1-47D3-B67F-A62EFF666E3E}">
          <x14:id>{32035a2e-013d-4f2b-9ce0-9256e603ba59}</x14:id>
        </ext>
      </extLst>
    </cfRule>
  </conditionalFormatting>
  <conditionalFormatting sqref="Z31:Z32">
    <cfRule type="dataBar" priority="78">
      <dataBar>
        <cfvo type="min"/>
        <cfvo type="max"/>
        <color rgb="FF638EC6"/>
      </dataBar>
      <extLst>
        <ext xmlns:x14="http://schemas.microsoft.com/office/spreadsheetml/2009/9/main" uri="{B025F937-C7B1-47D3-B67F-A62EFF666E3E}">
          <x14:id>{59b69cc6-391d-4b2d-94b0-99b7c8208708}</x14:id>
        </ext>
      </extLst>
    </cfRule>
  </conditionalFormatting>
  <conditionalFormatting sqref="AK10:AK11">
    <cfRule type="dataBar" priority="620">
      <dataBar>
        <cfvo type="min"/>
        <cfvo type="max"/>
        <color rgb="FF638EC6"/>
      </dataBar>
      <extLst>
        <ext xmlns:x14="http://schemas.microsoft.com/office/spreadsheetml/2009/9/main" uri="{B025F937-C7B1-47D3-B67F-A62EFF666E3E}">
          <x14:id>{f2865270-11ee-4e75-a455-b9cab7df65be}</x14:id>
        </ext>
      </extLst>
    </cfRule>
    <cfRule type="dataBar" priority="621">
      <dataBar>
        <cfvo type="min"/>
        <cfvo type="max"/>
        <color rgb="FF638EC6"/>
      </dataBar>
      <extLst>
        <ext xmlns:x14="http://schemas.microsoft.com/office/spreadsheetml/2009/9/main" uri="{B025F937-C7B1-47D3-B67F-A62EFF666E3E}">
          <x14:id>{98a78d5a-4bb4-49c9-8385-c554b2f9b1c1}</x14:id>
        </ext>
      </extLst>
    </cfRule>
  </conditionalFormatting>
  <conditionalFormatting sqref="AK26:AK30">
    <cfRule type="dataBar" priority="604">
      <dataBar>
        <cfvo type="min"/>
        <cfvo type="max"/>
        <color rgb="FF638EC6"/>
      </dataBar>
      <extLst>
        <ext xmlns:x14="http://schemas.microsoft.com/office/spreadsheetml/2009/9/main" uri="{B025F937-C7B1-47D3-B67F-A62EFF666E3E}">
          <x14:id>{17be3650-4682-414e-b2e3-0c7db3e63d13}</x14:id>
        </ext>
      </extLst>
    </cfRule>
    <cfRule type="dataBar" priority="605">
      <dataBar>
        <cfvo type="min"/>
        <cfvo type="max"/>
        <color rgb="FF638EC6"/>
      </dataBar>
      <extLst>
        <ext xmlns:x14="http://schemas.microsoft.com/office/spreadsheetml/2009/9/main" uri="{B025F937-C7B1-47D3-B67F-A62EFF666E3E}">
          <x14:id>{84fdb8a6-bb79-496a-be97-755a8a92971a}</x14:id>
        </ext>
      </extLst>
    </cfRule>
  </conditionalFormatting>
  <conditionalFormatting sqref="AK31:AK32">
    <cfRule type="dataBar" priority="79">
      <dataBar>
        <cfvo type="min"/>
        <cfvo type="max"/>
        <color rgb="FF638EC6"/>
      </dataBar>
      <extLst>
        <ext xmlns:x14="http://schemas.microsoft.com/office/spreadsheetml/2009/9/main" uri="{B025F937-C7B1-47D3-B67F-A62EFF666E3E}">
          <x14:id>{5330a6de-df0c-4d95-b16c-01876a7eddb9}</x14:id>
        </ext>
      </extLst>
    </cfRule>
    <cfRule type="dataBar" priority="80">
      <dataBar>
        <cfvo type="min"/>
        <cfvo type="max"/>
        <color rgb="FF638EC6"/>
      </dataBar>
      <extLst>
        <ext xmlns:x14="http://schemas.microsoft.com/office/spreadsheetml/2009/9/main" uri="{B025F937-C7B1-47D3-B67F-A62EFF666E3E}">
          <x14:id>{4bed540b-55be-48b7-8fd5-7c91b3e25c2a}</x14:id>
        </ext>
      </extLst>
    </cfRule>
  </conditionalFormatting>
  <conditionalFormatting sqref="AQ4:AQ31">
    <cfRule type="colorScale" priority="65">
      <colorScale>
        <cfvo type="min"/>
        <cfvo type="percentile" val="50"/>
        <cfvo type="max"/>
        <color rgb="FFF8696B"/>
        <color rgb="FFFFEB84"/>
        <color rgb="FF63BE7B"/>
      </colorScale>
    </cfRule>
  </conditionalFormatting>
  <conditionalFormatting sqref="AQ32:AQ33">
    <cfRule type="colorScale" priority="63">
      <colorScale>
        <cfvo type="min"/>
        <cfvo type="percentile" val="50"/>
        <cfvo type="max"/>
        <color rgb="FFF8696B"/>
        <color rgb="FFFFEB84"/>
        <color rgb="FF63BE7B"/>
      </colorScale>
    </cfRule>
  </conditionalFormatting>
  <conditionalFormatting sqref="AR4:AR31">
    <cfRule type="colorScale" priority="64">
      <colorScale>
        <cfvo type="min"/>
        <cfvo type="percentile" val="50"/>
        <cfvo type="max"/>
        <color rgb="FFF8696B"/>
        <color rgb="FFFFEB84"/>
        <color rgb="FF63BE7B"/>
      </colorScale>
    </cfRule>
  </conditionalFormatting>
  <conditionalFormatting sqref="AR32:AR33">
    <cfRule type="colorScale" priority="62">
      <colorScale>
        <cfvo type="min"/>
        <cfvo type="percentile" val="50"/>
        <cfvo type="max"/>
        <color rgb="FFF8696B"/>
        <color rgb="FFFFEB84"/>
        <color rgb="FF63BE7B"/>
      </colorScale>
    </cfRule>
  </conditionalFormatting>
  <conditionalFormatting sqref="O1:O2 O4:O27 O151:O212 O265:O1048576">
    <cfRule type="dataBar" priority="640">
      <dataBar>
        <cfvo type="min"/>
        <cfvo type="max"/>
        <color rgb="FF638EC6"/>
      </dataBar>
      <extLst>
        <ext xmlns:x14="http://schemas.microsoft.com/office/spreadsheetml/2009/9/main" uri="{B025F937-C7B1-47D3-B67F-A62EFF666E3E}">
          <x14:id>{d6cc575a-17a0-49ae-8ac6-42093c807f26}</x14:id>
        </ext>
      </extLst>
    </cfRule>
  </conditionalFormatting>
  <conditionalFormatting sqref="Z1:Z2 Z4:Z30 Z47:Z70 Z101:Z1048576">
    <cfRule type="dataBar" priority="596">
      <dataBar>
        <cfvo type="min"/>
        <cfvo type="max"/>
        <color rgb="FF638EC6"/>
      </dataBar>
      <extLst>
        <ext xmlns:x14="http://schemas.microsoft.com/office/spreadsheetml/2009/9/main" uri="{B025F937-C7B1-47D3-B67F-A62EFF666E3E}">
          <x14:id>{cc425fc5-3360-4f11-8728-2ed4df3cdb01}</x14:id>
        </ext>
      </extLst>
    </cfRule>
  </conditionalFormatting>
  <conditionalFormatting sqref="E3:N30">
    <cfRule type="colorScale" priority="244">
      <colorScale>
        <cfvo type="min"/>
        <cfvo type="percentile" val="50"/>
        <cfvo type="max"/>
        <color rgb="FFF8696B"/>
        <color rgb="FFFFEB84"/>
        <color rgb="FF63BE7B"/>
      </colorScale>
    </cfRule>
  </conditionalFormatting>
  <conditionalFormatting sqref="P3:Y30">
    <cfRule type="colorScale" priority="243">
      <colorScale>
        <cfvo type="min"/>
        <cfvo type="percentile" val="50"/>
        <cfvo type="max"/>
        <color rgb="FFF8696B"/>
        <color rgb="FFFFEB84"/>
        <color rgb="FF63BE7B"/>
      </colorScale>
    </cfRule>
  </conditionalFormatting>
  <conditionalFormatting sqref="AA3:AJ30">
    <cfRule type="colorScale" priority="241">
      <colorScale>
        <cfvo type="min"/>
        <cfvo type="percentile" val="50"/>
        <cfvo type="max"/>
        <color rgb="FFF8696B"/>
        <color rgb="FFFFEB84"/>
        <color rgb="FF63BE7B"/>
      </colorScale>
    </cfRule>
  </conditionalFormatting>
  <conditionalFormatting sqref="E31:N32">
    <cfRule type="colorScale" priority="74">
      <colorScale>
        <cfvo type="min"/>
        <cfvo type="percentile" val="50"/>
        <cfvo type="max"/>
        <color rgb="FFF8696B"/>
        <color rgb="FFFFEB84"/>
        <color rgb="FF63BE7B"/>
      </colorScale>
    </cfRule>
  </conditionalFormatting>
  <conditionalFormatting sqref="P31:Y32">
    <cfRule type="colorScale" priority="73">
      <colorScale>
        <cfvo type="min"/>
        <cfvo type="percentile" val="50"/>
        <cfvo type="max"/>
        <color rgb="FFF8696B"/>
        <color rgb="FFFFEB84"/>
        <color rgb="FF63BE7B"/>
      </colorScale>
    </cfRule>
  </conditionalFormatting>
  <conditionalFormatting sqref="AA31:AJ32">
    <cfRule type="colorScale" priority="72">
      <colorScale>
        <cfvo type="min"/>
        <cfvo type="percentile" val="50"/>
        <cfvo type="max"/>
        <color rgb="FFF8696B"/>
        <color rgb="FFFFEB84"/>
        <color rgb="FF63BE7B"/>
      </colorScale>
    </cfRule>
  </conditionalFormatting>
  <conditionalFormatting sqref="O101:O150 O47:O70 P34:P35 P37:P43">
    <cfRule type="dataBar" priority="590">
      <dataBar>
        <cfvo type="min"/>
        <cfvo type="max"/>
        <color rgb="FF638EC6"/>
      </dataBar>
      <extLst>
        <ext xmlns:x14="http://schemas.microsoft.com/office/spreadsheetml/2009/9/main" uri="{B025F937-C7B1-47D3-B67F-A62EFF666E3E}">
          <x14:id>{508a86b2-25b5-4b6b-a400-bf91d3735e78}</x14:id>
        </ext>
      </extLst>
    </cfRule>
  </conditionalFormatting>
  <conditionalFormatting sqref="F103:H150">
    <cfRule type="colorScale" priority="84">
      <colorScale>
        <cfvo type="min"/>
        <cfvo type="percentile" val="50"/>
        <cfvo type="max"/>
        <color rgb="FFF8696B"/>
        <color rgb="FFFFEB84"/>
        <color rgb="FF63BE7B"/>
      </colorScale>
    </cfRule>
  </conditionalFormatting>
  <conditionalFormatting sqref="G151:H156">
    <cfRule type="dataBar" priority="232">
      <dataBar>
        <cfvo type="min"/>
        <cfvo type="max"/>
        <color rgb="FF638EC6"/>
      </dataBar>
      <extLst>
        <ext xmlns:x14="http://schemas.microsoft.com/office/spreadsheetml/2009/9/main" uri="{B025F937-C7B1-47D3-B67F-A62EFF666E3E}">
          <x14:id>{133fa87c-8e18-42c9-821e-8769d6b95e7b}</x14:id>
        </ext>
      </extLst>
    </cfRule>
  </conditionalFormatting>
  <conditionalFormatting sqref="G151:I151 G152:H156">
    <cfRule type="dataBar" priority="233">
      <dataBar>
        <cfvo type="min"/>
        <cfvo type="max"/>
        <color rgb="FF638EC6"/>
      </dataBar>
      <extLst>
        <ext xmlns:x14="http://schemas.microsoft.com/office/spreadsheetml/2009/9/main" uri="{B025F937-C7B1-47D3-B67F-A62EFF666E3E}">
          <x14:id>{26c18610-d39c-4c23-89be-f919d44b7751}</x14:id>
        </ext>
      </extLst>
    </cfRule>
  </conditionalFormatting>
  <conditionalFormatting sqref="F159:H187">
    <cfRule type="colorScale" priority="83">
      <colorScale>
        <cfvo type="min"/>
        <cfvo type="percentile" val="50"/>
        <cfvo type="max"/>
        <color rgb="FFF8696B"/>
        <color rgb="FFFFEB84"/>
        <color rgb="FF63BE7B"/>
      </colorScale>
    </cfRule>
  </conditionalFormatting>
  <conditionalFormatting sqref="G188:H193">
    <cfRule type="dataBar" priority="198">
      <dataBar>
        <cfvo type="min"/>
        <cfvo type="max"/>
        <color rgb="FF638EC6"/>
      </dataBar>
      <extLst>
        <ext xmlns:x14="http://schemas.microsoft.com/office/spreadsheetml/2009/9/main" uri="{B025F937-C7B1-47D3-B67F-A62EFF666E3E}">
          <x14:id>{1a2b3ea0-8763-41ed-b55b-bec74b6f6b54}</x14:id>
        </ext>
      </extLst>
    </cfRule>
  </conditionalFormatting>
  <conditionalFormatting sqref="F196:H205">
    <cfRule type="colorScale" priority="81">
      <colorScale>
        <cfvo type="min"/>
        <cfvo type="percentile" val="50"/>
        <cfvo type="max"/>
        <color rgb="FFF8696B"/>
        <color rgb="FFFFEB84"/>
        <color rgb="FF63BE7B"/>
      </colorScale>
    </cfRule>
  </conditionalFormatting>
  <conditionalFormatting sqref="G206:H211">
    <cfRule type="dataBar" priority="192">
      <dataBar>
        <cfvo type="min"/>
        <cfvo type="max"/>
        <color rgb="FF638EC6"/>
      </dataBar>
      <extLst>
        <ext xmlns:x14="http://schemas.microsoft.com/office/spreadsheetml/2009/9/main" uri="{B025F937-C7B1-47D3-B67F-A62EFF666E3E}">
          <x14:id>{fe2ee609-da3d-47c2-bbad-a968c695bb4c}</x14:id>
        </ext>
      </extLst>
    </cfRule>
  </conditionalFormatting>
  <conditionalFormatting sqref="F214:H258">
    <cfRule type="colorScale" priority="58">
      <colorScale>
        <cfvo type="min"/>
        <cfvo type="percentile" val="50"/>
        <cfvo type="max"/>
        <color rgb="FFF8696B"/>
        <color rgb="FFFFEB84"/>
        <color rgb="FF63BE7B"/>
      </colorScale>
    </cfRule>
  </conditionalFormatting>
  <conditionalFormatting sqref="N214:P258">
    <cfRule type="colorScale" priority="53">
      <colorScale>
        <cfvo type="min"/>
        <cfvo type="percentile" val="50"/>
        <cfvo type="max"/>
        <color rgb="FFF8696B"/>
        <color rgb="FFFFEB84"/>
        <color rgb="FF63BE7B"/>
      </colorScale>
    </cfRule>
  </conditionalFormatting>
  <conditionalFormatting sqref="G259:H264">
    <cfRule type="dataBar" priority="187">
      <dataBar>
        <cfvo type="min"/>
        <cfvo type="max"/>
        <color rgb="FF638EC6"/>
      </dataBar>
      <extLst>
        <ext xmlns:x14="http://schemas.microsoft.com/office/spreadsheetml/2009/9/main" uri="{B025F937-C7B1-47D3-B67F-A62EFF666E3E}">
          <x14:id>{68ef2788-8d3c-498b-94c5-e5e4c6c976a2}</x14:id>
        </ext>
      </extLst>
    </cfRule>
  </conditionalFormatting>
  <conditionalFormatting sqref="O259:P264">
    <cfRule type="dataBar" priority="52">
      <dataBar>
        <cfvo type="min"/>
        <cfvo type="max"/>
        <color rgb="FF638EC6"/>
      </dataBar>
      <extLst>
        <ext xmlns:x14="http://schemas.microsoft.com/office/spreadsheetml/2009/9/main" uri="{B025F937-C7B1-47D3-B67F-A62EFF666E3E}">
          <x14:id>{cd1dda1f-951f-476b-92a2-1577b15a723c}</x14:id>
        </ext>
      </extLst>
    </cfRule>
  </conditionalFormatting>
  <conditionalFormatting sqref="F267:H272">
    <cfRule type="colorScale" priority="48">
      <colorScale>
        <cfvo type="min"/>
        <cfvo type="percentile" val="50"/>
        <cfvo type="max"/>
        <color rgb="FFF8696B"/>
        <color rgb="FFFFEB84"/>
        <color rgb="FF63BE7B"/>
      </colorScale>
    </cfRule>
  </conditionalFormatting>
  <conditionalFormatting sqref="G273:H278">
    <cfRule type="dataBar" priority="178">
      <dataBar>
        <cfvo type="min"/>
        <cfvo type="max"/>
        <color rgb="FF638EC6"/>
      </dataBar>
      <extLst>
        <ext xmlns:x14="http://schemas.microsoft.com/office/spreadsheetml/2009/9/main" uri="{B025F937-C7B1-47D3-B67F-A62EFF666E3E}">
          <x14:id>{43e54089-94d8-4b2a-9513-21bdc513977a}</x14:id>
        </ext>
      </extLst>
    </cfRule>
  </conditionalFormatting>
  <conditionalFormatting sqref="F281:H287">
    <cfRule type="colorScale" priority="47">
      <colorScale>
        <cfvo type="min"/>
        <cfvo type="percentile" val="50"/>
        <cfvo type="max"/>
        <color rgb="FFF8696B"/>
        <color rgb="FFFFEB84"/>
        <color rgb="FF63BE7B"/>
      </colorScale>
    </cfRule>
  </conditionalFormatting>
  <conditionalFormatting sqref="G288:H294">
    <cfRule type="dataBar" priority="168">
      <dataBar>
        <cfvo type="min"/>
        <cfvo type="max"/>
        <color rgb="FF638EC6"/>
      </dataBar>
      <extLst>
        <ext xmlns:x14="http://schemas.microsoft.com/office/spreadsheetml/2009/9/main" uri="{B025F937-C7B1-47D3-B67F-A62EFF666E3E}">
          <x14:id>{df800b23-6cb3-4f57-98e9-0b1d02c78f2c}</x14:id>
        </ext>
      </extLst>
    </cfRule>
  </conditionalFormatting>
  <conditionalFormatting sqref="F297:H312">
    <cfRule type="colorScale" priority="46">
      <colorScale>
        <cfvo type="min"/>
        <cfvo type="percentile" val="50"/>
        <cfvo type="max"/>
        <color rgb="FFF8696B"/>
        <color rgb="FFFFEB84"/>
        <color rgb="FF63BE7B"/>
      </colorScale>
    </cfRule>
  </conditionalFormatting>
  <conditionalFormatting sqref="G313:H319">
    <cfRule type="dataBar" priority="163">
      <dataBar>
        <cfvo type="min"/>
        <cfvo type="max"/>
        <color rgb="FF638EC6"/>
      </dataBar>
      <extLst>
        <ext xmlns:x14="http://schemas.microsoft.com/office/spreadsheetml/2009/9/main" uri="{B025F937-C7B1-47D3-B67F-A62EFF666E3E}">
          <x14:id>{99da7374-7261-4b53-b8dc-276f2c792a48}</x14:id>
        </ext>
      </extLst>
    </cfRule>
  </conditionalFormatting>
  <conditionalFormatting sqref="F322:H339">
    <cfRule type="colorScale" priority="45">
      <colorScale>
        <cfvo type="min"/>
        <cfvo type="percentile" val="50"/>
        <cfvo type="max"/>
        <color rgb="FFF8696B"/>
        <color rgb="FFFFEB84"/>
        <color rgb="FF63BE7B"/>
      </colorScale>
    </cfRule>
  </conditionalFormatting>
  <conditionalFormatting sqref="G340:H346">
    <cfRule type="dataBar" priority="158">
      <dataBar>
        <cfvo type="min"/>
        <cfvo type="max"/>
        <color rgb="FF638EC6"/>
      </dataBar>
      <extLst>
        <ext xmlns:x14="http://schemas.microsoft.com/office/spreadsheetml/2009/9/main" uri="{B025F937-C7B1-47D3-B67F-A62EFF666E3E}">
          <x14:id>{77dc2fe6-b3b5-4438-a423-8e3066980feb}</x14:id>
        </ext>
      </extLst>
    </cfRule>
  </conditionalFormatting>
  <conditionalFormatting sqref="F349:H356">
    <cfRule type="colorScale" priority="44">
      <colorScale>
        <cfvo type="min"/>
        <cfvo type="percentile" val="50"/>
        <cfvo type="max"/>
        <color rgb="FFF8696B"/>
        <color rgb="FFFFEB84"/>
        <color rgb="FF63BE7B"/>
      </colorScale>
    </cfRule>
  </conditionalFormatting>
  <conditionalFormatting sqref="G357:H363">
    <cfRule type="dataBar" priority="148">
      <dataBar>
        <cfvo type="min"/>
        <cfvo type="max"/>
        <color rgb="FF638EC6"/>
      </dataBar>
      <extLst>
        <ext xmlns:x14="http://schemas.microsoft.com/office/spreadsheetml/2009/9/main" uri="{B025F937-C7B1-47D3-B67F-A62EFF666E3E}">
          <x14:id>{cd400cde-020c-4fe7-921a-86ea2223d483}</x14:id>
        </ext>
      </extLst>
    </cfRule>
  </conditionalFormatting>
  <conditionalFormatting sqref="F366:H368">
    <cfRule type="colorScale" priority="43">
      <colorScale>
        <cfvo type="min"/>
        <cfvo type="percentile" val="50"/>
        <cfvo type="max"/>
        <color rgb="FFF8696B"/>
        <color rgb="FFFFEB84"/>
        <color rgb="FF63BE7B"/>
      </colorScale>
    </cfRule>
  </conditionalFormatting>
  <conditionalFormatting sqref="G369:H374">
    <cfRule type="dataBar" priority="138">
      <dataBar>
        <cfvo type="min"/>
        <cfvo type="max"/>
        <color rgb="FF638EC6"/>
      </dataBar>
      <extLst>
        <ext xmlns:x14="http://schemas.microsoft.com/office/spreadsheetml/2009/9/main" uri="{B025F937-C7B1-47D3-B67F-A62EFF666E3E}">
          <x14:id>{8df25069-b70d-43db-abd0-2721fa8eca13}</x14:id>
        </ext>
      </extLst>
    </cfRule>
  </conditionalFormatting>
  <conditionalFormatting sqref="F377:H379">
    <cfRule type="colorScale" priority="37">
      <colorScale>
        <cfvo type="min"/>
        <cfvo type="percentile" val="50"/>
        <cfvo type="max"/>
        <color rgb="FFF8696B"/>
        <color rgb="FFFFEB84"/>
        <color rgb="FF63BE7B"/>
      </colorScale>
    </cfRule>
  </conditionalFormatting>
  <conditionalFormatting sqref="G380:H385">
    <cfRule type="dataBar" priority="40">
      <dataBar>
        <cfvo type="min"/>
        <cfvo type="max"/>
        <color rgb="FF638EC6"/>
      </dataBar>
      <extLst>
        <ext xmlns:x14="http://schemas.microsoft.com/office/spreadsheetml/2009/9/main" uri="{B025F937-C7B1-47D3-B67F-A62EFF666E3E}">
          <x14:id>{72d6ea44-0e2c-4518-8bea-7bb8126e285c}</x14:id>
        </ext>
      </extLst>
    </cfRule>
  </conditionalFormatting>
  <conditionalFormatting sqref="F388:H390">
    <cfRule type="colorScale" priority="36">
      <colorScale>
        <cfvo type="min"/>
        <cfvo type="percentile" val="50"/>
        <cfvo type="max"/>
        <color rgb="FFF8696B"/>
        <color rgb="FFFFEB84"/>
        <color rgb="FF63BE7B"/>
      </colorScale>
    </cfRule>
  </conditionalFormatting>
  <conditionalFormatting sqref="G391:H396">
    <cfRule type="dataBar" priority="120">
      <dataBar>
        <cfvo type="min"/>
        <cfvo type="max"/>
        <color rgb="FF638EC6"/>
      </dataBar>
      <extLst>
        <ext xmlns:x14="http://schemas.microsoft.com/office/spreadsheetml/2009/9/main" uri="{B025F937-C7B1-47D3-B67F-A62EFF666E3E}">
          <x14:id>{17f31d45-b9d5-4587-bafb-6ee8387e9b97}</x14:id>
        </ext>
      </extLst>
    </cfRule>
  </conditionalFormatting>
  <conditionalFormatting sqref="F399:H409">
    <cfRule type="colorScale" priority="32">
      <colorScale>
        <cfvo type="min"/>
        <cfvo type="percentile" val="50"/>
        <cfvo type="max"/>
        <color rgb="FFF8696B"/>
        <color rgb="FFFFEB84"/>
        <color rgb="FF63BE7B"/>
      </colorScale>
    </cfRule>
  </conditionalFormatting>
  <conditionalFormatting sqref="G410:H415">
    <cfRule type="dataBar" priority="110">
      <dataBar>
        <cfvo type="min"/>
        <cfvo type="max"/>
        <color rgb="FF638EC6"/>
      </dataBar>
      <extLst>
        <ext xmlns:x14="http://schemas.microsoft.com/office/spreadsheetml/2009/9/main" uri="{B025F937-C7B1-47D3-B67F-A62EFF666E3E}">
          <x14:id>{4c46536c-344f-4fcd-b85c-75d2ead40f13}</x14:id>
        </ext>
      </extLst>
    </cfRule>
  </conditionalFormatting>
  <conditionalFormatting sqref="F418:H427">
    <cfRule type="colorScale" priority="31">
      <colorScale>
        <cfvo type="min"/>
        <cfvo type="percentile" val="50"/>
        <cfvo type="max"/>
        <color rgb="FFF8696B"/>
        <color rgb="FFFFEB84"/>
        <color rgb="FF63BE7B"/>
      </colorScale>
    </cfRule>
  </conditionalFormatting>
  <conditionalFormatting sqref="G428:H433">
    <cfRule type="dataBar" priority="100">
      <dataBar>
        <cfvo type="min"/>
        <cfvo type="max"/>
        <color rgb="FF638EC6"/>
      </dataBar>
      <extLst>
        <ext xmlns:x14="http://schemas.microsoft.com/office/spreadsheetml/2009/9/main" uri="{B025F937-C7B1-47D3-B67F-A62EFF666E3E}">
          <x14:id>{7223f4b9-da80-419d-93a3-1250fc8c1ce4}</x14:id>
        </ext>
      </extLst>
    </cfRule>
  </conditionalFormatting>
  <conditionalFormatting sqref="F436:H455">
    <cfRule type="colorScale" priority="30">
      <colorScale>
        <cfvo type="min"/>
        <cfvo type="percentile" val="50"/>
        <cfvo type="max"/>
        <color rgb="FFF8696B"/>
        <color rgb="FFFFEB84"/>
        <color rgb="FF63BE7B"/>
      </colorScale>
    </cfRule>
  </conditionalFormatting>
  <conditionalFormatting sqref="G456:H461">
    <cfRule type="dataBar" priority="29">
      <dataBar>
        <cfvo type="min"/>
        <cfvo type="max"/>
        <color rgb="FF638EC6"/>
      </dataBar>
      <extLst>
        <ext xmlns:x14="http://schemas.microsoft.com/office/spreadsheetml/2009/9/main" uri="{B025F937-C7B1-47D3-B67F-A62EFF666E3E}">
          <x14:id>{f1c74e0c-8a3d-4160-8018-bb5757c2ee55}</x14:id>
        </ext>
      </extLst>
    </cfRule>
  </conditionalFormatting>
  <conditionalFormatting sqref="F464:H471">
    <cfRule type="colorScale" priority="25">
      <colorScale>
        <cfvo type="min"/>
        <cfvo type="percentile" val="50"/>
        <cfvo type="max"/>
        <color rgb="FFF8696B"/>
        <color rgb="FFFFEB84"/>
        <color rgb="FF63BE7B"/>
      </colorScale>
    </cfRule>
  </conditionalFormatting>
  <conditionalFormatting sqref="G472:H477">
    <cfRule type="dataBar" priority="22">
      <dataBar>
        <cfvo type="min"/>
        <cfvo type="max"/>
        <color rgb="FF638EC6"/>
      </dataBar>
      <extLst>
        <ext xmlns:x14="http://schemas.microsoft.com/office/spreadsheetml/2009/9/main" uri="{B025F937-C7B1-47D3-B67F-A62EFF666E3E}">
          <x14:id>{7d349146-e155-4787-94c4-8b724beeb50d}</x14:id>
        </ext>
      </extLst>
    </cfRule>
  </conditionalFormatting>
  <conditionalFormatting sqref="F480:H486">
    <cfRule type="colorScale" priority="20">
      <colorScale>
        <cfvo type="min"/>
        <cfvo type="percentile" val="50"/>
        <cfvo type="max"/>
        <color rgb="FFF8696B"/>
        <color rgb="FFFFEB84"/>
        <color rgb="FF63BE7B"/>
      </colorScale>
    </cfRule>
  </conditionalFormatting>
  <conditionalFormatting sqref="G487:H492">
    <cfRule type="dataBar" priority="17">
      <dataBar>
        <cfvo type="min"/>
        <cfvo type="max"/>
        <color rgb="FF638EC6"/>
      </dataBar>
      <extLst>
        <ext xmlns:x14="http://schemas.microsoft.com/office/spreadsheetml/2009/9/main" uri="{B025F937-C7B1-47D3-B67F-A62EFF666E3E}">
          <x14:id>{592a7432-6409-4ce8-a866-4dab62106235}</x14:id>
        </ext>
      </extLst>
    </cfRule>
  </conditionalFormatting>
  <conditionalFormatting sqref="F495:H502">
    <cfRule type="colorScale" priority="15">
      <colorScale>
        <cfvo type="min"/>
        <cfvo type="percentile" val="50"/>
        <cfvo type="max"/>
        <color rgb="FFF8696B"/>
        <color rgb="FFFFEB84"/>
        <color rgb="FF63BE7B"/>
      </colorScale>
    </cfRule>
  </conditionalFormatting>
  <conditionalFormatting sqref="G503:H508">
    <cfRule type="dataBar" priority="12">
      <dataBar>
        <cfvo type="min"/>
        <cfvo type="max"/>
        <color rgb="FF638EC6"/>
      </dataBar>
      <extLst>
        <ext xmlns:x14="http://schemas.microsoft.com/office/spreadsheetml/2009/9/main" uri="{B025F937-C7B1-47D3-B67F-A62EFF666E3E}">
          <x14:id>{9ae7ff5c-6f01-46a4-a73a-180e6771374d}</x14:id>
        </ext>
      </extLst>
    </cfRule>
  </conditionalFormatting>
  <conditionalFormatting sqref="G511:I618">
    <cfRule type="colorScale" priority="10">
      <colorScale>
        <cfvo type="min"/>
        <cfvo type="percentile" val="50"/>
        <cfvo type="max"/>
        <color rgb="FFF8696B"/>
        <color rgb="FFFFEB84"/>
        <color rgb="FF63BE7B"/>
      </colorScale>
    </cfRule>
  </conditionalFormatting>
  <conditionalFormatting sqref="G627:I734">
    <cfRule type="colorScale" priority="9">
      <colorScale>
        <cfvo type="min"/>
        <cfvo type="percentile" val="50"/>
        <cfvo type="max"/>
        <color rgb="FFF8696B"/>
        <color rgb="FFFFEB84"/>
        <color rgb="FF63BE7B"/>
      </colorScale>
    </cfRule>
  </conditionalFormatting>
  <conditionalFormatting sqref="G743:I809">
    <cfRule type="colorScale" priority="8">
      <colorScale>
        <cfvo type="min"/>
        <cfvo type="percentile" val="50"/>
        <cfvo type="max"/>
        <color rgb="FFF8696B"/>
        <color rgb="FFFFEB84"/>
        <color rgb="FF63BE7B"/>
      </colorScale>
    </cfRule>
  </conditionalFormatting>
  <conditionalFormatting sqref="G812:I908">
    <cfRule type="colorScale" priority="7">
      <colorScale>
        <cfvo type="min"/>
        <cfvo type="percentile" val="50"/>
        <cfvo type="max"/>
        <color rgb="FFF8696B"/>
        <color rgb="FFFFEB84"/>
        <color rgb="FF63BE7B"/>
      </colorScale>
    </cfRule>
  </conditionalFormatting>
  <conditionalFormatting sqref="G911:I989">
    <cfRule type="colorScale" priority="6">
      <colorScale>
        <cfvo type="min"/>
        <cfvo type="percentile" val="50"/>
        <cfvo type="max"/>
        <color rgb="FFF8696B"/>
        <color rgb="FFFFEB84"/>
        <color rgb="FF63BE7B"/>
      </colorScale>
    </cfRule>
  </conditionalFormatting>
  <conditionalFormatting sqref="G992:I1065">
    <cfRule type="colorScale" priority="5">
      <colorScale>
        <cfvo type="min"/>
        <cfvo type="percentile" val="50"/>
        <cfvo type="max"/>
        <color rgb="FFF8696B"/>
        <color rgb="FFFFEB84"/>
        <color rgb="FF63BE7B"/>
      </colorScale>
    </cfRule>
  </conditionalFormatting>
  <conditionalFormatting sqref="G1068:I1124">
    <cfRule type="colorScale" priority="4">
      <colorScale>
        <cfvo type="min"/>
        <cfvo type="percentile" val="50"/>
        <cfvo type="max"/>
        <color rgb="FFF8696B"/>
        <color rgb="FFFFEB84"/>
        <color rgb="FF63BE7B"/>
      </colorScale>
    </cfRule>
  </conditionalFormatting>
  <conditionalFormatting sqref="G1127:I1187">
    <cfRule type="colorScale" priority="3">
      <colorScale>
        <cfvo type="min"/>
        <cfvo type="percentile" val="50"/>
        <cfvo type="max"/>
        <color rgb="FFF8696B"/>
        <color rgb="FFFFEB84"/>
        <color rgb="FF63BE7B"/>
      </colorScale>
    </cfRule>
  </conditionalFormatting>
  <conditionalFormatting sqref="G1190:I1248">
    <cfRule type="colorScale" priority="2">
      <colorScale>
        <cfvo type="min"/>
        <cfvo type="percentile" val="50"/>
        <cfvo type="max"/>
        <color rgb="FFF8696B"/>
        <color rgb="FFFFEB84"/>
        <color rgb="FF63BE7B"/>
      </colorScale>
    </cfRule>
  </conditionalFormatting>
  <conditionalFormatting sqref="G1251:I1328">
    <cfRule type="colorScale" priority="1">
      <colorScale>
        <cfvo type="min"/>
        <cfvo type="percentile" val="50"/>
        <cfvo type="max"/>
        <color rgb="FFF8696B"/>
        <color rgb="FFFFEB84"/>
        <color rgb="FF63BE7B"/>
      </colorScale>
    </cfRule>
  </conditionalFormatting>
  <hyperlinks>
    <hyperlink ref="Z37" r:id="rId33" display="https://www.instanthome.com/" tooltip="https://www.instanthome.com/"/>
    <hyperlink ref="Z36" r:id="rId34" display="https://cosori.com/" tooltip="https://cosori.com/"/>
    <hyperlink ref="Z35" r:id="rId35" display="https://www.ninjakitchen.com/" tooltip="https://www.ninjakitchen.com/"/>
    <hyperlink ref="Z38" r:id="rId36" display="https://chefman.com/" tooltip="https://chefman.com/"/>
    <hyperlink ref="Z39" r:id="rId37" display="https://www.gourmia.com/"/>
    <hyperlink ref="Z41" r:id="rId38" display="https://bydash.com/"/>
    <hyperlink ref="Z40" r:id="rId39" display="https://www.nuwavenow.com/home"/>
    <hyperlink ref="Z42" r:id="rId40" display="https://ultrean.com/"/>
    <hyperlink ref="Z43" r:id="rId41" display="https://www.gowiseproducts.com/" tooltip="https://www.gowiseproducts.com/"/>
    <hyperlink ref="Z44" r:id="rId42" display="https://shopelitegourmet.com/"/>
    <hyperlink ref="Z45" r:id="rId43" display="https://www.fabuletta.com/" tooltip="https://www.fabuletta.com/"/>
    <hyperlink ref="Z46" r:id="rId44" display="https://crownful.com/" tooltip="https://crownful.com/"/>
  </hyperlinks>
  <pageMargins left="0.75" right="0.75" top="1" bottom="1" header="0.5" footer="0.5"/>
  <pageSetup paperSize="9" orientation="portrait"/>
  <headerFooter/>
  <drawing r:id="rId31"/>
  <legacyDrawing r:id="rId32"/>
  <extLst>
    <ext xmlns:x14="http://schemas.microsoft.com/office/spreadsheetml/2009/9/main" uri="{78C0D931-6437-407d-A8EE-F0AAD7539E65}">
      <x14:conditionalFormattings>
        <x14:conditionalFormatting xmlns:xm="http://schemas.microsoft.com/office/excel/2006/main">
          <x14:cfRule type="dataBar" id="{51344ef4-9ad6-44cb-877c-b6a6244e21aa}">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6129aa1a-5db0-49ff-b2b2-2763345503d9}">
            <x14:dataBar minLength="0" maxLength="100" gradient="0">
              <x14:cfvo type="autoMin"/>
              <x14:cfvo type="autoMax"/>
              <x14:negativeFillColor rgb="FFFF0000"/>
              <x14:axisColor rgb="FF000000"/>
            </x14:dataBar>
          </x14:cfRule>
          <xm:sqref>AK4</xm:sqref>
        </x14:conditionalFormatting>
        <x14:conditionalFormatting xmlns:xm="http://schemas.microsoft.com/office/excel/2006/main">
          <x14:cfRule type="dataBar" id="{5cf8bf84-45fa-4cad-a76b-3186acdc282b}">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1076ff3d-1c83-4d37-bb7b-31f50de67c97}">
            <x14:dataBar minLength="0" maxLength="100" gradient="0">
              <x14:cfvo type="autoMin"/>
              <x14:cfvo type="autoMax"/>
              <x14:negativeFillColor rgb="FFFF0000"/>
              <x14:axisColor rgb="FF000000"/>
            </x14:dataBar>
          </x14:cfRule>
          <xm:sqref>AK6</xm:sqref>
        </x14:conditionalFormatting>
        <x14:conditionalFormatting xmlns:xm="http://schemas.microsoft.com/office/excel/2006/main">
          <x14:cfRule type="dataBar" id="{f2d17b4c-ffd3-433c-ac61-7c6f7fef2138}">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ef1fb004-9214-4f65-a1ac-2796b51740ec}">
            <x14:dataBar minLength="0" maxLength="100" gradient="0">
              <x14:cfvo type="autoMin"/>
              <x14:cfvo type="autoMax"/>
              <x14:negativeFillColor rgb="FFFF0000"/>
              <x14:axisColor rgb="FF000000"/>
            </x14:dataBar>
          </x14:cfRule>
          <xm:sqref>AK8</xm:sqref>
        </x14:conditionalFormatting>
        <x14:conditionalFormatting xmlns:xm="http://schemas.microsoft.com/office/excel/2006/main">
          <x14:cfRule type="dataBar" id="{5bb23949-4e6a-4dff-81dd-3cd7c1159959}">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ff81c683-b4f2-4406-9f9d-cbc89fe23fed}">
            <x14:dataBar minLength="0" maxLength="100" gradient="0">
              <x14:cfvo type="autoMin"/>
              <x14:cfvo type="autoMax"/>
              <x14:negativeFillColor rgb="FFFF0000"/>
              <x14:axisColor rgb="FF000000"/>
            </x14:dataBar>
          </x14:cfRule>
          <xm:sqref>AK12</xm:sqref>
        </x14:conditionalFormatting>
        <x14:conditionalFormatting xmlns:xm="http://schemas.microsoft.com/office/excel/2006/main">
          <x14:cfRule type="dataBar" id="{4f41a432-52ae-43b2-b68a-43e245386e39}">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f0ca313-bd83-4431-aafd-3226074ef95d}">
            <x14:dataBar minLength="0" maxLength="100" gradient="0">
              <x14:cfvo type="autoMin"/>
              <x14:cfvo type="autoMax"/>
              <x14:negativeFillColor rgb="FFFF0000"/>
              <x14:axisColor rgb="FF000000"/>
            </x14:dataBar>
          </x14:cfRule>
          <xm:sqref>AK14</xm:sqref>
        </x14:conditionalFormatting>
        <x14:conditionalFormatting xmlns:xm="http://schemas.microsoft.com/office/excel/2006/main">
          <x14:cfRule type="dataBar" id="{0099febe-0c5b-4bd2-9aa9-75c52c541ac3}">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4d74f1fa-9600-4e6c-9211-48793a921571}">
            <x14:dataBar minLength="0" maxLength="100" gradient="0">
              <x14:cfvo type="autoMin"/>
              <x14:cfvo type="autoMax"/>
              <x14:negativeFillColor rgb="FFFF0000"/>
              <x14:axisColor rgb="FF000000"/>
            </x14:dataBar>
          </x14:cfRule>
          <xm:sqref>AK16</xm:sqref>
        </x14:conditionalFormatting>
        <x14:conditionalFormatting xmlns:xm="http://schemas.microsoft.com/office/excel/2006/main">
          <x14:cfRule type="dataBar" id="{6d49795b-8b4f-437a-b601-f9b55be63046}">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90a2eeb-6f49-480a-9243-4bcaaa8efd6c}">
            <x14:dataBar minLength="0" maxLength="100" gradient="0">
              <x14:cfvo type="autoMin"/>
              <x14:cfvo type="autoMax"/>
              <x14:negativeFillColor rgb="FFFF0000"/>
              <x14:axisColor rgb="FF000000"/>
            </x14:dataBar>
          </x14:cfRule>
          <xm:sqref>AK18</xm:sqref>
        </x14:conditionalFormatting>
        <x14:conditionalFormatting xmlns:xm="http://schemas.microsoft.com/office/excel/2006/main">
          <x14:cfRule type="dataBar" id="{cd22b55a-2b7d-45f6-9f2d-6e8dbbf05958}">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f1ff80ba-1311-4cb6-b292-729ceadf68d0}">
            <x14:dataBar minLength="0" maxLength="100" gradient="0">
              <x14:cfvo type="autoMin"/>
              <x14:cfvo type="autoMax"/>
              <x14:negativeFillColor rgb="FFFF0000"/>
              <x14:axisColor rgb="FF000000"/>
            </x14:dataBar>
          </x14:cfRule>
          <xm:sqref>AK20</xm:sqref>
        </x14:conditionalFormatting>
        <x14:conditionalFormatting xmlns:xm="http://schemas.microsoft.com/office/excel/2006/main">
          <x14:cfRule type="dataBar" id="{ac41416a-08b5-4f35-9d57-9fac5f0b051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5ef344c2-c483-49ad-adbb-77d313c4219a}">
            <x14:dataBar minLength="0" maxLength="100" gradient="0">
              <x14:cfvo type="autoMin"/>
              <x14:cfvo type="autoMax"/>
              <x14:negativeFillColor rgb="FFFF0000"/>
              <x14:axisColor rgb="FF000000"/>
            </x14:dataBar>
          </x14:cfRule>
          <xm:sqref>AK22</xm:sqref>
        </x14:conditionalFormatting>
        <x14:conditionalFormatting xmlns:xm="http://schemas.microsoft.com/office/excel/2006/main">
          <x14:cfRule type="dataBar" id="{91ce5e8d-708a-4568-bfee-d23a67acee60}">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a8dbb34f-d455-4284-bda3-72545e465a53}">
            <x14:dataBar minLength="0" maxLength="100" gradient="0">
              <x14:cfvo type="autoMin"/>
              <x14:cfvo type="autoMax"/>
              <x14:negativeFillColor rgb="FFFF0000"/>
              <x14:axisColor rgb="FF000000"/>
            </x14:dataBar>
          </x14:cfRule>
          <xm:sqref>AK24</xm:sqref>
        </x14:conditionalFormatting>
        <x14:conditionalFormatting xmlns:xm="http://schemas.microsoft.com/office/excel/2006/main">
          <x14:cfRule type="dataBar" id="{ab4472d6-2bce-4f4a-82f7-efe88ab86496}">
            <x14:dataBar minLength="0" maxLength="100" border="1" negativeBarBorderColorSameAsPositive="0">
              <x14:cfvo type="autoMin"/>
              <x14:cfvo type="autoMax"/>
              <x14:borderColor rgb="FF638EC6"/>
              <x14:negativeFillColor rgb="FFFF0000"/>
              <x14:negativeBorderColor rgb="FFFF0000"/>
              <x14:axisColor rgb="FF000000"/>
            </x14:dataBar>
          </x14:cfRule>
          <xm:sqref>O28</xm:sqref>
        </x14:conditionalFormatting>
        <x14:conditionalFormatting xmlns:xm="http://schemas.microsoft.com/office/excel/2006/main">
          <x14:cfRule type="dataBar" id="{c26b0bdc-d367-4130-a972-79dcab6155e3}">
            <x14:dataBar minLength="0" maxLength="100" gradient="0">
              <x14:cfvo type="autoMin"/>
              <x14:cfvo type="autoMax"/>
              <x14:negativeFillColor rgb="FFFF0000"/>
              <x14:axisColor rgb="FF000000"/>
            </x14:dataBar>
          </x14:cfRule>
          <xm:sqref>P36</xm:sqref>
        </x14:conditionalFormatting>
        <x14:conditionalFormatting xmlns:xm="http://schemas.microsoft.com/office/excel/2006/main">
          <x14:cfRule type="dataBar" id="{b014010b-1277-403c-a073-1ccbae17c268}">
            <x14:dataBar minLength="0" maxLength="100" gradient="0">
              <x14:cfvo type="autoMin"/>
              <x14:cfvo type="autoMax"/>
              <x14:negativeFillColor rgb="FFFF0000"/>
              <x14:axisColor rgb="FF000000"/>
            </x14:dataBar>
          </x14:cfRule>
          <xm:sqref>P44</xm:sqref>
        </x14:conditionalFormatting>
        <x14:conditionalFormatting xmlns:xm="http://schemas.microsoft.com/office/excel/2006/main">
          <x14:cfRule type="dataBar" id="{fb1c138d-4858-4db7-82ce-e8067715eb70}">
            <x14:dataBar minLength="0" maxLength="100" border="1" negativeBarBorderColorSameAsPositive="0">
              <x14:cfvo type="autoMin"/>
              <x14:cfvo type="autoMax"/>
              <x14:borderColor rgb="FF638EC6"/>
              <x14:negativeFillColor rgb="FFFF0000"/>
              <x14:negativeBorderColor rgb="FFFF0000"/>
              <x14:axisColor rgb="FF000000"/>
            </x14:dataBar>
          </x14:cfRule>
          <xm:sqref>I153</xm:sqref>
        </x14:conditionalFormatting>
        <x14:conditionalFormatting xmlns:xm="http://schemas.microsoft.com/office/excel/2006/main">
          <x14:cfRule type="dataBar" id="{18b5da35-6860-4eae-b26e-a2410790d201}">
            <x14:dataBar minLength="0" maxLength="100" border="1" negativeBarBorderColorSameAsPositive="0">
              <x14:cfvo type="autoMin"/>
              <x14:cfvo type="autoMax"/>
              <x14:borderColor rgb="FF638EC6"/>
              <x14:negativeFillColor rgb="FFFF0000"/>
              <x14:negativeBorderColor rgb="FFFF0000"/>
              <x14:axisColor rgb="FF000000"/>
            </x14:dataBar>
          </x14:cfRule>
          <xm:sqref>I155</xm:sqref>
        </x14:conditionalFormatting>
        <x14:conditionalFormatting xmlns:xm="http://schemas.microsoft.com/office/excel/2006/main">
          <x14:cfRule type="dataBar" id="{074e5810-cad1-4679-8cbe-e94018ddfb9d}">
            <x14:dataBar minLength="0" maxLength="100" border="1" negativeBarBorderColorSameAsPositive="0">
              <x14:cfvo type="autoMin"/>
              <x14:cfvo type="autoMax"/>
              <x14:borderColor rgb="FF638EC6"/>
              <x14:negativeFillColor rgb="FFFF0000"/>
              <x14:negativeBorderColor rgb="FFFF0000"/>
              <x14:axisColor rgb="FF000000"/>
            </x14:dataBar>
          </x14:cfRule>
          <xm:sqref>F151:F156</xm:sqref>
        </x14:conditionalFormatting>
        <x14:conditionalFormatting xmlns:xm="http://schemas.microsoft.com/office/excel/2006/main">
          <x14:cfRule type="dataBar" id="{087e23c7-4d6e-454b-bf6a-21d5c468585a}">
            <x14:dataBar minLength="0" maxLength="100" border="1" negativeBarBorderColorSameAsPositive="0">
              <x14:cfvo type="autoMin"/>
              <x14:cfvo type="autoMax"/>
              <x14:borderColor rgb="FF638EC6"/>
              <x14:negativeFillColor rgb="FFFF0000"/>
              <x14:negativeBorderColor rgb="FFFF0000"/>
              <x14:axisColor rgb="FF000000"/>
            </x14:dataBar>
          </x14:cfRule>
          <xm:sqref>F188:F193</xm:sqref>
        </x14:conditionalFormatting>
        <x14:conditionalFormatting xmlns:xm="http://schemas.microsoft.com/office/excel/2006/main">
          <x14:cfRule type="dataBar" id="{2417bfb2-bc8c-498d-81d6-0a3a314c9c66}">
            <x14:dataBar minLength="0" maxLength="100" border="1" negativeBarBorderColorSameAsPositive="0">
              <x14:cfvo type="autoMin"/>
              <x14:cfvo type="autoMax"/>
              <x14:borderColor rgb="FF638EC6"/>
              <x14:negativeFillColor rgb="FFFF0000"/>
              <x14:negativeBorderColor rgb="FFFF0000"/>
              <x14:axisColor rgb="FF000000"/>
            </x14:dataBar>
          </x14:cfRule>
          <xm:sqref>F206:F211</xm:sqref>
        </x14:conditionalFormatting>
        <x14:conditionalFormatting xmlns:xm="http://schemas.microsoft.com/office/excel/2006/main">
          <x14:cfRule type="dataBar" id="{4029555c-fe1d-4873-9c09-3da98abae200}">
            <x14:dataBar minLength="0" maxLength="100" border="1" negativeBarBorderColorSameAsPositive="0">
              <x14:cfvo type="autoMin"/>
              <x14:cfvo type="autoMax"/>
              <x14:borderColor rgb="FF638EC6"/>
              <x14:negativeFillColor rgb="FFFF0000"/>
              <x14:negativeBorderColor rgb="FFFF0000"/>
              <x14:axisColor rgb="FF000000"/>
            </x14:dataBar>
          </x14:cfRule>
          <xm:sqref>F259:F264</xm:sqref>
        </x14:conditionalFormatting>
        <x14:conditionalFormatting xmlns:xm="http://schemas.microsoft.com/office/excel/2006/main">
          <x14:cfRule type="dataBar" id="{7013548a-be51-4352-a935-811b296eaedd}">
            <x14:dataBar minLength="0" maxLength="100" border="1" negativeBarBorderColorSameAsPositive="0">
              <x14:cfvo type="autoMin"/>
              <x14:cfvo type="autoMax"/>
              <x14:borderColor rgb="FF638EC6"/>
              <x14:negativeFillColor rgb="FFFF0000"/>
              <x14:negativeBorderColor rgb="FFFF0000"/>
              <x14:axisColor rgb="FF000000"/>
            </x14:dataBar>
          </x14:cfRule>
          <xm:sqref>F273:F278</xm:sqref>
        </x14:conditionalFormatting>
        <x14:conditionalFormatting xmlns:xm="http://schemas.microsoft.com/office/excel/2006/main">
          <x14:cfRule type="dataBar" id="{29fa7f3a-6618-4e00-97f6-8974e070bef5}">
            <x14:dataBar minLength="0" maxLength="100" border="1" negativeBarBorderColorSameAsPositive="0">
              <x14:cfvo type="autoMin"/>
              <x14:cfvo type="autoMax"/>
              <x14:borderColor rgb="FF638EC6"/>
              <x14:negativeFillColor rgb="FFFF0000"/>
              <x14:negativeBorderColor rgb="FFFF0000"/>
              <x14:axisColor rgb="FF000000"/>
            </x14:dataBar>
          </x14:cfRule>
          <xm:sqref>F288:F294</xm:sqref>
        </x14:conditionalFormatting>
        <x14:conditionalFormatting xmlns:xm="http://schemas.microsoft.com/office/excel/2006/main">
          <x14:cfRule type="dataBar" id="{0f78eb5d-39df-4ac2-9cf8-bff53056569b}">
            <x14:dataBar minLength="0" maxLength="100" border="1" negativeBarBorderColorSameAsPositive="0">
              <x14:cfvo type="autoMin"/>
              <x14:cfvo type="autoMax"/>
              <x14:borderColor rgb="FF638EC6"/>
              <x14:negativeFillColor rgb="FFFF0000"/>
              <x14:negativeBorderColor rgb="FFFF0000"/>
              <x14:axisColor rgb="FF000000"/>
            </x14:dataBar>
          </x14:cfRule>
          <xm:sqref>F313:F319</xm:sqref>
        </x14:conditionalFormatting>
        <x14:conditionalFormatting xmlns:xm="http://schemas.microsoft.com/office/excel/2006/main">
          <x14:cfRule type="dataBar" id="{1c07f764-36a2-4cf8-a785-419d56e840ad}">
            <x14:dataBar minLength="0" maxLength="100" border="1" negativeBarBorderColorSameAsPositive="0">
              <x14:cfvo type="autoMin"/>
              <x14:cfvo type="autoMax"/>
              <x14:borderColor rgb="FF638EC6"/>
              <x14:negativeFillColor rgb="FFFF0000"/>
              <x14:negativeBorderColor rgb="FFFF0000"/>
              <x14:axisColor rgb="FF000000"/>
            </x14:dataBar>
          </x14:cfRule>
          <xm:sqref>F340:F346</xm:sqref>
        </x14:conditionalFormatting>
        <x14:conditionalFormatting xmlns:xm="http://schemas.microsoft.com/office/excel/2006/main">
          <x14:cfRule type="dataBar" id="{3a693f8d-3141-4f1b-9c40-b5fe550cd9ec}">
            <x14:dataBar minLength="0" maxLength="100" border="1" negativeBarBorderColorSameAsPositive="0">
              <x14:cfvo type="autoMin"/>
              <x14:cfvo type="autoMax"/>
              <x14:borderColor rgb="FF638EC6"/>
              <x14:negativeFillColor rgb="FFFF0000"/>
              <x14:negativeBorderColor rgb="FFFF0000"/>
              <x14:axisColor rgb="FF000000"/>
            </x14:dataBar>
          </x14:cfRule>
          <xm:sqref>F357:F363</xm:sqref>
        </x14:conditionalFormatting>
        <x14:conditionalFormatting xmlns:xm="http://schemas.microsoft.com/office/excel/2006/main">
          <x14:cfRule type="dataBar" id="{785bbfdc-1277-48b2-95f8-2ad656319ee7}">
            <x14:dataBar minLength="0" maxLength="100" border="1" negativeBarBorderColorSameAsPositive="0">
              <x14:cfvo type="autoMin"/>
              <x14:cfvo type="autoMax"/>
              <x14:borderColor rgb="FF638EC6"/>
              <x14:negativeFillColor rgb="FFFF0000"/>
              <x14:negativeBorderColor rgb="FFFF0000"/>
              <x14:axisColor rgb="FF000000"/>
            </x14:dataBar>
          </x14:cfRule>
          <xm:sqref>F369:F374</xm:sqref>
        </x14:conditionalFormatting>
        <x14:conditionalFormatting xmlns:xm="http://schemas.microsoft.com/office/excel/2006/main">
          <x14:cfRule type="dataBar" id="{3ab5f785-5bf0-4a39-a280-36a9569e35be}">
            <x14:dataBar minLength="0" maxLength="100" border="1" negativeBarBorderColorSameAsPositive="0">
              <x14:cfvo type="autoMin"/>
              <x14:cfvo type="autoMax"/>
              <x14:borderColor rgb="FF638EC6"/>
              <x14:negativeFillColor rgb="FFFF0000"/>
              <x14:negativeBorderColor rgb="FFFF0000"/>
              <x14:axisColor rgb="FF000000"/>
            </x14:dataBar>
          </x14:cfRule>
          <xm:sqref>F380:F385</xm:sqref>
        </x14:conditionalFormatting>
        <x14:conditionalFormatting xmlns:xm="http://schemas.microsoft.com/office/excel/2006/main">
          <x14:cfRule type="dataBar" id="{c822bb09-8a2d-460a-a597-dde24ae4341d}">
            <x14:dataBar minLength="0" maxLength="100" border="1" negativeBarBorderColorSameAsPositive="0">
              <x14:cfvo type="autoMin"/>
              <x14:cfvo type="autoMax"/>
              <x14:borderColor rgb="FF638EC6"/>
              <x14:negativeFillColor rgb="FFFF0000"/>
              <x14:negativeBorderColor rgb="FFFF0000"/>
              <x14:axisColor rgb="FF000000"/>
            </x14:dataBar>
          </x14:cfRule>
          <xm:sqref>F391:F396</xm:sqref>
        </x14:conditionalFormatting>
        <x14:conditionalFormatting xmlns:xm="http://schemas.microsoft.com/office/excel/2006/main">
          <x14:cfRule type="dataBar" id="{e7097f06-88b3-4784-81a1-6e550881ec20}">
            <x14:dataBar minLength="0" maxLength="100" border="1" negativeBarBorderColorSameAsPositive="0">
              <x14:cfvo type="autoMin"/>
              <x14:cfvo type="autoMax"/>
              <x14:borderColor rgb="FF638EC6"/>
              <x14:negativeFillColor rgb="FFFF0000"/>
              <x14:negativeBorderColor rgb="FFFF0000"/>
              <x14:axisColor rgb="FF000000"/>
            </x14:dataBar>
          </x14:cfRule>
          <xm:sqref>F410:F415</xm:sqref>
        </x14:conditionalFormatting>
        <x14:conditionalFormatting xmlns:xm="http://schemas.microsoft.com/office/excel/2006/main">
          <x14:cfRule type="dataBar" id="{585af577-8bdc-4449-8819-ac630b807001}">
            <x14:dataBar minLength="0" maxLength="100" border="1" negativeBarBorderColorSameAsPositive="0">
              <x14:cfvo type="autoMin"/>
              <x14:cfvo type="autoMax"/>
              <x14:borderColor rgb="FF638EC6"/>
              <x14:negativeFillColor rgb="FFFF0000"/>
              <x14:negativeBorderColor rgb="FFFF0000"/>
              <x14:axisColor rgb="FF000000"/>
            </x14:dataBar>
          </x14:cfRule>
          <xm:sqref>F428:F433</xm:sqref>
        </x14:conditionalFormatting>
        <x14:conditionalFormatting xmlns:xm="http://schemas.microsoft.com/office/excel/2006/main">
          <x14:cfRule type="dataBar" id="{9f5e9d27-8951-477c-94cb-c7fcc562b950}">
            <x14:dataBar minLength="0" maxLength="100" border="1" negativeBarBorderColorSameAsPositive="0">
              <x14:cfvo type="autoMin"/>
              <x14:cfvo type="autoMax"/>
              <x14:borderColor rgb="FF638EC6"/>
              <x14:negativeFillColor rgb="FFFF0000"/>
              <x14:negativeBorderColor rgb="FFFF0000"/>
              <x14:axisColor rgb="FF000000"/>
            </x14:dataBar>
          </x14:cfRule>
          <xm:sqref>F456:F461</xm:sqref>
        </x14:conditionalFormatting>
        <x14:conditionalFormatting xmlns:xm="http://schemas.microsoft.com/office/excel/2006/main">
          <x14:cfRule type="dataBar" id="{31745ed5-9868-4d9e-bac4-f6ee8a857bf9}">
            <x14:dataBar minLength="0" maxLength="100" border="1" negativeBarBorderColorSameAsPositive="0">
              <x14:cfvo type="autoMin"/>
              <x14:cfvo type="autoMax"/>
              <x14:borderColor rgb="FF638EC6"/>
              <x14:negativeFillColor rgb="FFFF0000"/>
              <x14:negativeBorderColor rgb="FFFF0000"/>
              <x14:axisColor rgb="FF000000"/>
            </x14:dataBar>
          </x14:cfRule>
          <xm:sqref>F472:F477</xm:sqref>
        </x14:conditionalFormatting>
        <x14:conditionalFormatting xmlns:xm="http://schemas.microsoft.com/office/excel/2006/main">
          <x14:cfRule type="dataBar" id="{8b39af41-d59e-425c-b018-42a9af30f82c}">
            <x14:dataBar minLength="0" maxLength="100" border="1" negativeBarBorderColorSameAsPositive="0">
              <x14:cfvo type="autoMin"/>
              <x14:cfvo type="autoMax"/>
              <x14:borderColor rgb="FF638EC6"/>
              <x14:negativeFillColor rgb="FFFF0000"/>
              <x14:negativeBorderColor rgb="FFFF0000"/>
              <x14:axisColor rgb="FF000000"/>
            </x14:dataBar>
          </x14:cfRule>
          <xm:sqref>F487:F492</xm:sqref>
        </x14:conditionalFormatting>
        <x14:conditionalFormatting xmlns:xm="http://schemas.microsoft.com/office/excel/2006/main">
          <x14:cfRule type="dataBar" id="{4574239c-eef0-4550-86c4-3a7043ace65c}">
            <x14:dataBar minLength="0" maxLength="100" border="1" negativeBarBorderColorSameAsPositive="0">
              <x14:cfvo type="autoMin"/>
              <x14:cfvo type="autoMax"/>
              <x14:borderColor rgb="FF638EC6"/>
              <x14:negativeFillColor rgb="FFFF0000"/>
              <x14:negativeBorderColor rgb="FFFF0000"/>
              <x14:axisColor rgb="FF000000"/>
            </x14:dataBar>
          </x14:cfRule>
          <xm:sqref>F503:F508</xm:sqref>
        </x14:conditionalFormatting>
        <x14:conditionalFormatting xmlns:xm="http://schemas.microsoft.com/office/excel/2006/main">
          <x14:cfRule type="dataBar" id="{1383c6a1-88d2-47a1-94a4-925cc8b3ba0e}">
            <x14:dataBar minLength="0" maxLength="100" border="1" negativeBarBorderColorSameAsPositive="0">
              <x14:cfvo type="autoMin"/>
              <x14:cfvo type="autoMax"/>
              <x14:borderColor rgb="FF638EC6"/>
              <x14:negativeFillColor rgb="FFFF0000"/>
              <x14:negativeBorderColor rgb="FFFF0000"/>
              <x14:axisColor rgb="FF000000"/>
            </x14:dataBar>
          </x14:cfRule>
          <xm:sqref>I33:I34</xm:sqref>
        </x14:conditionalFormatting>
        <x14:conditionalFormatting xmlns:xm="http://schemas.microsoft.com/office/excel/2006/main">
          <x14:cfRule type="dataBar" id="{c0c07e30-bd18-4179-8b4e-687070d5e891}">
            <x14:dataBar minLength="0" maxLength="100" border="1" negativeBarBorderColorSameAsPositive="0">
              <x14:cfvo type="autoMin"/>
              <x14:cfvo type="autoMax"/>
              <x14:borderColor rgb="FF638EC6"/>
              <x14:negativeFillColor rgb="FFFF0000"/>
              <x14:negativeBorderColor rgb="FFFF0000"/>
              <x14:axisColor rgb="FF000000"/>
            </x14:dataBar>
          </x14:cfRule>
          <xm:sqref>N259:N264</xm:sqref>
        </x14:conditionalFormatting>
        <x14:conditionalFormatting xmlns:xm="http://schemas.microsoft.com/office/excel/2006/main">
          <x14:cfRule type="dataBar" id="{e6632ac3-a67e-4719-92d2-1bc7461f429f}">
            <x14:dataBar minLength="0" maxLength="100" border="1" negativeBarBorderColorSameAsPositive="0">
              <x14:cfvo type="autoMin"/>
              <x14:cfvo type="autoMax"/>
              <x14:borderColor rgb="FF638EC6"/>
              <x14:negativeFillColor rgb="FFFF0000"/>
              <x14:negativeBorderColor rgb="FFFF0000"/>
              <x14:axisColor rgb="FF000000"/>
            </x14:dataBar>
          </x14:cfRule>
          <xm:sqref>O29:O30</xm:sqref>
        </x14:conditionalFormatting>
        <x14:conditionalFormatting xmlns:xm="http://schemas.microsoft.com/office/excel/2006/main">
          <x14:cfRule type="dataBar" id="{32035a2e-013d-4f2b-9ce0-9256e603ba59}">
            <x14:dataBar minLength="0" maxLength="100" border="1" negativeBarBorderColorSameAsPositive="0">
              <x14:cfvo type="autoMin"/>
              <x14:cfvo type="autoMax"/>
              <x14:borderColor rgb="FF638EC6"/>
              <x14:negativeFillColor rgb="FFFF0000"/>
              <x14:negativeBorderColor rgb="FFFF0000"/>
              <x14:axisColor rgb="FF000000"/>
            </x14:dataBar>
          </x14:cfRule>
          <xm:sqref>O31:O32</xm:sqref>
        </x14:conditionalFormatting>
        <x14:conditionalFormatting xmlns:xm="http://schemas.microsoft.com/office/excel/2006/main">
          <x14:cfRule type="dataBar" id="{59b69cc6-391d-4b2d-94b0-99b7c8208708}">
            <x14:dataBar minLength="0" maxLength="100" border="1" negativeBarBorderColorSameAsPositive="0">
              <x14:cfvo type="autoMin"/>
              <x14:cfvo type="autoMax"/>
              <x14:borderColor rgb="FF638EC6"/>
              <x14:negativeFillColor rgb="FFFF0000"/>
              <x14:negativeBorderColor rgb="FFFF0000"/>
              <x14:axisColor rgb="FF000000"/>
            </x14:dataBar>
          </x14:cfRule>
          <xm:sqref>Z31:Z32</xm:sqref>
        </x14:conditionalFormatting>
        <x14:conditionalFormatting xmlns:xm="http://schemas.microsoft.com/office/excel/2006/main">
          <x14:cfRule type="dataBar" id="{f2865270-11ee-4e75-a455-b9cab7df65be}">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8a78d5a-4bb4-49c9-8385-c554b2f9b1c1}">
            <x14:dataBar minLength="0" maxLength="100" gradient="0">
              <x14:cfvo type="autoMin"/>
              <x14:cfvo type="autoMax"/>
              <x14:negativeFillColor rgb="FFFF0000"/>
              <x14:axisColor rgb="FF000000"/>
            </x14:dataBar>
          </x14:cfRule>
          <xm:sqref>AK10:AK11</xm:sqref>
        </x14:conditionalFormatting>
        <x14:conditionalFormatting xmlns:xm="http://schemas.microsoft.com/office/excel/2006/main">
          <x14:cfRule type="dataBar" id="{17be3650-4682-414e-b2e3-0c7db3e63d13}">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84fdb8a6-bb79-496a-be97-755a8a92971a}">
            <x14:dataBar minLength="0" maxLength="100" gradient="0">
              <x14:cfvo type="autoMin"/>
              <x14:cfvo type="autoMax"/>
              <x14:negativeFillColor rgb="FFFF0000"/>
              <x14:axisColor rgb="FF000000"/>
            </x14:dataBar>
          </x14:cfRule>
          <xm:sqref>AK26:AK30</xm:sqref>
        </x14:conditionalFormatting>
        <x14:conditionalFormatting xmlns:xm="http://schemas.microsoft.com/office/excel/2006/main">
          <x14:cfRule type="dataBar" id="{5330a6de-df0c-4d95-b16c-01876a7eddb9}">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4bed540b-55be-48b7-8fd5-7c91b3e25c2a}">
            <x14:dataBar minLength="0" maxLength="100" gradient="0">
              <x14:cfvo type="autoMin"/>
              <x14:cfvo type="autoMax"/>
              <x14:negativeFillColor rgb="FFFF0000"/>
              <x14:axisColor rgb="FF000000"/>
            </x14:dataBar>
          </x14:cfRule>
          <xm:sqref>AK31:AK32</xm:sqref>
        </x14:conditionalFormatting>
        <x14:conditionalFormatting xmlns:xm="http://schemas.microsoft.com/office/excel/2006/main">
          <x14:cfRule type="dataBar" id="{d6cc575a-17a0-49ae-8ac6-42093c807f26}">
            <x14:dataBar minLength="0" maxLength="100" border="1" negativeBarBorderColorSameAsPositive="0">
              <x14:cfvo type="autoMin"/>
              <x14:cfvo type="autoMax"/>
              <x14:borderColor rgb="FF638EC6"/>
              <x14:negativeFillColor rgb="FFFF0000"/>
              <x14:negativeBorderColor rgb="FFFF0000"/>
              <x14:axisColor rgb="FF000000"/>
            </x14:dataBar>
          </x14:cfRule>
          <xm:sqref>O1:O2 O4:O27 O151:O212 O265:O1048576</xm:sqref>
        </x14:conditionalFormatting>
        <x14:conditionalFormatting xmlns:xm="http://schemas.microsoft.com/office/excel/2006/main">
          <x14:cfRule type="dataBar" id="{cc425fc5-3360-4f11-8728-2ed4df3cdb01}">
            <x14:dataBar minLength="0" maxLength="100" border="1" negativeBarBorderColorSameAsPositive="0">
              <x14:cfvo type="autoMin"/>
              <x14:cfvo type="autoMax"/>
              <x14:borderColor rgb="FF638EC6"/>
              <x14:negativeFillColor rgb="FFFF0000"/>
              <x14:negativeBorderColor rgb="FFFF0000"/>
              <x14:axisColor rgb="FF000000"/>
            </x14:dataBar>
          </x14:cfRule>
          <xm:sqref>Z1:Z2 Z4:Z30 Z47:Z70 Z101:Z1048576</xm:sqref>
        </x14:conditionalFormatting>
        <x14:conditionalFormatting xmlns:xm="http://schemas.microsoft.com/office/excel/2006/main">
          <x14:cfRule type="dataBar" id="{508a86b2-25b5-4b6b-a400-bf91d3735e78}">
            <x14:dataBar minLength="0" maxLength="100" gradient="0">
              <x14:cfvo type="autoMin"/>
              <x14:cfvo type="autoMax"/>
              <x14:negativeFillColor rgb="FFFF0000"/>
              <x14:axisColor rgb="FF000000"/>
            </x14:dataBar>
          </x14:cfRule>
          <xm:sqref>O101:O150 O47:O70 P34:P35 P37:P43</xm:sqref>
        </x14:conditionalFormatting>
        <x14:conditionalFormatting xmlns:xm="http://schemas.microsoft.com/office/excel/2006/main">
          <x14:cfRule type="dataBar" id="{133fa87c-8e18-42c9-821e-8769d6b95e7b}">
            <x14:dataBar minLength="0" maxLength="100" border="1" negativeBarBorderColorSameAsPositive="0">
              <x14:cfvo type="autoMin"/>
              <x14:cfvo type="autoMax"/>
              <x14:borderColor rgb="FF638EC6"/>
              <x14:negativeFillColor rgb="FFFF0000"/>
              <x14:negativeBorderColor rgb="FFFF0000"/>
              <x14:axisColor rgb="FF000000"/>
            </x14:dataBar>
          </x14:cfRule>
          <xm:sqref>G151:H156</xm:sqref>
        </x14:conditionalFormatting>
        <x14:conditionalFormatting xmlns:xm="http://schemas.microsoft.com/office/excel/2006/main">
          <x14:cfRule type="dataBar" id="{26c18610-d39c-4c23-89be-f919d44b7751}">
            <x14:dataBar minLength="0" maxLength="100" border="1" negativeBarBorderColorSameAsPositive="0">
              <x14:cfvo type="autoMin"/>
              <x14:cfvo type="autoMax"/>
              <x14:borderColor rgb="FF638EC6"/>
              <x14:negativeFillColor rgb="FFFF0000"/>
              <x14:negativeBorderColor rgb="FFFF0000"/>
              <x14:axisColor rgb="FF000000"/>
            </x14:dataBar>
          </x14:cfRule>
          <xm:sqref>G151:I151 G152:H156</xm:sqref>
        </x14:conditionalFormatting>
        <x14:conditionalFormatting xmlns:xm="http://schemas.microsoft.com/office/excel/2006/main">
          <x14:cfRule type="dataBar" id="{1a2b3ea0-8763-41ed-b55b-bec74b6f6b54}">
            <x14:dataBar minLength="0" maxLength="100" border="1" negativeBarBorderColorSameAsPositive="0">
              <x14:cfvo type="autoMin"/>
              <x14:cfvo type="autoMax"/>
              <x14:borderColor rgb="FF638EC6"/>
              <x14:negativeFillColor rgb="FFFF0000"/>
              <x14:negativeBorderColor rgb="FFFF0000"/>
              <x14:axisColor rgb="FF000000"/>
            </x14:dataBar>
          </x14:cfRule>
          <xm:sqref>G188:H193</xm:sqref>
        </x14:conditionalFormatting>
        <x14:conditionalFormatting xmlns:xm="http://schemas.microsoft.com/office/excel/2006/main">
          <x14:cfRule type="dataBar" id="{fe2ee609-da3d-47c2-bbad-a968c695bb4c}">
            <x14:dataBar minLength="0" maxLength="100" border="1" negativeBarBorderColorSameAsPositive="0">
              <x14:cfvo type="autoMin"/>
              <x14:cfvo type="autoMax"/>
              <x14:borderColor rgb="FF638EC6"/>
              <x14:negativeFillColor rgb="FFFF0000"/>
              <x14:negativeBorderColor rgb="FFFF0000"/>
              <x14:axisColor rgb="FF000000"/>
            </x14:dataBar>
          </x14:cfRule>
          <xm:sqref>G206:H211</xm:sqref>
        </x14:conditionalFormatting>
        <x14:conditionalFormatting xmlns:xm="http://schemas.microsoft.com/office/excel/2006/main">
          <x14:cfRule type="dataBar" id="{68ef2788-8d3c-498b-94c5-e5e4c6c976a2}">
            <x14:dataBar minLength="0" maxLength="100" border="1" negativeBarBorderColorSameAsPositive="0">
              <x14:cfvo type="autoMin"/>
              <x14:cfvo type="autoMax"/>
              <x14:borderColor rgb="FF638EC6"/>
              <x14:negativeFillColor rgb="FFFF0000"/>
              <x14:negativeBorderColor rgb="FFFF0000"/>
              <x14:axisColor rgb="FF000000"/>
            </x14:dataBar>
          </x14:cfRule>
          <xm:sqref>G259:H264</xm:sqref>
        </x14:conditionalFormatting>
        <x14:conditionalFormatting xmlns:xm="http://schemas.microsoft.com/office/excel/2006/main">
          <x14:cfRule type="dataBar" id="{cd1dda1f-951f-476b-92a2-1577b15a723c}">
            <x14:dataBar minLength="0" maxLength="100" border="1" negativeBarBorderColorSameAsPositive="0">
              <x14:cfvo type="autoMin"/>
              <x14:cfvo type="autoMax"/>
              <x14:borderColor rgb="FF638EC6"/>
              <x14:negativeFillColor rgb="FFFF0000"/>
              <x14:negativeBorderColor rgb="FFFF0000"/>
              <x14:axisColor rgb="FF000000"/>
            </x14:dataBar>
          </x14:cfRule>
          <xm:sqref>O259:P264</xm:sqref>
        </x14:conditionalFormatting>
        <x14:conditionalFormatting xmlns:xm="http://schemas.microsoft.com/office/excel/2006/main">
          <x14:cfRule type="dataBar" id="{43e54089-94d8-4b2a-9513-21bdc513977a}">
            <x14:dataBar minLength="0" maxLength="100" border="1" negativeBarBorderColorSameAsPositive="0">
              <x14:cfvo type="autoMin"/>
              <x14:cfvo type="autoMax"/>
              <x14:borderColor rgb="FF638EC6"/>
              <x14:negativeFillColor rgb="FFFF0000"/>
              <x14:negativeBorderColor rgb="FFFF0000"/>
              <x14:axisColor rgb="FF000000"/>
            </x14:dataBar>
          </x14:cfRule>
          <xm:sqref>G273:H278</xm:sqref>
        </x14:conditionalFormatting>
        <x14:conditionalFormatting xmlns:xm="http://schemas.microsoft.com/office/excel/2006/main">
          <x14:cfRule type="dataBar" id="{df800b23-6cb3-4f57-98e9-0b1d02c78f2c}">
            <x14:dataBar minLength="0" maxLength="100" border="1" negativeBarBorderColorSameAsPositive="0">
              <x14:cfvo type="autoMin"/>
              <x14:cfvo type="autoMax"/>
              <x14:borderColor rgb="FF638EC6"/>
              <x14:negativeFillColor rgb="FFFF0000"/>
              <x14:negativeBorderColor rgb="FFFF0000"/>
              <x14:axisColor rgb="FF000000"/>
            </x14:dataBar>
          </x14:cfRule>
          <xm:sqref>G288:H294</xm:sqref>
        </x14:conditionalFormatting>
        <x14:conditionalFormatting xmlns:xm="http://schemas.microsoft.com/office/excel/2006/main">
          <x14:cfRule type="dataBar" id="{99da7374-7261-4b53-b8dc-276f2c792a48}">
            <x14:dataBar minLength="0" maxLength="100" border="1" negativeBarBorderColorSameAsPositive="0">
              <x14:cfvo type="autoMin"/>
              <x14:cfvo type="autoMax"/>
              <x14:borderColor rgb="FF638EC6"/>
              <x14:negativeFillColor rgb="FFFF0000"/>
              <x14:negativeBorderColor rgb="FFFF0000"/>
              <x14:axisColor rgb="FF000000"/>
            </x14:dataBar>
          </x14:cfRule>
          <xm:sqref>G313:H319</xm:sqref>
        </x14:conditionalFormatting>
        <x14:conditionalFormatting xmlns:xm="http://schemas.microsoft.com/office/excel/2006/main">
          <x14:cfRule type="dataBar" id="{77dc2fe6-b3b5-4438-a423-8e3066980feb}">
            <x14:dataBar minLength="0" maxLength="100" border="1" negativeBarBorderColorSameAsPositive="0">
              <x14:cfvo type="autoMin"/>
              <x14:cfvo type="autoMax"/>
              <x14:borderColor rgb="FF638EC6"/>
              <x14:negativeFillColor rgb="FFFF0000"/>
              <x14:negativeBorderColor rgb="FFFF0000"/>
              <x14:axisColor rgb="FF000000"/>
            </x14:dataBar>
          </x14:cfRule>
          <xm:sqref>G340:H346</xm:sqref>
        </x14:conditionalFormatting>
        <x14:conditionalFormatting xmlns:xm="http://schemas.microsoft.com/office/excel/2006/main">
          <x14:cfRule type="dataBar" id="{cd400cde-020c-4fe7-921a-86ea2223d483}">
            <x14:dataBar minLength="0" maxLength="100" border="1" negativeBarBorderColorSameAsPositive="0">
              <x14:cfvo type="autoMin"/>
              <x14:cfvo type="autoMax"/>
              <x14:borderColor rgb="FF638EC6"/>
              <x14:negativeFillColor rgb="FFFF0000"/>
              <x14:negativeBorderColor rgb="FFFF0000"/>
              <x14:axisColor rgb="FF000000"/>
            </x14:dataBar>
          </x14:cfRule>
          <xm:sqref>G357:H363</xm:sqref>
        </x14:conditionalFormatting>
        <x14:conditionalFormatting xmlns:xm="http://schemas.microsoft.com/office/excel/2006/main">
          <x14:cfRule type="dataBar" id="{8df25069-b70d-43db-abd0-2721fa8eca13}">
            <x14:dataBar minLength="0" maxLength="100" border="1" negativeBarBorderColorSameAsPositive="0">
              <x14:cfvo type="autoMin"/>
              <x14:cfvo type="autoMax"/>
              <x14:borderColor rgb="FF638EC6"/>
              <x14:negativeFillColor rgb="FFFF0000"/>
              <x14:negativeBorderColor rgb="FFFF0000"/>
              <x14:axisColor rgb="FF000000"/>
            </x14:dataBar>
          </x14:cfRule>
          <xm:sqref>G369:H374</xm:sqref>
        </x14:conditionalFormatting>
        <x14:conditionalFormatting xmlns:xm="http://schemas.microsoft.com/office/excel/2006/main">
          <x14:cfRule type="dataBar" id="{72d6ea44-0e2c-4518-8bea-7bb8126e285c}">
            <x14:dataBar minLength="0" maxLength="100" border="1" negativeBarBorderColorSameAsPositive="0">
              <x14:cfvo type="autoMin"/>
              <x14:cfvo type="autoMax"/>
              <x14:borderColor rgb="FF638EC6"/>
              <x14:negativeFillColor rgb="FFFF0000"/>
              <x14:negativeBorderColor rgb="FFFF0000"/>
              <x14:axisColor rgb="FF000000"/>
            </x14:dataBar>
          </x14:cfRule>
          <xm:sqref>G380:H385</xm:sqref>
        </x14:conditionalFormatting>
        <x14:conditionalFormatting xmlns:xm="http://schemas.microsoft.com/office/excel/2006/main">
          <x14:cfRule type="dataBar" id="{17f31d45-b9d5-4587-bafb-6ee8387e9b97}">
            <x14:dataBar minLength="0" maxLength="100" border="1" negativeBarBorderColorSameAsPositive="0">
              <x14:cfvo type="autoMin"/>
              <x14:cfvo type="autoMax"/>
              <x14:borderColor rgb="FF638EC6"/>
              <x14:negativeFillColor rgb="FFFF0000"/>
              <x14:negativeBorderColor rgb="FFFF0000"/>
              <x14:axisColor rgb="FF000000"/>
            </x14:dataBar>
          </x14:cfRule>
          <xm:sqref>G391:H396</xm:sqref>
        </x14:conditionalFormatting>
        <x14:conditionalFormatting xmlns:xm="http://schemas.microsoft.com/office/excel/2006/main">
          <x14:cfRule type="dataBar" id="{4c46536c-344f-4fcd-b85c-75d2ead40f13}">
            <x14:dataBar minLength="0" maxLength="100" border="1" negativeBarBorderColorSameAsPositive="0">
              <x14:cfvo type="autoMin"/>
              <x14:cfvo type="autoMax"/>
              <x14:borderColor rgb="FF638EC6"/>
              <x14:negativeFillColor rgb="FFFF0000"/>
              <x14:negativeBorderColor rgb="FFFF0000"/>
              <x14:axisColor rgb="FF000000"/>
            </x14:dataBar>
          </x14:cfRule>
          <xm:sqref>G410:H415</xm:sqref>
        </x14:conditionalFormatting>
        <x14:conditionalFormatting xmlns:xm="http://schemas.microsoft.com/office/excel/2006/main">
          <x14:cfRule type="dataBar" id="{7223f4b9-da80-419d-93a3-1250fc8c1ce4}">
            <x14:dataBar minLength="0" maxLength="100" border="1" negativeBarBorderColorSameAsPositive="0">
              <x14:cfvo type="autoMin"/>
              <x14:cfvo type="autoMax"/>
              <x14:borderColor rgb="FF638EC6"/>
              <x14:negativeFillColor rgb="FFFF0000"/>
              <x14:negativeBorderColor rgb="FFFF0000"/>
              <x14:axisColor rgb="FF000000"/>
            </x14:dataBar>
          </x14:cfRule>
          <xm:sqref>G428:H433</xm:sqref>
        </x14:conditionalFormatting>
        <x14:conditionalFormatting xmlns:xm="http://schemas.microsoft.com/office/excel/2006/main">
          <x14:cfRule type="dataBar" id="{f1c74e0c-8a3d-4160-8018-bb5757c2ee55}">
            <x14:dataBar minLength="0" maxLength="100" border="1" negativeBarBorderColorSameAsPositive="0">
              <x14:cfvo type="autoMin"/>
              <x14:cfvo type="autoMax"/>
              <x14:borderColor rgb="FF638EC6"/>
              <x14:negativeFillColor rgb="FFFF0000"/>
              <x14:negativeBorderColor rgb="FFFF0000"/>
              <x14:axisColor rgb="FF000000"/>
            </x14:dataBar>
          </x14:cfRule>
          <xm:sqref>G456:H461</xm:sqref>
        </x14:conditionalFormatting>
        <x14:conditionalFormatting xmlns:xm="http://schemas.microsoft.com/office/excel/2006/main">
          <x14:cfRule type="dataBar" id="{7d349146-e155-4787-94c4-8b724beeb50d}">
            <x14:dataBar minLength="0" maxLength="100" border="1" negativeBarBorderColorSameAsPositive="0">
              <x14:cfvo type="autoMin"/>
              <x14:cfvo type="autoMax"/>
              <x14:borderColor rgb="FF638EC6"/>
              <x14:negativeFillColor rgb="FFFF0000"/>
              <x14:negativeBorderColor rgb="FFFF0000"/>
              <x14:axisColor rgb="FF000000"/>
            </x14:dataBar>
          </x14:cfRule>
          <xm:sqref>G472:H477</xm:sqref>
        </x14:conditionalFormatting>
        <x14:conditionalFormatting xmlns:xm="http://schemas.microsoft.com/office/excel/2006/main">
          <x14:cfRule type="dataBar" id="{592a7432-6409-4ce8-a866-4dab62106235}">
            <x14:dataBar minLength="0" maxLength="100" border="1" negativeBarBorderColorSameAsPositive="0">
              <x14:cfvo type="autoMin"/>
              <x14:cfvo type="autoMax"/>
              <x14:borderColor rgb="FF638EC6"/>
              <x14:negativeFillColor rgb="FFFF0000"/>
              <x14:negativeBorderColor rgb="FFFF0000"/>
              <x14:axisColor rgb="FF000000"/>
            </x14:dataBar>
          </x14:cfRule>
          <xm:sqref>G487:H492</xm:sqref>
        </x14:conditionalFormatting>
        <x14:conditionalFormatting xmlns:xm="http://schemas.microsoft.com/office/excel/2006/main">
          <x14:cfRule type="dataBar" id="{9ae7ff5c-6f01-46a4-a73a-180e6771374d}">
            <x14:dataBar minLength="0" maxLength="100" border="1" negativeBarBorderColorSameAsPositive="0">
              <x14:cfvo type="autoMin"/>
              <x14:cfvo type="autoMax"/>
              <x14:borderColor rgb="FF638EC6"/>
              <x14:negativeFillColor rgb="FFFF0000"/>
              <x14:negativeBorderColor rgb="FFFF0000"/>
              <x14:axisColor rgb="FF000000"/>
            </x14:dataBar>
          </x14:cfRule>
          <xm:sqref>G503:H508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103"/>
  <sheetViews>
    <sheetView topLeftCell="Z84" workbookViewId="0">
      <selection activeCell="A1" sqref="A1:AW101"/>
    </sheetView>
  </sheetViews>
  <sheetFormatPr defaultColWidth="9" defaultRowHeight="13.5"/>
  <cols>
    <col min="3" max="3" width="9" hidden="1" customWidth="1"/>
    <col min="4" max="4" width="18.7916666666667" customWidth="1"/>
    <col min="5" max="5" width="7.6" customWidth="1"/>
    <col min="6" max="6" width="9" hidden="1" customWidth="1"/>
    <col min="8" max="8" width="9" hidden="1" customWidth="1"/>
    <col min="9" max="9" width="65" customWidth="1"/>
    <col min="10" max="14" width="9" hidden="1" customWidth="1"/>
    <col min="18" max="18" width="11.1916666666667" customWidth="1"/>
    <col min="20" max="20" width="13" customWidth="1"/>
    <col min="22" max="22" width="11.5" customWidth="1"/>
    <col min="23" max="23" width="10.525" customWidth="1"/>
    <col min="24" max="28" width="10.525" style="1" customWidth="1"/>
    <col min="30" max="30" width="9.23333333333333"/>
    <col min="40" max="40" width="11.475" customWidth="1"/>
  </cols>
  <sheetData>
    <row r="1" ht="27" customHeight="1" spans="1:49">
      <c r="A1" s="2" t="s">
        <v>809</v>
      </c>
      <c r="B1" s="2" t="s">
        <v>810</v>
      </c>
      <c r="C1" s="2" t="s">
        <v>811</v>
      </c>
      <c r="D1" s="2" t="s">
        <v>812</v>
      </c>
      <c r="E1" s="2" t="s">
        <v>813</v>
      </c>
      <c r="F1" s="2" t="s">
        <v>814</v>
      </c>
      <c r="G1" s="2" t="s">
        <v>815</v>
      </c>
      <c r="H1" s="2" t="s">
        <v>816</v>
      </c>
      <c r="I1" s="2" t="s">
        <v>817</v>
      </c>
      <c r="J1" s="2" t="s">
        <v>818</v>
      </c>
      <c r="K1" s="2" t="s">
        <v>819</v>
      </c>
      <c r="L1" s="2" t="s">
        <v>820</v>
      </c>
      <c r="M1" s="3" t="s">
        <v>821</v>
      </c>
      <c r="N1" s="2" t="s">
        <v>822</v>
      </c>
      <c r="O1" s="3" t="s">
        <v>823</v>
      </c>
      <c r="P1" s="4" t="s">
        <v>2790</v>
      </c>
      <c r="Q1" s="4" t="s">
        <v>3157</v>
      </c>
      <c r="R1" s="4" t="s">
        <v>2795</v>
      </c>
      <c r="S1" s="4" t="s">
        <v>2798</v>
      </c>
      <c r="T1" s="4" t="s">
        <v>3158</v>
      </c>
      <c r="U1" s="4" t="s">
        <v>3159</v>
      </c>
      <c r="V1" s="4" t="s">
        <v>2797</v>
      </c>
      <c r="W1" s="4" t="s">
        <v>2804</v>
      </c>
      <c r="X1" s="4" t="s">
        <v>2805</v>
      </c>
      <c r="Y1" s="4" t="s">
        <v>834</v>
      </c>
      <c r="Z1" s="4" t="s">
        <v>2806</v>
      </c>
      <c r="AA1" s="4" t="s">
        <v>2807</v>
      </c>
      <c r="AB1" s="4" t="s">
        <v>2808</v>
      </c>
      <c r="AC1" s="3" t="s">
        <v>824</v>
      </c>
      <c r="AD1" s="3" t="s">
        <v>825</v>
      </c>
      <c r="AE1" s="5" t="s">
        <v>826</v>
      </c>
      <c r="AF1" s="6" t="s">
        <v>827</v>
      </c>
      <c r="AG1" s="5" t="s">
        <v>828</v>
      </c>
      <c r="AH1" s="7" t="s">
        <v>829</v>
      </c>
      <c r="AI1" s="3" t="s">
        <v>48</v>
      </c>
      <c r="AJ1" s="8" t="s">
        <v>830</v>
      </c>
      <c r="AK1" s="3" t="s">
        <v>831</v>
      </c>
      <c r="AL1" s="3" t="s">
        <v>832</v>
      </c>
      <c r="AM1" s="2" t="s">
        <v>833</v>
      </c>
      <c r="AN1" s="2" t="s">
        <v>834</v>
      </c>
      <c r="AO1" s="3" t="s">
        <v>835</v>
      </c>
      <c r="AP1" s="3" t="s">
        <v>836</v>
      </c>
      <c r="AQ1" s="3" t="s">
        <v>837</v>
      </c>
      <c r="AR1" s="2" t="s">
        <v>838</v>
      </c>
      <c r="AS1" s="2" t="s">
        <v>839</v>
      </c>
      <c r="AT1" s="2" t="s">
        <v>840</v>
      </c>
      <c r="AU1" s="2" t="s">
        <v>841</v>
      </c>
      <c r="AV1" s="2" t="s">
        <v>842</v>
      </c>
      <c r="AW1" s="2" t="s">
        <v>843</v>
      </c>
    </row>
    <row r="2" ht="24" customHeight="1" spans="1:49">
      <c r="A2" s="9" t="str">
        <f>_xlfn.DISPIMG("ID_5387F172C28449FC96FCFC30B369BE97",1)</f>
        <v>=DISPIMG("ID_5387F172C28449FC96FCFC30B369BE97",1)</v>
      </c>
      <c r="B2" s="10" t="s">
        <v>3160</v>
      </c>
      <c r="C2" s="10" t="s">
        <v>3161</v>
      </c>
      <c r="D2" s="10" t="s">
        <v>3162</v>
      </c>
      <c r="E2" s="10" t="s">
        <v>3163</v>
      </c>
      <c r="F2" s="10" t="s">
        <v>3164</v>
      </c>
      <c r="G2" s="10" t="s">
        <v>1229</v>
      </c>
      <c r="H2" s="10" t="s">
        <v>3165</v>
      </c>
      <c r="I2" s="10" t="s">
        <v>3166</v>
      </c>
      <c r="J2" s="9" t="s">
        <v>893</v>
      </c>
      <c r="K2" s="10" t="s">
        <v>3167</v>
      </c>
      <c r="L2" s="10" t="s">
        <v>851</v>
      </c>
      <c r="M2" s="11">
        <v>70</v>
      </c>
      <c r="N2" s="12" t="s">
        <v>3168</v>
      </c>
      <c r="O2" s="13" t="s">
        <v>853</v>
      </c>
      <c r="P2" s="13" t="s">
        <v>2986</v>
      </c>
      <c r="Q2" s="13" t="s">
        <v>3169</v>
      </c>
      <c r="R2" s="13" t="s">
        <v>3170</v>
      </c>
      <c r="S2" s="13" t="s">
        <v>2910</v>
      </c>
      <c r="T2" s="13" t="s">
        <v>3171</v>
      </c>
      <c r="U2" s="13" t="s">
        <v>3172</v>
      </c>
      <c r="V2" s="13" t="s">
        <v>3173</v>
      </c>
      <c r="W2" s="13" t="s">
        <v>3174</v>
      </c>
      <c r="X2" s="14" t="s">
        <v>3175</v>
      </c>
      <c r="Y2" s="14" t="s">
        <v>2821</v>
      </c>
      <c r="Z2" s="14" t="s">
        <v>2865</v>
      </c>
      <c r="AA2" s="14" t="s">
        <v>2823</v>
      </c>
      <c r="AB2" s="15">
        <v>1</v>
      </c>
      <c r="AC2" s="11">
        <v>19022</v>
      </c>
      <c r="AD2" s="11">
        <v>569708.94</v>
      </c>
      <c r="AE2" s="16">
        <v>29.95</v>
      </c>
      <c r="AF2" s="17">
        <v>0.5785</v>
      </c>
      <c r="AG2" s="16">
        <v>8.13</v>
      </c>
      <c r="AH2" s="18">
        <v>4.3</v>
      </c>
      <c r="AI2" s="11">
        <v>27335</v>
      </c>
      <c r="AJ2" s="19">
        <v>0.0186</v>
      </c>
      <c r="AK2" s="11">
        <v>354</v>
      </c>
      <c r="AL2" s="20"/>
      <c r="AM2" s="9" t="s">
        <v>947</v>
      </c>
      <c r="AN2" s="9" t="s">
        <v>3176</v>
      </c>
      <c r="AO2" s="21">
        <v>3804</v>
      </c>
      <c r="AP2" s="21">
        <v>7</v>
      </c>
      <c r="AQ2" s="21">
        <v>19</v>
      </c>
      <c r="AR2" s="10" t="s">
        <v>1515</v>
      </c>
      <c r="AS2" s="9" t="s">
        <v>1110</v>
      </c>
      <c r="AT2" s="10" t="s">
        <v>3177</v>
      </c>
      <c r="AU2" s="9" t="s">
        <v>1516</v>
      </c>
      <c r="AV2" s="22" t="s">
        <v>3178</v>
      </c>
      <c r="AW2" s="22" t="s">
        <v>3179</v>
      </c>
    </row>
    <row r="3" ht="24" customHeight="1" spans="1:49">
      <c r="A3" s="9" t="str">
        <f>_xlfn.DISPIMG("ID_75AD5F499C9B492DA7F773EDB062F024",1)</f>
        <v>=DISPIMG("ID_75AD5F499C9B492DA7F773EDB062F024",1)</v>
      </c>
      <c r="B3" s="10" t="s">
        <v>3180</v>
      </c>
      <c r="C3" s="10" t="s">
        <v>3181</v>
      </c>
      <c r="D3" s="10" t="s">
        <v>3182</v>
      </c>
      <c r="E3" s="10" t="s">
        <v>3183</v>
      </c>
      <c r="F3" s="10" t="s">
        <v>3184</v>
      </c>
      <c r="G3" s="10" t="s">
        <v>1189</v>
      </c>
      <c r="H3" s="10" t="s">
        <v>3185</v>
      </c>
      <c r="I3" s="10" t="s">
        <v>3186</v>
      </c>
      <c r="J3" s="9" t="s">
        <v>934</v>
      </c>
      <c r="K3" s="10" t="s">
        <v>3167</v>
      </c>
      <c r="L3" s="10" t="s">
        <v>851</v>
      </c>
      <c r="M3" s="11">
        <v>314</v>
      </c>
      <c r="N3" s="12" t="s">
        <v>3168</v>
      </c>
      <c r="O3" s="13" t="s">
        <v>875</v>
      </c>
      <c r="P3" s="13" t="s">
        <v>2832</v>
      </c>
      <c r="Q3" s="13" t="s">
        <v>3169</v>
      </c>
      <c r="R3" s="13" t="s">
        <v>3170</v>
      </c>
      <c r="S3" s="13" t="s">
        <v>3187</v>
      </c>
      <c r="T3" s="13" t="s">
        <v>3171</v>
      </c>
      <c r="U3" s="13" t="s">
        <v>3188</v>
      </c>
      <c r="V3" s="13" t="s">
        <v>3189</v>
      </c>
      <c r="W3" s="13" t="s">
        <v>2889</v>
      </c>
      <c r="X3" s="14" t="s">
        <v>3190</v>
      </c>
      <c r="Y3" s="14" t="s">
        <v>2821</v>
      </c>
      <c r="Z3" s="14" t="s">
        <v>2865</v>
      </c>
      <c r="AA3" s="14" t="s">
        <v>2823</v>
      </c>
      <c r="AB3" s="15">
        <v>1</v>
      </c>
      <c r="AC3" s="11">
        <v>7259</v>
      </c>
      <c r="AD3" s="11">
        <v>181402.4</v>
      </c>
      <c r="AE3" s="16">
        <v>24.99</v>
      </c>
      <c r="AF3" s="17">
        <v>0.5247</v>
      </c>
      <c r="AG3" s="16">
        <v>8.13</v>
      </c>
      <c r="AH3" s="18">
        <v>4.4</v>
      </c>
      <c r="AI3" s="11">
        <v>12613</v>
      </c>
      <c r="AJ3" s="19">
        <v>0.0193</v>
      </c>
      <c r="AK3" s="11">
        <v>140</v>
      </c>
      <c r="AL3" s="20"/>
      <c r="AM3" s="9" t="s">
        <v>854</v>
      </c>
      <c r="AN3" s="9" t="s">
        <v>3191</v>
      </c>
      <c r="AO3" s="21">
        <v>2375</v>
      </c>
      <c r="AP3" s="21">
        <v>2</v>
      </c>
      <c r="AQ3" s="21">
        <v>13</v>
      </c>
      <c r="AR3" s="10" t="s">
        <v>1515</v>
      </c>
      <c r="AS3" s="9" t="s">
        <v>65</v>
      </c>
      <c r="AT3" s="10" t="s">
        <v>65</v>
      </c>
      <c r="AU3" s="9" t="s">
        <v>1516</v>
      </c>
      <c r="AV3" s="22" t="s">
        <v>3192</v>
      </c>
      <c r="AW3" s="22" t="s">
        <v>3193</v>
      </c>
    </row>
    <row r="4" ht="24" customHeight="1" spans="1:49">
      <c r="A4" s="9" t="str">
        <f>_xlfn.DISPIMG("ID_E8CFF1A99CE649A087CB8DA473D28C59",1)</f>
        <v>=DISPIMG("ID_E8CFF1A99CE649A087CB8DA473D28C59",1)</v>
      </c>
      <c r="B4" s="10" t="s">
        <v>3194</v>
      </c>
      <c r="C4" s="10" t="s">
        <v>3195</v>
      </c>
      <c r="D4" s="10" t="s">
        <v>3196</v>
      </c>
      <c r="E4" s="10" t="s">
        <v>3197</v>
      </c>
      <c r="F4" s="10" t="s">
        <v>3198</v>
      </c>
      <c r="G4" s="10" t="s">
        <v>3199</v>
      </c>
      <c r="H4" s="10" t="s">
        <v>3200</v>
      </c>
      <c r="I4" s="10" t="s">
        <v>3201</v>
      </c>
      <c r="J4" s="9" t="s">
        <v>934</v>
      </c>
      <c r="K4" s="10" t="s">
        <v>3167</v>
      </c>
      <c r="L4" s="10" t="s">
        <v>851</v>
      </c>
      <c r="M4" s="11">
        <v>336</v>
      </c>
      <c r="N4" s="12" t="s">
        <v>3168</v>
      </c>
      <c r="O4" s="13" t="s">
        <v>3202</v>
      </c>
      <c r="P4" s="13" t="s">
        <v>2809</v>
      </c>
      <c r="Q4" s="13" t="s">
        <v>3169</v>
      </c>
      <c r="R4" s="13" t="s">
        <v>3170</v>
      </c>
      <c r="S4" s="13" t="s">
        <v>2838</v>
      </c>
      <c r="T4" s="13" t="s">
        <v>3203</v>
      </c>
      <c r="U4" s="13" t="s">
        <v>3188</v>
      </c>
      <c r="V4" s="13" t="s">
        <v>3189</v>
      </c>
      <c r="W4" s="13" t="s">
        <v>3174</v>
      </c>
      <c r="X4" s="14" t="s">
        <v>3190</v>
      </c>
      <c r="Y4" s="14" t="s">
        <v>2821</v>
      </c>
      <c r="Z4" s="14" t="s">
        <v>2822</v>
      </c>
      <c r="AA4" s="14" t="s">
        <v>2823</v>
      </c>
      <c r="AB4" s="15">
        <v>1</v>
      </c>
      <c r="AC4" s="11">
        <v>7359</v>
      </c>
      <c r="AD4" s="11">
        <v>183901.4</v>
      </c>
      <c r="AE4" s="16">
        <v>24.99</v>
      </c>
      <c r="AF4" s="17">
        <v>0.343</v>
      </c>
      <c r="AG4" s="16">
        <v>12.67</v>
      </c>
      <c r="AH4" s="18">
        <v>4.6</v>
      </c>
      <c r="AI4" s="11">
        <v>6315</v>
      </c>
      <c r="AJ4" s="19">
        <v>0.0133</v>
      </c>
      <c r="AK4" s="11">
        <v>98</v>
      </c>
      <c r="AL4" s="20"/>
      <c r="AM4" s="9" t="s">
        <v>876</v>
      </c>
      <c r="AN4" s="9" t="s">
        <v>3204</v>
      </c>
      <c r="AO4" s="21">
        <v>5012</v>
      </c>
      <c r="AP4" s="21">
        <v>1</v>
      </c>
      <c r="AQ4" s="21">
        <v>30</v>
      </c>
      <c r="AR4" s="10" t="s">
        <v>1515</v>
      </c>
      <c r="AS4" s="9" t="s">
        <v>1110</v>
      </c>
      <c r="AT4" s="10" t="s">
        <v>3205</v>
      </c>
      <c r="AU4" s="9" t="s">
        <v>1516</v>
      </c>
      <c r="AV4" s="22" t="s">
        <v>3206</v>
      </c>
      <c r="AW4" s="22" t="s">
        <v>3207</v>
      </c>
    </row>
    <row r="5" ht="24" customHeight="1" spans="1:49">
      <c r="A5" s="9" t="str">
        <f>_xlfn.DISPIMG("ID_E0042EC315614AF191D8F8C0E9047D22",1)</f>
        <v>=DISPIMG("ID_E0042EC315614AF191D8F8C0E9047D22",1)</v>
      </c>
      <c r="B5" s="10" t="s">
        <v>3208</v>
      </c>
      <c r="C5" s="10" t="s">
        <v>3209</v>
      </c>
      <c r="D5" s="10" t="s">
        <v>3210</v>
      </c>
      <c r="E5" s="10" t="s">
        <v>3211</v>
      </c>
      <c r="F5" s="10" t="s">
        <v>3212</v>
      </c>
      <c r="G5" s="10" t="s">
        <v>1069</v>
      </c>
      <c r="H5" s="10" t="s">
        <v>3213</v>
      </c>
      <c r="I5" s="10" t="s">
        <v>3214</v>
      </c>
      <c r="J5" s="9" t="s">
        <v>864</v>
      </c>
      <c r="K5" s="10" t="s">
        <v>3167</v>
      </c>
      <c r="L5" s="10" t="s">
        <v>851</v>
      </c>
      <c r="M5" s="11">
        <v>413</v>
      </c>
      <c r="N5" s="12" t="s">
        <v>3168</v>
      </c>
      <c r="O5" s="13" t="s">
        <v>3215</v>
      </c>
      <c r="P5" s="13" t="s">
        <v>2832</v>
      </c>
      <c r="Q5" s="13" t="s">
        <v>3216</v>
      </c>
      <c r="R5" s="13" t="s">
        <v>3170</v>
      </c>
      <c r="S5" s="13" t="s">
        <v>2838</v>
      </c>
      <c r="T5" s="13" t="s">
        <v>3203</v>
      </c>
      <c r="U5" s="13" t="s">
        <v>3172</v>
      </c>
      <c r="V5" s="13" t="s">
        <v>3217</v>
      </c>
      <c r="W5" s="13" t="s">
        <v>2889</v>
      </c>
      <c r="X5" s="14" t="s">
        <v>3218</v>
      </c>
      <c r="Y5" s="14" t="s">
        <v>2821</v>
      </c>
      <c r="Z5" s="14" t="s">
        <v>2865</v>
      </c>
      <c r="AA5" s="14" t="s">
        <v>2823</v>
      </c>
      <c r="AB5" s="15">
        <v>1</v>
      </c>
      <c r="AC5" s="11">
        <v>14094</v>
      </c>
      <c r="AD5" s="11">
        <v>493149.1</v>
      </c>
      <c r="AE5" s="16">
        <v>34.99</v>
      </c>
      <c r="AF5" s="17">
        <v>0.4519</v>
      </c>
      <c r="AG5" s="16">
        <v>13.93</v>
      </c>
      <c r="AH5" s="18">
        <v>4.5</v>
      </c>
      <c r="AI5" s="11">
        <v>29221</v>
      </c>
      <c r="AJ5" s="19">
        <v>0</v>
      </c>
      <c r="AK5" s="11">
        <v>0</v>
      </c>
      <c r="AL5" s="20"/>
      <c r="AM5" s="9" t="s">
        <v>876</v>
      </c>
      <c r="AN5" s="9" t="s">
        <v>3219</v>
      </c>
      <c r="AO5" s="21">
        <v>1606</v>
      </c>
      <c r="AP5" s="21">
        <v>4</v>
      </c>
      <c r="AQ5" s="21">
        <v>16</v>
      </c>
      <c r="AR5" s="10" t="s">
        <v>1515</v>
      </c>
      <c r="AS5" s="9" t="s">
        <v>1110</v>
      </c>
      <c r="AT5" s="10" t="s">
        <v>3220</v>
      </c>
      <c r="AU5" s="9" t="s">
        <v>1516</v>
      </c>
      <c r="AV5" s="22" t="s">
        <v>3221</v>
      </c>
      <c r="AW5" s="22" t="s">
        <v>3222</v>
      </c>
    </row>
    <row r="6" ht="24" customHeight="1" spans="1:49">
      <c r="A6" s="9" t="str">
        <f>_xlfn.DISPIMG("ID_84785EAE6D944AD2A77DA44F13A2F6D5",1)</f>
        <v>=DISPIMG("ID_84785EAE6D944AD2A77DA44F13A2F6D5",1)</v>
      </c>
      <c r="B6" s="10" t="s">
        <v>3223</v>
      </c>
      <c r="C6" s="10" t="s">
        <v>3224</v>
      </c>
      <c r="D6" s="10" t="s">
        <v>3225</v>
      </c>
      <c r="E6" s="10" t="s">
        <v>3226</v>
      </c>
      <c r="F6" s="10" t="s">
        <v>3227</v>
      </c>
      <c r="G6" s="10" t="s">
        <v>3228</v>
      </c>
      <c r="H6" s="10" t="s">
        <v>3229</v>
      </c>
      <c r="I6" s="10" t="s">
        <v>3230</v>
      </c>
      <c r="J6" s="9" t="s">
        <v>1384</v>
      </c>
      <c r="K6" s="10" t="s">
        <v>3167</v>
      </c>
      <c r="L6" s="10" t="s">
        <v>851</v>
      </c>
      <c r="M6" s="11">
        <v>485</v>
      </c>
      <c r="N6" s="12" t="s">
        <v>3168</v>
      </c>
      <c r="O6" s="13" t="s">
        <v>913</v>
      </c>
      <c r="P6" s="13" t="s">
        <v>2881</v>
      </c>
      <c r="Q6" s="13" t="s">
        <v>3169</v>
      </c>
      <c r="R6" s="13" t="s">
        <v>3170</v>
      </c>
      <c r="S6" s="13" t="s">
        <v>3231</v>
      </c>
      <c r="T6" s="13" t="s">
        <v>3171</v>
      </c>
      <c r="U6" s="13" t="s">
        <v>3188</v>
      </c>
      <c r="V6" s="13" t="s">
        <v>3217</v>
      </c>
      <c r="W6" s="13" t="s">
        <v>2896</v>
      </c>
      <c r="X6" s="14" t="s">
        <v>3175</v>
      </c>
      <c r="Y6" s="14" t="s">
        <v>2917</v>
      </c>
      <c r="Z6" s="14" t="s">
        <v>2865</v>
      </c>
      <c r="AA6" s="14" t="s">
        <v>2823</v>
      </c>
      <c r="AB6" s="15">
        <v>1</v>
      </c>
      <c r="AC6" s="11">
        <v>5161</v>
      </c>
      <c r="AD6" s="11">
        <v>154726.78</v>
      </c>
      <c r="AE6" s="16">
        <v>29.98</v>
      </c>
      <c r="AF6" s="17">
        <v>0.5895</v>
      </c>
      <c r="AG6" s="16">
        <v>7.81</v>
      </c>
      <c r="AH6" s="18">
        <v>4.2</v>
      </c>
      <c r="AI6" s="11">
        <v>1341</v>
      </c>
      <c r="AJ6" s="19">
        <v>0.087</v>
      </c>
      <c r="AK6" s="11">
        <v>449</v>
      </c>
      <c r="AL6" s="20"/>
      <c r="AM6" s="9" t="s">
        <v>876</v>
      </c>
      <c r="AN6" s="9" t="s">
        <v>3232</v>
      </c>
      <c r="AO6" s="21">
        <v>162</v>
      </c>
      <c r="AP6" s="21">
        <v>4</v>
      </c>
      <c r="AQ6" s="21">
        <v>2</v>
      </c>
      <c r="AR6" s="10" t="s">
        <v>3233</v>
      </c>
      <c r="AS6" s="9" t="s">
        <v>1110</v>
      </c>
      <c r="AT6" s="10" t="s">
        <v>3234</v>
      </c>
      <c r="AU6" s="9" t="s">
        <v>997</v>
      </c>
      <c r="AV6" s="22" t="s">
        <v>3235</v>
      </c>
      <c r="AW6" s="22" t="s">
        <v>3236</v>
      </c>
    </row>
    <row r="7" ht="24" customHeight="1" spans="1:49">
      <c r="A7" s="9" t="str">
        <f>_xlfn.DISPIMG("ID_62D2E7723F3146E2AE3C2BD80A11DB11",1)</f>
        <v>=DISPIMG("ID_62D2E7723F3146E2AE3C2BD80A11DB11",1)</v>
      </c>
      <c r="B7" s="10" t="s">
        <v>3237</v>
      </c>
      <c r="C7" s="10" t="s">
        <v>3238</v>
      </c>
      <c r="D7" s="10" t="s">
        <v>3239</v>
      </c>
      <c r="E7" s="10" t="s">
        <v>3240</v>
      </c>
      <c r="F7" s="10" t="s">
        <v>3241</v>
      </c>
      <c r="G7" s="10" t="s">
        <v>1229</v>
      </c>
      <c r="H7" s="10" t="s">
        <v>3242</v>
      </c>
      <c r="I7" s="10" t="s">
        <v>3243</v>
      </c>
      <c r="J7" s="9" t="s">
        <v>934</v>
      </c>
      <c r="K7" s="10" t="s">
        <v>3167</v>
      </c>
      <c r="L7" s="10" t="s">
        <v>851</v>
      </c>
      <c r="M7" s="11">
        <v>503</v>
      </c>
      <c r="N7" s="12" t="s">
        <v>3244</v>
      </c>
      <c r="O7" s="13" t="s">
        <v>3245</v>
      </c>
      <c r="P7" s="13" t="s">
        <v>2852</v>
      </c>
      <c r="Q7" s="13" t="s">
        <v>3216</v>
      </c>
      <c r="R7" s="13" t="s">
        <v>3170</v>
      </c>
      <c r="S7" s="13" t="s">
        <v>2910</v>
      </c>
      <c r="T7" s="13" t="s">
        <v>3203</v>
      </c>
      <c r="U7" s="13" t="s">
        <v>3172</v>
      </c>
      <c r="V7" s="13" t="s">
        <v>3173</v>
      </c>
      <c r="W7" s="13" t="s">
        <v>2896</v>
      </c>
      <c r="X7" s="14" t="s">
        <v>3246</v>
      </c>
      <c r="Y7" s="14" t="s">
        <v>2883</v>
      </c>
      <c r="Z7" s="14" t="s">
        <v>2865</v>
      </c>
      <c r="AA7" s="14" t="s">
        <v>2823</v>
      </c>
      <c r="AB7" s="15">
        <v>1</v>
      </c>
      <c r="AC7" s="11">
        <v>10351</v>
      </c>
      <c r="AD7" s="11">
        <v>672504.5</v>
      </c>
      <c r="AE7" s="16">
        <v>64.97</v>
      </c>
      <c r="AF7" s="17">
        <v>0.6421</v>
      </c>
      <c r="AG7" s="16">
        <v>13.51</v>
      </c>
      <c r="AH7" s="18">
        <v>4.4</v>
      </c>
      <c r="AI7" s="11">
        <v>30059</v>
      </c>
      <c r="AJ7" s="19">
        <v>0.0324</v>
      </c>
      <c r="AK7" s="11">
        <v>335</v>
      </c>
      <c r="AL7" s="20"/>
      <c r="AM7" s="9" t="s">
        <v>947</v>
      </c>
      <c r="AN7" s="9" t="s">
        <v>3247</v>
      </c>
      <c r="AO7" s="21">
        <v>7235</v>
      </c>
      <c r="AP7" s="21">
        <v>18</v>
      </c>
      <c r="AQ7" s="21">
        <v>22</v>
      </c>
      <c r="AR7" s="10" t="s">
        <v>3248</v>
      </c>
      <c r="AS7" s="9" t="s">
        <v>1110</v>
      </c>
      <c r="AT7" s="10" t="s">
        <v>3249</v>
      </c>
      <c r="AU7" s="9" t="s">
        <v>2728</v>
      </c>
      <c r="AV7" s="22" t="s">
        <v>3250</v>
      </c>
      <c r="AW7" s="22" t="s">
        <v>3251</v>
      </c>
    </row>
    <row r="8" ht="24" customHeight="1" spans="1:49">
      <c r="A8" s="9" t="str">
        <f>_xlfn.DISPIMG("ID_189BF3705A204215A7807577DB9DA279",1)</f>
        <v>=DISPIMG("ID_189BF3705A204215A7807577DB9DA279",1)</v>
      </c>
      <c r="B8" s="10" t="s">
        <v>3252</v>
      </c>
      <c r="C8" s="10" t="s">
        <v>3252</v>
      </c>
      <c r="D8" s="10" t="s">
        <v>65</v>
      </c>
      <c r="E8" s="10" t="s">
        <v>3253</v>
      </c>
      <c r="F8" s="10" t="s">
        <v>3254</v>
      </c>
      <c r="G8" s="10" t="s">
        <v>3255</v>
      </c>
      <c r="H8" s="10" t="s">
        <v>3256</v>
      </c>
      <c r="I8" s="10" t="s">
        <v>3257</v>
      </c>
      <c r="J8" s="9" t="s">
        <v>934</v>
      </c>
      <c r="K8" s="10" t="s">
        <v>3167</v>
      </c>
      <c r="L8" s="10" t="s">
        <v>851</v>
      </c>
      <c r="M8" s="11">
        <v>743</v>
      </c>
      <c r="N8" s="12" t="s">
        <v>3168</v>
      </c>
      <c r="O8" s="13" t="s">
        <v>935</v>
      </c>
      <c r="P8" s="13" t="s">
        <v>2809</v>
      </c>
      <c r="Q8" s="13" t="s">
        <v>3169</v>
      </c>
      <c r="R8" s="13" t="s">
        <v>3170</v>
      </c>
      <c r="S8" s="13" t="s">
        <v>2910</v>
      </c>
      <c r="T8" s="13" t="s">
        <v>3203</v>
      </c>
      <c r="U8" s="13" t="s">
        <v>3172</v>
      </c>
      <c r="V8" s="13" t="s">
        <v>3189</v>
      </c>
      <c r="W8" s="13" t="s">
        <v>3174</v>
      </c>
      <c r="X8" s="14" t="s">
        <v>3175</v>
      </c>
      <c r="Y8" s="14" t="s">
        <v>2917</v>
      </c>
      <c r="Z8" s="14" t="s">
        <v>2865</v>
      </c>
      <c r="AA8" s="14" t="s">
        <v>2823</v>
      </c>
      <c r="AB8" s="15">
        <v>1</v>
      </c>
      <c r="AC8" s="11">
        <v>7476</v>
      </c>
      <c r="AD8" s="11">
        <v>214336.92</v>
      </c>
      <c r="AE8" s="16">
        <v>28.67</v>
      </c>
      <c r="AF8" s="17">
        <v>0.5608</v>
      </c>
      <c r="AG8" s="16">
        <v>8.29</v>
      </c>
      <c r="AH8" s="18">
        <v>4.4</v>
      </c>
      <c r="AI8" s="11">
        <v>29038</v>
      </c>
      <c r="AJ8" s="19">
        <v>0.0264</v>
      </c>
      <c r="AK8" s="11">
        <v>197</v>
      </c>
      <c r="AL8" s="20"/>
      <c r="AM8" s="9" t="s">
        <v>854</v>
      </c>
      <c r="AN8" s="9" t="s">
        <v>3258</v>
      </c>
      <c r="AO8" s="21">
        <v>1892</v>
      </c>
      <c r="AP8" s="21">
        <v>1</v>
      </c>
      <c r="AQ8" s="21">
        <v>11</v>
      </c>
      <c r="AR8" s="10" t="s">
        <v>1515</v>
      </c>
      <c r="AS8" s="9" t="s">
        <v>65</v>
      </c>
      <c r="AT8" s="10" t="s">
        <v>65</v>
      </c>
      <c r="AU8" s="9" t="s">
        <v>1516</v>
      </c>
      <c r="AV8" s="22" t="s">
        <v>3259</v>
      </c>
      <c r="AW8" s="22" t="s">
        <v>3260</v>
      </c>
    </row>
    <row r="9" ht="24" customHeight="1" spans="1:49">
      <c r="A9" s="9" t="str">
        <f>_xlfn.DISPIMG("ID_1AA1E0BA22014B7F908440A83DAE9ABB",1)</f>
        <v>=DISPIMG("ID_1AA1E0BA22014B7F908440A83DAE9ABB",1)</v>
      </c>
      <c r="B9" s="10" t="s">
        <v>3261</v>
      </c>
      <c r="C9" s="10" t="s">
        <v>3261</v>
      </c>
      <c r="D9" s="10" t="s">
        <v>65</v>
      </c>
      <c r="E9" s="10" t="s">
        <v>3262</v>
      </c>
      <c r="F9" s="10" t="s">
        <v>3263</v>
      </c>
      <c r="G9" s="10" t="s">
        <v>3264</v>
      </c>
      <c r="H9" s="10" t="s">
        <v>3265</v>
      </c>
      <c r="I9" s="10" t="s">
        <v>3266</v>
      </c>
      <c r="J9" s="9" t="s">
        <v>934</v>
      </c>
      <c r="K9" s="10" t="s">
        <v>3167</v>
      </c>
      <c r="L9" s="10" t="s">
        <v>851</v>
      </c>
      <c r="M9" s="11">
        <v>864</v>
      </c>
      <c r="N9" s="12" t="s">
        <v>3168</v>
      </c>
      <c r="O9" s="13" t="s">
        <v>957</v>
      </c>
      <c r="P9" s="13" t="s">
        <v>2809</v>
      </c>
      <c r="Q9" s="13" t="s">
        <v>3216</v>
      </c>
      <c r="R9" s="13" t="s">
        <v>3170</v>
      </c>
      <c r="S9" s="13" t="s">
        <v>3267</v>
      </c>
      <c r="T9" s="13" t="s">
        <v>3171</v>
      </c>
      <c r="U9" s="13" t="s">
        <v>3172</v>
      </c>
      <c r="V9" s="13" t="s">
        <v>3268</v>
      </c>
      <c r="W9" s="13" t="s">
        <v>3174</v>
      </c>
      <c r="X9" s="14" t="s">
        <v>3269</v>
      </c>
      <c r="Y9" s="14" t="s">
        <v>2821</v>
      </c>
      <c r="Z9" s="14" t="s">
        <v>2865</v>
      </c>
      <c r="AA9" s="14" t="s">
        <v>2823</v>
      </c>
      <c r="AB9" s="15">
        <v>1</v>
      </c>
      <c r="AC9" s="11">
        <v>6273</v>
      </c>
      <c r="AD9" s="11">
        <v>250857.28</v>
      </c>
      <c r="AE9" s="16">
        <v>39.99</v>
      </c>
      <c r="AF9" s="17">
        <v>0.6267</v>
      </c>
      <c r="AG9" s="16">
        <v>8.93</v>
      </c>
      <c r="AH9" s="18">
        <v>4.5</v>
      </c>
      <c r="AI9" s="11">
        <v>8060</v>
      </c>
      <c r="AJ9" s="19">
        <v>0.0245</v>
      </c>
      <c r="AK9" s="11">
        <v>154</v>
      </c>
      <c r="AL9" s="20"/>
      <c r="AM9" s="9" t="s">
        <v>947</v>
      </c>
      <c r="AN9" s="9" t="s">
        <v>3270</v>
      </c>
      <c r="AO9" s="21">
        <v>1821</v>
      </c>
      <c r="AP9" s="21">
        <v>1</v>
      </c>
      <c r="AQ9" s="21">
        <v>20</v>
      </c>
      <c r="AR9" s="10" t="s">
        <v>1515</v>
      </c>
      <c r="AS9" s="9" t="s">
        <v>1110</v>
      </c>
      <c r="AT9" s="10" t="s">
        <v>3271</v>
      </c>
      <c r="AU9" s="9" t="s">
        <v>1516</v>
      </c>
      <c r="AV9" s="22" t="s">
        <v>3272</v>
      </c>
      <c r="AW9" s="22" t="s">
        <v>3273</v>
      </c>
    </row>
    <row r="10" ht="24" customHeight="1" spans="1:49">
      <c r="A10" s="9" t="str">
        <f>_xlfn.DISPIMG("ID_D910BB3B811C4F3199B957CA475A971D",1)</f>
        <v>=DISPIMG("ID_D910BB3B811C4F3199B957CA475A971D",1)</v>
      </c>
      <c r="B10" s="10" t="s">
        <v>3274</v>
      </c>
      <c r="C10" s="10" t="s">
        <v>3275</v>
      </c>
      <c r="D10" s="10" t="s">
        <v>3276</v>
      </c>
      <c r="E10" s="10" t="s">
        <v>3277</v>
      </c>
      <c r="F10" s="10" t="s">
        <v>3278</v>
      </c>
      <c r="G10" s="10" t="s">
        <v>1189</v>
      </c>
      <c r="H10" s="10" t="s">
        <v>3279</v>
      </c>
      <c r="I10" s="10" t="s">
        <v>3280</v>
      </c>
      <c r="J10" s="9" t="s">
        <v>934</v>
      </c>
      <c r="K10" s="10" t="s">
        <v>3167</v>
      </c>
      <c r="L10" s="10" t="s">
        <v>851</v>
      </c>
      <c r="M10" s="11">
        <v>1609</v>
      </c>
      <c r="N10" s="12" t="s">
        <v>3168</v>
      </c>
      <c r="O10" s="13" t="s">
        <v>965</v>
      </c>
      <c r="P10" s="13" t="s">
        <v>2963</v>
      </c>
      <c r="Q10" s="13" t="s">
        <v>3169</v>
      </c>
      <c r="R10" s="13" t="s">
        <v>3170</v>
      </c>
      <c r="S10" s="13" t="s">
        <v>3187</v>
      </c>
      <c r="T10" s="13" t="s">
        <v>3171</v>
      </c>
      <c r="U10" s="13" t="s">
        <v>3172</v>
      </c>
      <c r="V10" s="13" t="s">
        <v>3281</v>
      </c>
      <c r="W10" s="13" t="s">
        <v>2889</v>
      </c>
      <c r="X10" s="14" t="s">
        <v>3190</v>
      </c>
      <c r="Y10" s="14" t="s">
        <v>2821</v>
      </c>
      <c r="Z10" s="14" t="s">
        <v>2865</v>
      </c>
      <c r="AA10" s="14" t="s">
        <v>2823</v>
      </c>
      <c r="AB10" s="15">
        <v>1</v>
      </c>
      <c r="AC10" s="11">
        <v>1323</v>
      </c>
      <c r="AD10" s="11">
        <v>29092.77</v>
      </c>
      <c r="AE10" s="16">
        <v>21.99</v>
      </c>
      <c r="AF10" s="17">
        <v>0.4721</v>
      </c>
      <c r="AG10" s="16">
        <v>8.31</v>
      </c>
      <c r="AH10" s="18">
        <v>4.4</v>
      </c>
      <c r="AI10" s="11">
        <v>15897</v>
      </c>
      <c r="AJ10" s="19">
        <v>0.0219</v>
      </c>
      <c r="AK10" s="11">
        <v>29</v>
      </c>
      <c r="AL10" s="20"/>
      <c r="AM10" s="9" t="s">
        <v>854</v>
      </c>
      <c r="AN10" s="9" t="s">
        <v>3282</v>
      </c>
      <c r="AO10" s="21">
        <v>3104</v>
      </c>
      <c r="AP10" s="21">
        <v>1</v>
      </c>
      <c r="AQ10" s="21">
        <v>7</v>
      </c>
      <c r="AR10" s="10" t="s">
        <v>1515</v>
      </c>
      <c r="AS10" s="9" t="s">
        <v>1110</v>
      </c>
      <c r="AT10" s="10" t="s">
        <v>3283</v>
      </c>
      <c r="AU10" s="9" t="s">
        <v>1516</v>
      </c>
      <c r="AV10" s="22" t="s">
        <v>3284</v>
      </c>
      <c r="AW10" s="22" t="s">
        <v>3285</v>
      </c>
    </row>
    <row r="11" ht="24" customHeight="1" spans="1:49">
      <c r="A11" s="9" t="str">
        <f>_xlfn.DISPIMG("ID_2AE308B8B7EB45C084150A183E309696",1)</f>
        <v>=DISPIMG("ID_2AE308B8B7EB45C084150A183E309696",1)</v>
      </c>
      <c r="B11" s="10" t="s">
        <v>3286</v>
      </c>
      <c r="C11" s="10" t="s">
        <v>3287</v>
      </c>
      <c r="D11" s="10" t="s">
        <v>3288</v>
      </c>
      <c r="E11" s="10" t="s">
        <v>3289</v>
      </c>
      <c r="F11" s="10" t="s">
        <v>3290</v>
      </c>
      <c r="G11" s="10" t="s">
        <v>3291</v>
      </c>
      <c r="H11" s="10" t="s">
        <v>3292</v>
      </c>
      <c r="I11" s="10" t="s">
        <v>3293</v>
      </c>
      <c r="J11" s="9" t="s">
        <v>934</v>
      </c>
      <c r="K11" s="10" t="s">
        <v>3167</v>
      </c>
      <c r="L11" s="10" t="s">
        <v>851</v>
      </c>
      <c r="M11" s="11">
        <v>1735</v>
      </c>
      <c r="N11" s="12" t="s">
        <v>3168</v>
      </c>
      <c r="O11" s="13" t="s">
        <v>3294</v>
      </c>
      <c r="P11" s="13" t="s">
        <v>3295</v>
      </c>
      <c r="Q11" s="13" t="s">
        <v>3169</v>
      </c>
      <c r="R11" s="13" t="s">
        <v>3170</v>
      </c>
      <c r="S11" s="13" t="s">
        <v>3267</v>
      </c>
      <c r="T11" s="13" t="s">
        <v>3203</v>
      </c>
      <c r="U11" s="13" t="s">
        <v>3188</v>
      </c>
      <c r="V11" s="13" t="s">
        <v>3189</v>
      </c>
      <c r="W11" s="13" t="s">
        <v>2896</v>
      </c>
      <c r="X11" s="14" t="s">
        <v>3296</v>
      </c>
      <c r="Y11" s="14" t="s">
        <v>2851</v>
      </c>
      <c r="Z11" s="14" t="s">
        <v>2822</v>
      </c>
      <c r="AA11" s="14" t="s">
        <v>2823</v>
      </c>
      <c r="AB11" s="15">
        <v>1</v>
      </c>
      <c r="AC11" s="11">
        <v>3941</v>
      </c>
      <c r="AD11" s="11">
        <v>173364.6</v>
      </c>
      <c r="AE11" s="16">
        <v>43.99</v>
      </c>
      <c r="AF11" s="17">
        <v>0.6527</v>
      </c>
      <c r="AG11" s="16">
        <v>8.68</v>
      </c>
      <c r="AH11" s="18">
        <v>4.6</v>
      </c>
      <c r="AI11" s="11">
        <v>9988</v>
      </c>
      <c r="AJ11" s="19">
        <v>0.0401</v>
      </c>
      <c r="AK11" s="11">
        <v>158</v>
      </c>
      <c r="AL11" s="20"/>
      <c r="AM11" s="9" t="s">
        <v>947</v>
      </c>
      <c r="AN11" s="9" t="s">
        <v>3297</v>
      </c>
      <c r="AO11" s="21">
        <v>1276</v>
      </c>
      <c r="AP11" s="21">
        <v>7</v>
      </c>
      <c r="AQ11" s="21">
        <v>1</v>
      </c>
      <c r="AR11" s="10" t="s">
        <v>3298</v>
      </c>
      <c r="AS11" s="9" t="s">
        <v>1288</v>
      </c>
      <c r="AT11" s="10" t="s">
        <v>3299</v>
      </c>
      <c r="AU11" s="9" t="s">
        <v>997</v>
      </c>
      <c r="AV11" s="22" t="s">
        <v>3300</v>
      </c>
      <c r="AW11" s="22" t="s">
        <v>3301</v>
      </c>
    </row>
    <row r="12" ht="24" customHeight="1" spans="1:49">
      <c r="A12" s="9" t="str">
        <f>_xlfn.DISPIMG("ID_A7F8F51A10534987854CF1A454E11C96",1)</f>
        <v>=DISPIMG("ID_A7F8F51A10534987854CF1A454E11C96",1)</v>
      </c>
      <c r="B12" s="10" t="s">
        <v>3302</v>
      </c>
      <c r="C12" s="10" t="s">
        <v>3303</v>
      </c>
      <c r="D12" s="10" t="s">
        <v>3304</v>
      </c>
      <c r="E12" s="10" t="s">
        <v>3305</v>
      </c>
      <c r="F12" s="10" t="s">
        <v>3306</v>
      </c>
      <c r="G12" s="10" t="s">
        <v>3307</v>
      </c>
      <c r="H12" s="10" t="s">
        <v>3308</v>
      </c>
      <c r="I12" s="10" t="s">
        <v>3309</v>
      </c>
      <c r="J12" s="9" t="s">
        <v>934</v>
      </c>
      <c r="K12" s="10" t="s">
        <v>3167</v>
      </c>
      <c r="L12" s="10" t="s">
        <v>851</v>
      </c>
      <c r="M12" s="11">
        <v>1764</v>
      </c>
      <c r="N12" s="12" t="s">
        <v>3168</v>
      </c>
      <c r="O12" s="13" t="s">
        <v>975</v>
      </c>
      <c r="P12" s="13" t="s">
        <v>2852</v>
      </c>
      <c r="Q12" s="13" t="s">
        <v>3169</v>
      </c>
      <c r="R12" s="13" t="s">
        <v>3170</v>
      </c>
      <c r="S12" s="13" t="s">
        <v>2838</v>
      </c>
      <c r="T12" s="13" t="s">
        <v>3171</v>
      </c>
      <c r="U12" s="13" t="s">
        <v>3188</v>
      </c>
      <c r="V12" s="13" t="s">
        <v>3189</v>
      </c>
      <c r="W12" s="13" t="s">
        <v>2896</v>
      </c>
      <c r="X12" s="14" t="s">
        <v>3310</v>
      </c>
      <c r="Y12" s="14" t="s">
        <v>2821</v>
      </c>
      <c r="Z12" s="14" t="s">
        <v>2822</v>
      </c>
      <c r="AA12" s="14" t="s">
        <v>2823</v>
      </c>
      <c r="AB12" s="15">
        <v>1</v>
      </c>
      <c r="AC12" s="11">
        <v>3278</v>
      </c>
      <c r="AD12" s="11">
        <v>160458.11</v>
      </c>
      <c r="AE12" s="16">
        <v>48.95</v>
      </c>
      <c r="AF12" s="17">
        <v>0.5568</v>
      </c>
      <c r="AG12" s="16">
        <v>14.35</v>
      </c>
      <c r="AH12" s="18">
        <v>4.6</v>
      </c>
      <c r="AI12" s="11">
        <v>4024</v>
      </c>
      <c r="AJ12" s="19">
        <v>0.0375</v>
      </c>
      <c r="AK12" s="11">
        <v>123</v>
      </c>
      <c r="AL12" s="20"/>
      <c r="AM12" s="9" t="s">
        <v>947</v>
      </c>
      <c r="AN12" s="9" t="s">
        <v>3311</v>
      </c>
      <c r="AO12" s="21">
        <v>827</v>
      </c>
      <c r="AP12" s="21">
        <v>2</v>
      </c>
      <c r="AQ12" s="21">
        <v>8</v>
      </c>
      <c r="AR12" s="10" t="s">
        <v>1515</v>
      </c>
      <c r="AS12" s="9" t="s">
        <v>65</v>
      </c>
      <c r="AT12" s="10" t="s">
        <v>65</v>
      </c>
      <c r="AU12" s="9" t="s">
        <v>1516</v>
      </c>
      <c r="AV12" s="22" t="s">
        <v>3312</v>
      </c>
      <c r="AW12" s="22" t="s">
        <v>3313</v>
      </c>
    </row>
    <row r="13" ht="24" customHeight="1" spans="1:49">
      <c r="A13" s="9" t="str">
        <f>_xlfn.DISPIMG("ID_DDCB23C25A7F49C2A753D262C2F1EAC9",1)</f>
        <v>=DISPIMG("ID_DDCB23C25A7F49C2A753D262C2F1EAC9",1)</v>
      </c>
      <c r="B13" s="10" t="s">
        <v>3314</v>
      </c>
      <c r="C13" s="10" t="s">
        <v>3315</v>
      </c>
      <c r="D13" s="10" t="s">
        <v>3316</v>
      </c>
      <c r="E13" s="10" t="s">
        <v>3317</v>
      </c>
      <c r="F13" s="10" t="s">
        <v>3318</v>
      </c>
      <c r="G13" s="10" t="s">
        <v>3319</v>
      </c>
      <c r="H13" s="10" t="s">
        <v>3320</v>
      </c>
      <c r="I13" s="10" t="s">
        <v>3321</v>
      </c>
      <c r="J13" s="9" t="s">
        <v>934</v>
      </c>
      <c r="K13" s="10" t="s">
        <v>3167</v>
      </c>
      <c r="L13" s="10" t="s">
        <v>851</v>
      </c>
      <c r="M13" s="11">
        <v>1850</v>
      </c>
      <c r="N13" s="12" t="s">
        <v>3168</v>
      </c>
      <c r="O13" s="13" t="s">
        <v>3322</v>
      </c>
      <c r="P13" s="13" t="s">
        <v>2852</v>
      </c>
      <c r="Q13" s="13" t="s">
        <v>3169</v>
      </c>
      <c r="R13" s="13" t="s">
        <v>3323</v>
      </c>
      <c r="S13" s="13" t="s">
        <v>3324</v>
      </c>
      <c r="T13" s="13" t="s">
        <v>3203</v>
      </c>
      <c r="U13" s="13" t="s">
        <v>3152</v>
      </c>
      <c r="V13" s="13" t="s">
        <v>3325</v>
      </c>
      <c r="W13" s="13" t="s">
        <v>2896</v>
      </c>
      <c r="X13" s="14" t="s">
        <v>3310</v>
      </c>
      <c r="Y13" s="14" t="s">
        <v>2867</v>
      </c>
      <c r="Z13" s="14" t="s">
        <v>2865</v>
      </c>
      <c r="AA13" s="14" t="s">
        <v>2868</v>
      </c>
      <c r="AB13" s="15">
        <v>1</v>
      </c>
      <c r="AC13" s="11">
        <v>1964</v>
      </c>
      <c r="AD13" s="11">
        <v>98180.37</v>
      </c>
      <c r="AE13" s="16">
        <v>49.99</v>
      </c>
      <c r="AF13" s="17">
        <v>0.6778</v>
      </c>
      <c r="AG13" s="16">
        <v>8.61</v>
      </c>
      <c r="AH13" s="18">
        <v>4.2</v>
      </c>
      <c r="AI13" s="11">
        <v>869</v>
      </c>
      <c r="AJ13" s="19">
        <v>0.0479</v>
      </c>
      <c r="AK13" s="11">
        <v>94</v>
      </c>
      <c r="AL13" s="20"/>
      <c r="AM13" s="9" t="s">
        <v>1098</v>
      </c>
      <c r="AN13" s="9" t="s">
        <v>3326</v>
      </c>
      <c r="AO13" s="21">
        <v>511</v>
      </c>
      <c r="AP13" s="21">
        <v>6</v>
      </c>
      <c r="AQ13" s="21">
        <v>1</v>
      </c>
      <c r="AR13" s="10" t="s">
        <v>3327</v>
      </c>
      <c r="AS13" s="9" t="s">
        <v>1288</v>
      </c>
      <c r="AT13" s="10" t="s">
        <v>3328</v>
      </c>
      <c r="AU13" s="9" t="s">
        <v>997</v>
      </c>
      <c r="AV13" s="22" t="s">
        <v>3329</v>
      </c>
      <c r="AW13" s="22" t="s">
        <v>3330</v>
      </c>
    </row>
    <row r="14" ht="24" customHeight="1" spans="1:49">
      <c r="A14" s="9" t="str">
        <f>_xlfn.DISPIMG("ID_652E86B09DE54F269C604393BC9B4E29",1)</f>
        <v>=DISPIMG("ID_652E86B09DE54F269C604393BC9B4E29",1)</v>
      </c>
      <c r="B14" s="10" t="s">
        <v>3331</v>
      </c>
      <c r="C14" s="10" t="s">
        <v>3332</v>
      </c>
      <c r="D14" s="10" t="s">
        <v>3333</v>
      </c>
      <c r="E14" s="10" t="s">
        <v>3334</v>
      </c>
      <c r="F14" s="10" t="s">
        <v>3335</v>
      </c>
      <c r="G14" s="10" t="s">
        <v>3336</v>
      </c>
      <c r="H14" s="10" t="s">
        <v>3337</v>
      </c>
      <c r="I14" s="10" t="s">
        <v>3338</v>
      </c>
      <c r="J14" s="9" t="s">
        <v>934</v>
      </c>
      <c r="K14" s="10" t="s">
        <v>3167</v>
      </c>
      <c r="L14" s="10" t="s">
        <v>851</v>
      </c>
      <c r="M14" s="11">
        <v>1990</v>
      </c>
      <c r="N14" s="12" t="s">
        <v>3168</v>
      </c>
      <c r="O14" s="13" t="s">
        <v>1021</v>
      </c>
      <c r="P14" s="13" t="s">
        <v>2986</v>
      </c>
      <c r="Q14" s="13" t="s">
        <v>3169</v>
      </c>
      <c r="R14" s="13" t="s">
        <v>3170</v>
      </c>
      <c r="S14" s="13" t="s">
        <v>3267</v>
      </c>
      <c r="T14" s="13" t="s">
        <v>3203</v>
      </c>
      <c r="U14" s="13" t="s">
        <v>3188</v>
      </c>
      <c r="V14" s="13" t="s">
        <v>3189</v>
      </c>
      <c r="W14" s="13" t="s">
        <v>2896</v>
      </c>
      <c r="X14" s="14" t="s">
        <v>3269</v>
      </c>
      <c r="Y14" s="14" t="s">
        <v>2917</v>
      </c>
      <c r="Z14" s="14" t="s">
        <v>2822</v>
      </c>
      <c r="AA14" s="14" t="s">
        <v>2823</v>
      </c>
      <c r="AB14" s="15">
        <v>1</v>
      </c>
      <c r="AC14" s="11">
        <v>3794</v>
      </c>
      <c r="AD14" s="11">
        <v>151722.06</v>
      </c>
      <c r="AE14" s="16">
        <v>39.99</v>
      </c>
      <c r="AF14" s="17">
        <v>0.6427</v>
      </c>
      <c r="AG14" s="16">
        <v>8.29</v>
      </c>
      <c r="AH14" s="18">
        <v>4.6</v>
      </c>
      <c r="AI14" s="11">
        <v>20287</v>
      </c>
      <c r="AJ14" s="19">
        <v>0.0596</v>
      </c>
      <c r="AK14" s="11">
        <v>226</v>
      </c>
      <c r="AL14" s="20"/>
      <c r="AM14" s="9" t="s">
        <v>947</v>
      </c>
      <c r="AN14" s="9" t="s">
        <v>3339</v>
      </c>
      <c r="AO14" s="21">
        <v>962</v>
      </c>
      <c r="AP14" s="21">
        <v>8</v>
      </c>
      <c r="AQ14" s="21">
        <v>2</v>
      </c>
      <c r="AR14" s="10" t="s">
        <v>3340</v>
      </c>
      <c r="AS14" s="9" t="s">
        <v>1110</v>
      </c>
      <c r="AT14" s="10" t="s">
        <v>3341</v>
      </c>
      <c r="AU14" s="9" t="s">
        <v>997</v>
      </c>
      <c r="AV14" s="22" t="s">
        <v>3342</v>
      </c>
      <c r="AW14" s="22" t="s">
        <v>3343</v>
      </c>
    </row>
    <row r="15" ht="24" customHeight="1" spans="1:49">
      <c r="A15" s="9" t="str">
        <f>_xlfn.DISPIMG("ID_A37A369E939044B69BDC690C0BE2D4F1",1)</f>
        <v>=DISPIMG("ID_A37A369E939044B69BDC690C0BE2D4F1",1)</v>
      </c>
      <c r="B15" s="10" t="s">
        <v>3344</v>
      </c>
      <c r="C15" s="10" t="s">
        <v>3345</v>
      </c>
      <c r="D15" s="10" t="s">
        <v>3346</v>
      </c>
      <c r="E15" s="10" t="s">
        <v>3347</v>
      </c>
      <c r="F15" s="10" t="s">
        <v>3348</v>
      </c>
      <c r="G15" s="10" t="s">
        <v>1238</v>
      </c>
      <c r="H15" s="10" t="s">
        <v>3349</v>
      </c>
      <c r="I15" s="10" t="s">
        <v>3350</v>
      </c>
      <c r="J15" s="9" t="s">
        <v>1003</v>
      </c>
      <c r="K15" s="10" t="s">
        <v>3167</v>
      </c>
      <c r="L15" s="10" t="s">
        <v>851</v>
      </c>
      <c r="M15" s="11">
        <v>2207</v>
      </c>
      <c r="N15" s="12" t="s">
        <v>3168</v>
      </c>
      <c r="O15" s="13" t="s">
        <v>1013</v>
      </c>
      <c r="P15" s="13" t="s">
        <v>2824</v>
      </c>
      <c r="Q15" s="13" t="s">
        <v>3169</v>
      </c>
      <c r="R15" s="13" t="s">
        <v>3170</v>
      </c>
      <c r="S15" s="13" t="s">
        <v>2838</v>
      </c>
      <c r="T15" s="13" t="s">
        <v>3171</v>
      </c>
      <c r="U15" s="13" t="s">
        <v>3188</v>
      </c>
      <c r="V15" s="13" t="s">
        <v>3189</v>
      </c>
      <c r="W15" s="13" t="s">
        <v>2896</v>
      </c>
      <c r="X15" s="14" t="s">
        <v>3218</v>
      </c>
      <c r="Y15" s="14" t="s">
        <v>2831</v>
      </c>
      <c r="Z15" s="14" t="s">
        <v>2865</v>
      </c>
      <c r="AA15" s="14" t="s">
        <v>2823</v>
      </c>
      <c r="AB15" s="15">
        <v>1</v>
      </c>
      <c r="AC15" s="11">
        <v>3351</v>
      </c>
      <c r="AD15" s="11">
        <v>117251.49</v>
      </c>
      <c r="AE15" s="16">
        <v>34.99</v>
      </c>
      <c r="AF15" s="17">
        <v>0.5119</v>
      </c>
      <c r="AG15" s="16">
        <v>11.83</v>
      </c>
      <c r="AH15" s="18">
        <v>4.5</v>
      </c>
      <c r="AI15" s="11">
        <v>5649</v>
      </c>
      <c r="AJ15" s="19">
        <v>0.5383</v>
      </c>
      <c r="AK15" s="11">
        <v>1804</v>
      </c>
      <c r="AL15" s="20"/>
      <c r="AM15" s="9" t="s">
        <v>854</v>
      </c>
      <c r="AN15" s="9" t="s">
        <v>966</v>
      </c>
      <c r="AO15" s="21">
        <v>906</v>
      </c>
      <c r="AP15" s="21">
        <v>2</v>
      </c>
      <c r="AQ15" s="21">
        <v>16</v>
      </c>
      <c r="AR15" s="10" t="s">
        <v>1515</v>
      </c>
      <c r="AS15" s="9" t="s">
        <v>1110</v>
      </c>
      <c r="AT15" s="10" t="s">
        <v>3351</v>
      </c>
      <c r="AU15" s="9" t="s">
        <v>1516</v>
      </c>
      <c r="AV15" s="22" t="s">
        <v>3352</v>
      </c>
      <c r="AW15" s="22" t="s">
        <v>3353</v>
      </c>
    </row>
    <row r="16" ht="24" customHeight="1" spans="1:49">
      <c r="A16" s="9" t="str">
        <f>_xlfn.DISPIMG("ID_A424EA98A20943BB9B4A97BF96D50B26",1)</f>
        <v>=DISPIMG("ID_A424EA98A20943BB9B4A97BF96D50B26",1)</v>
      </c>
      <c r="B16" s="10" t="s">
        <v>3354</v>
      </c>
      <c r="C16" s="10" t="s">
        <v>3355</v>
      </c>
      <c r="D16" s="10" t="s">
        <v>3356</v>
      </c>
      <c r="E16" s="10" t="s">
        <v>3357</v>
      </c>
      <c r="F16" s="10" t="s">
        <v>3358</v>
      </c>
      <c r="G16" s="10" t="s">
        <v>1069</v>
      </c>
      <c r="H16" s="10" t="s">
        <v>3359</v>
      </c>
      <c r="I16" s="10" t="s">
        <v>3360</v>
      </c>
      <c r="J16" s="9" t="s">
        <v>1012</v>
      </c>
      <c r="K16" s="10" t="s">
        <v>3167</v>
      </c>
      <c r="L16" s="10" t="s">
        <v>851</v>
      </c>
      <c r="M16" s="11">
        <v>2413</v>
      </c>
      <c r="N16" s="12" t="s">
        <v>3168</v>
      </c>
      <c r="O16" s="13" t="s">
        <v>994</v>
      </c>
      <c r="P16" s="13" t="s">
        <v>2986</v>
      </c>
      <c r="Q16" s="13" t="s">
        <v>3169</v>
      </c>
      <c r="R16" s="13" t="s">
        <v>3170</v>
      </c>
      <c r="S16" s="694" t="s">
        <v>2950</v>
      </c>
      <c r="T16" s="13" t="s">
        <v>3171</v>
      </c>
      <c r="U16" s="13" t="s">
        <v>3172</v>
      </c>
      <c r="V16" s="13" t="s">
        <v>3281</v>
      </c>
      <c r="W16" s="13" t="s">
        <v>3174</v>
      </c>
      <c r="X16" s="14" t="s">
        <v>3361</v>
      </c>
      <c r="Y16" s="14" t="s">
        <v>2883</v>
      </c>
      <c r="Z16" s="14" t="s">
        <v>2865</v>
      </c>
      <c r="AA16" s="14" t="s">
        <v>2823</v>
      </c>
      <c r="AB16" s="15">
        <v>1</v>
      </c>
      <c r="AC16" s="11">
        <v>4073</v>
      </c>
      <c r="AD16" s="11">
        <v>77346.266</v>
      </c>
      <c r="AE16" s="16">
        <v>18.99</v>
      </c>
      <c r="AF16" s="17">
        <v>0.4556</v>
      </c>
      <c r="AG16" s="16">
        <v>7.49</v>
      </c>
      <c r="AH16" s="18">
        <v>4</v>
      </c>
      <c r="AI16" s="11">
        <v>2613</v>
      </c>
      <c r="AJ16" s="19">
        <v>0</v>
      </c>
      <c r="AK16" s="11">
        <v>0</v>
      </c>
      <c r="AL16" s="20"/>
      <c r="AM16" s="9" t="s">
        <v>947</v>
      </c>
      <c r="AN16" s="9" t="s">
        <v>3362</v>
      </c>
      <c r="AO16" s="21">
        <v>287</v>
      </c>
      <c r="AP16" s="21">
        <v>2</v>
      </c>
      <c r="AQ16" s="21">
        <v>9</v>
      </c>
      <c r="AR16" s="10" t="s">
        <v>1515</v>
      </c>
      <c r="AS16" s="9" t="s">
        <v>65</v>
      </c>
      <c r="AT16" s="10" t="s">
        <v>65</v>
      </c>
      <c r="AU16" s="9" t="s">
        <v>1516</v>
      </c>
      <c r="AV16" s="22" t="s">
        <v>2312</v>
      </c>
      <c r="AW16" s="22" t="s">
        <v>3363</v>
      </c>
    </row>
    <row r="17" ht="24" customHeight="1" spans="1:49">
      <c r="A17" s="9" t="str">
        <f>_xlfn.DISPIMG("ID_AB374FBA98F04975B520C6B84D8E6772",1)</f>
        <v>=DISPIMG("ID_AB374FBA98F04975B520C6B84D8E6772",1)</v>
      </c>
      <c r="B17" s="10" t="s">
        <v>3364</v>
      </c>
      <c r="C17" s="10" t="s">
        <v>3365</v>
      </c>
      <c r="D17" s="10" t="s">
        <v>3366</v>
      </c>
      <c r="E17" s="10" t="s">
        <v>3367</v>
      </c>
      <c r="F17" s="10" t="s">
        <v>3368</v>
      </c>
      <c r="G17" s="10" t="s">
        <v>1932</v>
      </c>
      <c r="H17" s="10" t="s">
        <v>3369</v>
      </c>
      <c r="I17" s="10" t="s">
        <v>3370</v>
      </c>
      <c r="J17" s="9" t="s">
        <v>65</v>
      </c>
      <c r="K17" s="10" t="s">
        <v>3167</v>
      </c>
      <c r="L17" s="10" t="s">
        <v>851</v>
      </c>
      <c r="M17" s="11">
        <v>2520</v>
      </c>
      <c r="N17" s="12" t="s">
        <v>3168</v>
      </c>
      <c r="O17" s="13" t="s">
        <v>3371</v>
      </c>
      <c r="P17" s="13" t="s">
        <v>3372</v>
      </c>
      <c r="Q17" s="13" t="s">
        <v>3169</v>
      </c>
      <c r="R17" s="13" t="s">
        <v>3170</v>
      </c>
      <c r="S17" s="694" t="s">
        <v>2838</v>
      </c>
      <c r="T17" s="13" t="s">
        <v>3203</v>
      </c>
      <c r="U17" s="13" t="s">
        <v>3172</v>
      </c>
      <c r="V17" s="13" t="s">
        <v>3373</v>
      </c>
      <c r="W17" s="13" t="s">
        <v>2889</v>
      </c>
      <c r="X17" s="14" t="s">
        <v>3190</v>
      </c>
      <c r="Y17" s="14" t="s">
        <v>2883</v>
      </c>
      <c r="Z17" s="14" t="s">
        <v>2822</v>
      </c>
      <c r="AA17" s="14" t="s">
        <v>2934</v>
      </c>
      <c r="AB17" s="15">
        <v>1</v>
      </c>
      <c r="AC17" s="11">
        <v>3178</v>
      </c>
      <c r="AD17" s="11">
        <v>79418.22</v>
      </c>
      <c r="AE17" s="16">
        <v>24.99</v>
      </c>
      <c r="AF17" s="17">
        <v>0.5439</v>
      </c>
      <c r="AG17" s="16">
        <v>7.65</v>
      </c>
      <c r="AH17" s="18">
        <v>4.6</v>
      </c>
      <c r="AI17" s="11">
        <v>30</v>
      </c>
      <c r="AJ17" s="19">
        <v>0.0091</v>
      </c>
      <c r="AK17" s="11">
        <v>29</v>
      </c>
      <c r="AL17" s="20"/>
      <c r="AM17" s="9" t="s">
        <v>65</v>
      </c>
      <c r="AN17" s="9" t="s">
        <v>3374</v>
      </c>
      <c r="AO17" s="21">
        <v>289</v>
      </c>
      <c r="AP17" s="21">
        <v>12</v>
      </c>
      <c r="AQ17" s="21">
        <v>1</v>
      </c>
      <c r="AR17" s="10" t="s">
        <v>1515</v>
      </c>
      <c r="AS17" s="9" t="s">
        <v>65</v>
      </c>
      <c r="AT17" s="10" t="s">
        <v>65</v>
      </c>
      <c r="AU17" s="9" t="s">
        <v>1516</v>
      </c>
      <c r="AV17" s="22" t="s">
        <v>3375</v>
      </c>
      <c r="AW17" s="22" t="s">
        <v>3376</v>
      </c>
    </row>
    <row r="18" ht="24" customHeight="1" spans="1:49">
      <c r="A18" s="9" t="str">
        <f>_xlfn.DISPIMG("ID_2475BE765A434A1EAD7F5B27A7AE0E18",1)</f>
        <v>=DISPIMG("ID_2475BE765A434A1EAD7F5B27A7AE0E18",1)</v>
      </c>
      <c r="B18" s="10" t="s">
        <v>3377</v>
      </c>
      <c r="C18" s="10" t="s">
        <v>3378</v>
      </c>
      <c r="D18" s="10" t="s">
        <v>3379</v>
      </c>
      <c r="E18" s="10" t="s">
        <v>3380</v>
      </c>
      <c r="F18" s="10" t="s">
        <v>3381</v>
      </c>
      <c r="G18" s="10" t="s">
        <v>3199</v>
      </c>
      <c r="H18" s="10" t="s">
        <v>3382</v>
      </c>
      <c r="I18" s="10" t="s">
        <v>3383</v>
      </c>
      <c r="J18" s="9" t="s">
        <v>934</v>
      </c>
      <c r="K18" s="10" t="s">
        <v>3167</v>
      </c>
      <c r="L18" s="10" t="s">
        <v>851</v>
      </c>
      <c r="M18" s="11">
        <v>2782</v>
      </c>
      <c r="N18" s="12" t="s">
        <v>3168</v>
      </c>
      <c r="O18" s="13" t="s">
        <v>3384</v>
      </c>
      <c r="P18" s="13" t="s">
        <v>2809</v>
      </c>
      <c r="Q18" s="13" t="s">
        <v>3216</v>
      </c>
      <c r="R18" s="13" t="s">
        <v>3170</v>
      </c>
      <c r="S18" s="13" t="s">
        <v>2838</v>
      </c>
      <c r="T18" s="13" t="s">
        <v>3203</v>
      </c>
      <c r="U18" s="13" t="s">
        <v>3172</v>
      </c>
      <c r="V18" s="13" t="s">
        <v>3189</v>
      </c>
      <c r="W18" s="13" t="s">
        <v>2889</v>
      </c>
      <c r="X18" s="14" t="s">
        <v>3296</v>
      </c>
      <c r="Y18" s="14" t="s">
        <v>2821</v>
      </c>
      <c r="Z18" s="14" t="s">
        <v>2822</v>
      </c>
      <c r="AA18" s="14" t="s">
        <v>2823</v>
      </c>
      <c r="AB18" s="15">
        <v>1</v>
      </c>
      <c r="AC18" s="11">
        <v>2184</v>
      </c>
      <c r="AD18" s="11">
        <v>90395.76</v>
      </c>
      <c r="AE18" s="16">
        <v>41.39</v>
      </c>
      <c r="AF18" s="17">
        <v>0.5033</v>
      </c>
      <c r="AG18" s="16">
        <v>14.35</v>
      </c>
      <c r="AH18" s="18">
        <v>4.6</v>
      </c>
      <c r="AI18" s="11">
        <v>9437</v>
      </c>
      <c r="AJ18" s="19">
        <v>0.0279</v>
      </c>
      <c r="AK18" s="11">
        <v>61</v>
      </c>
      <c r="AL18" s="20"/>
      <c r="AM18" s="9" t="s">
        <v>854</v>
      </c>
      <c r="AN18" s="9" t="s">
        <v>3385</v>
      </c>
      <c r="AO18" s="21">
        <v>4354</v>
      </c>
      <c r="AP18" s="21">
        <v>2</v>
      </c>
      <c r="AQ18" s="21">
        <v>30</v>
      </c>
      <c r="AR18" s="10" t="s">
        <v>1515</v>
      </c>
      <c r="AS18" s="9" t="s">
        <v>1110</v>
      </c>
      <c r="AT18" s="10" t="s">
        <v>3386</v>
      </c>
      <c r="AU18" s="9" t="s">
        <v>1516</v>
      </c>
      <c r="AV18" s="22" t="s">
        <v>3387</v>
      </c>
      <c r="AW18" s="22" t="s">
        <v>3388</v>
      </c>
    </row>
    <row r="19" ht="24" customHeight="1" spans="1:49">
      <c r="A19" s="9" t="str">
        <f>_xlfn.DISPIMG("ID_BE519968817F4152A2FF519A5D9E46A5",1)</f>
        <v>=DISPIMG("ID_BE519968817F4152A2FF519A5D9E46A5",1)</v>
      </c>
      <c r="B19" s="10" t="s">
        <v>3389</v>
      </c>
      <c r="C19" s="10" t="s">
        <v>3389</v>
      </c>
      <c r="D19" s="10" t="s">
        <v>65</v>
      </c>
      <c r="E19" s="10" t="s">
        <v>3390</v>
      </c>
      <c r="F19" s="10" t="s">
        <v>3391</v>
      </c>
      <c r="G19" s="10" t="s">
        <v>1189</v>
      </c>
      <c r="H19" s="10" t="s">
        <v>3392</v>
      </c>
      <c r="I19" s="10" t="s">
        <v>3393</v>
      </c>
      <c r="J19" s="9" t="s">
        <v>974</v>
      </c>
      <c r="K19" s="10" t="s">
        <v>3167</v>
      </c>
      <c r="L19" s="10" t="s">
        <v>851</v>
      </c>
      <c r="M19" s="11">
        <v>2784</v>
      </c>
      <c r="N19" s="12" t="s">
        <v>3168</v>
      </c>
      <c r="O19" s="13" t="s">
        <v>3394</v>
      </c>
      <c r="P19" s="13" t="s">
        <v>2809</v>
      </c>
      <c r="Q19" s="13" t="s">
        <v>3169</v>
      </c>
      <c r="R19" s="13" t="s">
        <v>3170</v>
      </c>
      <c r="S19" s="13" t="s">
        <v>3187</v>
      </c>
      <c r="T19" s="13" t="s">
        <v>3171</v>
      </c>
      <c r="U19" s="13" t="s">
        <v>3172</v>
      </c>
      <c r="V19" s="13" t="s">
        <v>3281</v>
      </c>
      <c r="W19" s="13" t="s">
        <v>3174</v>
      </c>
      <c r="X19" s="14" t="s">
        <v>3175</v>
      </c>
      <c r="Y19" s="14" t="s">
        <v>2821</v>
      </c>
      <c r="Z19" s="14" t="s">
        <v>2865</v>
      </c>
      <c r="AA19" s="14" t="s">
        <v>2823</v>
      </c>
      <c r="AB19" s="15">
        <v>1</v>
      </c>
      <c r="AC19" s="11">
        <v>2990</v>
      </c>
      <c r="AD19" s="11">
        <v>80700.1</v>
      </c>
      <c r="AE19" s="16">
        <v>26.99</v>
      </c>
      <c r="AF19" s="17">
        <v>0.5547</v>
      </c>
      <c r="AG19" s="16">
        <v>7.97</v>
      </c>
      <c r="AH19" s="18">
        <v>4.3</v>
      </c>
      <c r="AI19" s="11">
        <v>1268</v>
      </c>
      <c r="AJ19" s="19">
        <v>0.0224</v>
      </c>
      <c r="AK19" s="11">
        <v>67</v>
      </c>
      <c r="AL19" s="20"/>
      <c r="AM19" s="9" t="s">
        <v>947</v>
      </c>
      <c r="AN19" s="9" t="s">
        <v>3395</v>
      </c>
      <c r="AO19" s="21">
        <v>3152</v>
      </c>
      <c r="AP19" s="21">
        <v>1</v>
      </c>
      <c r="AQ19" s="21">
        <v>12</v>
      </c>
      <c r="AR19" s="10" t="s">
        <v>1515</v>
      </c>
      <c r="AS19" s="9" t="s">
        <v>1110</v>
      </c>
      <c r="AT19" s="10" t="s">
        <v>3396</v>
      </c>
      <c r="AU19" s="9" t="s">
        <v>1516</v>
      </c>
      <c r="AV19" s="22" t="s">
        <v>3397</v>
      </c>
      <c r="AW19" s="22" t="s">
        <v>3398</v>
      </c>
    </row>
    <row r="20" ht="24" customHeight="1" spans="1:49">
      <c r="A20" s="9" t="str">
        <f>_xlfn.DISPIMG("ID_A049CCC610ED4E3DAAD0CAAAB174D02D",1)</f>
        <v>=DISPIMG("ID_A049CCC610ED4E3DAAD0CAAAB174D02D",1)</v>
      </c>
      <c r="B20" s="10" t="s">
        <v>3399</v>
      </c>
      <c r="C20" s="10" t="s">
        <v>3399</v>
      </c>
      <c r="D20" s="10" t="s">
        <v>65</v>
      </c>
      <c r="E20" s="10" t="s">
        <v>3400</v>
      </c>
      <c r="F20" s="10" t="s">
        <v>3401</v>
      </c>
      <c r="G20" s="10" t="s">
        <v>1069</v>
      </c>
      <c r="H20" s="10" t="s">
        <v>3402</v>
      </c>
      <c r="I20" s="10" t="s">
        <v>3403</v>
      </c>
      <c r="J20" s="9" t="s">
        <v>893</v>
      </c>
      <c r="K20" s="10" t="s">
        <v>3167</v>
      </c>
      <c r="L20" s="10" t="s">
        <v>851</v>
      </c>
      <c r="M20" s="11">
        <v>2803</v>
      </c>
      <c r="N20" s="12" t="s">
        <v>3168</v>
      </c>
      <c r="O20" s="13" t="s">
        <v>1043</v>
      </c>
      <c r="P20" s="13" t="s">
        <v>2986</v>
      </c>
      <c r="Q20" s="13" t="s">
        <v>3169</v>
      </c>
      <c r="R20" s="13" t="s">
        <v>3170</v>
      </c>
      <c r="S20" s="13" t="s">
        <v>3404</v>
      </c>
      <c r="T20" s="13" t="s">
        <v>3171</v>
      </c>
      <c r="U20" s="13" t="s">
        <v>3172</v>
      </c>
      <c r="V20" s="13" t="s">
        <v>3281</v>
      </c>
      <c r="W20" s="13" t="s">
        <v>3174</v>
      </c>
      <c r="X20" s="14" t="s">
        <v>3361</v>
      </c>
      <c r="Y20" s="14" t="s">
        <v>2831</v>
      </c>
      <c r="Z20" s="14" t="s">
        <v>2865</v>
      </c>
      <c r="AA20" s="14" t="s">
        <v>2823</v>
      </c>
      <c r="AB20" s="15">
        <v>1</v>
      </c>
      <c r="AC20" s="11">
        <v>8141</v>
      </c>
      <c r="AD20" s="11">
        <v>138315.6</v>
      </c>
      <c r="AE20" s="16">
        <v>16.99</v>
      </c>
      <c r="AF20" s="17">
        <v>0.4092</v>
      </c>
      <c r="AG20" s="16">
        <v>7.49</v>
      </c>
      <c r="AH20" s="18">
        <v>4.1</v>
      </c>
      <c r="AI20" s="11">
        <v>4816</v>
      </c>
      <c r="AJ20" s="19">
        <v>0</v>
      </c>
      <c r="AK20" s="11">
        <v>0</v>
      </c>
      <c r="AL20" s="20"/>
      <c r="AM20" s="9" t="s">
        <v>854</v>
      </c>
      <c r="AN20" s="9" t="s">
        <v>3405</v>
      </c>
      <c r="AO20" s="21">
        <v>1739</v>
      </c>
      <c r="AP20" s="21">
        <v>1</v>
      </c>
      <c r="AQ20" s="21">
        <v>4</v>
      </c>
      <c r="AR20" s="10" t="s">
        <v>1515</v>
      </c>
      <c r="AS20" s="9" t="s">
        <v>1110</v>
      </c>
      <c r="AT20" s="10" t="s">
        <v>3406</v>
      </c>
      <c r="AU20" s="9" t="s">
        <v>1516</v>
      </c>
      <c r="AV20" s="22" t="s">
        <v>3407</v>
      </c>
      <c r="AW20" s="22" t="s">
        <v>3408</v>
      </c>
    </row>
    <row r="21" ht="24" customHeight="1" spans="1:49">
      <c r="A21" s="9" t="str">
        <f>_xlfn.DISPIMG("ID_C95ED275B607438A8AE4396126F33619",1)</f>
        <v>=DISPIMG("ID_C95ED275B607438A8AE4396126F33619",1)</v>
      </c>
      <c r="B21" s="10" t="s">
        <v>3409</v>
      </c>
      <c r="C21" s="10" t="s">
        <v>3410</v>
      </c>
      <c r="D21" s="10" t="s">
        <v>3411</v>
      </c>
      <c r="E21" s="10" t="s">
        <v>3412</v>
      </c>
      <c r="F21" s="10" t="s">
        <v>3413</v>
      </c>
      <c r="G21" s="10" t="s">
        <v>1660</v>
      </c>
      <c r="H21" s="10" t="s">
        <v>3414</v>
      </c>
      <c r="I21" s="10" t="s">
        <v>3415</v>
      </c>
      <c r="J21" s="9" t="s">
        <v>934</v>
      </c>
      <c r="K21" s="10" t="s">
        <v>3167</v>
      </c>
      <c r="L21" s="10" t="s">
        <v>851</v>
      </c>
      <c r="M21" s="11">
        <v>2916</v>
      </c>
      <c r="N21" s="12" t="s">
        <v>3168</v>
      </c>
      <c r="O21" s="13" t="s">
        <v>1062</v>
      </c>
      <c r="P21" s="13" t="s">
        <v>2852</v>
      </c>
      <c r="Q21" s="13" t="s">
        <v>3216</v>
      </c>
      <c r="R21" s="13" t="s">
        <v>3416</v>
      </c>
      <c r="S21" s="13" t="s">
        <v>3417</v>
      </c>
      <c r="T21" s="13" t="s">
        <v>3203</v>
      </c>
      <c r="U21" s="13" t="s">
        <v>3188</v>
      </c>
      <c r="V21" s="13" t="s">
        <v>3189</v>
      </c>
      <c r="W21" s="13" t="s">
        <v>2896</v>
      </c>
      <c r="X21" s="14" t="s">
        <v>3418</v>
      </c>
      <c r="Y21" s="14" t="s">
        <v>2831</v>
      </c>
      <c r="Z21" s="14" t="s">
        <v>2865</v>
      </c>
      <c r="AA21" s="14" t="s">
        <v>2823</v>
      </c>
      <c r="AB21" s="15">
        <v>1</v>
      </c>
      <c r="AC21" s="11">
        <v>2391</v>
      </c>
      <c r="AD21" s="11">
        <v>167346.08</v>
      </c>
      <c r="AE21" s="16">
        <v>69.99</v>
      </c>
      <c r="AF21" s="17">
        <v>0.7156</v>
      </c>
      <c r="AG21" s="16">
        <v>9.41</v>
      </c>
      <c r="AH21" s="18">
        <v>4.5</v>
      </c>
      <c r="AI21" s="11">
        <v>2010</v>
      </c>
      <c r="AJ21" s="19">
        <v>0.0402</v>
      </c>
      <c r="AK21" s="11">
        <v>96</v>
      </c>
      <c r="AL21" s="20"/>
      <c r="AM21" s="9" t="s">
        <v>947</v>
      </c>
      <c r="AN21" s="9" t="s">
        <v>3419</v>
      </c>
      <c r="AO21" s="21">
        <v>676</v>
      </c>
      <c r="AP21" s="21">
        <v>4</v>
      </c>
      <c r="AQ21" s="21">
        <v>9</v>
      </c>
      <c r="AR21" s="10" t="s">
        <v>3420</v>
      </c>
      <c r="AS21" s="9" t="s">
        <v>1288</v>
      </c>
      <c r="AT21" s="10" t="s">
        <v>3421</v>
      </c>
      <c r="AU21" s="9" t="s">
        <v>997</v>
      </c>
      <c r="AV21" s="22" t="s">
        <v>3422</v>
      </c>
      <c r="AW21" s="22" t="s">
        <v>3423</v>
      </c>
    </row>
    <row r="22" ht="24" customHeight="1" spans="1:49">
      <c r="A22" s="9" t="str">
        <f>_xlfn.DISPIMG("ID_12C91583ABA24F90A9405B266086B9F0",1)</f>
        <v>=DISPIMG("ID_12C91583ABA24F90A9405B266086B9F0",1)</v>
      </c>
      <c r="B22" s="10" t="s">
        <v>3424</v>
      </c>
      <c r="C22" s="10" t="s">
        <v>3424</v>
      </c>
      <c r="D22" s="10" t="s">
        <v>65</v>
      </c>
      <c r="E22" s="10" t="s">
        <v>3425</v>
      </c>
      <c r="F22" s="10" t="s">
        <v>3426</v>
      </c>
      <c r="G22" s="10" t="s">
        <v>3427</v>
      </c>
      <c r="H22" s="10" t="s">
        <v>3428</v>
      </c>
      <c r="I22" s="10" t="s">
        <v>3429</v>
      </c>
      <c r="J22" s="9" t="s">
        <v>893</v>
      </c>
      <c r="K22" s="10" t="s">
        <v>3167</v>
      </c>
      <c r="L22" s="10" t="s">
        <v>851</v>
      </c>
      <c r="M22" s="11">
        <v>3001</v>
      </c>
      <c r="N22" s="12" t="s">
        <v>3168</v>
      </c>
      <c r="O22" s="13" t="s">
        <v>1072</v>
      </c>
      <c r="P22" s="13" t="s">
        <v>2881</v>
      </c>
      <c r="Q22" s="13" t="s">
        <v>3430</v>
      </c>
      <c r="R22" s="13" t="s">
        <v>3170</v>
      </c>
      <c r="S22" s="13" t="s">
        <v>3431</v>
      </c>
      <c r="T22" s="13" t="s">
        <v>3432</v>
      </c>
      <c r="U22" s="13" t="s">
        <v>3172</v>
      </c>
      <c r="V22" s="13" t="s">
        <v>3268</v>
      </c>
      <c r="W22" s="13" t="s">
        <v>3174</v>
      </c>
      <c r="X22" s="14" t="s">
        <v>3433</v>
      </c>
      <c r="Y22" s="14" t="s">
        <v>2883</v>
      </c>
      <c r="Z22" s="14" t="s">
        <v>2865</v>
      </c>
      <c r="AA22" s="14" t="s">
        <v>2940</v>
      </c>
      <c r="AB22" s="15">
        <v>1</v>
      </c>
      <c r="AC22" s="11">
        <v>2357</v>
      </c>
      <c r="AD22" s="11">
        <v>23522.86</v>
      </c>
      <c r="AE22" s="16">
        <v>9.98</v>
      </c>
      <c r="AF22" s="17">
        <v>0.0995</v>
      </c>
      <c r="AG22" s="16">
        <v>7.49</v>
      </c>
      <c r="AH22" s="18">
        <v>4.5</v>
      </c>
      <c r="AI22" s="11">
        <v>268</v>
      </c>
      <c r="AJ22" s="19">
        <v>0</v>
      </c>
      <c r="AK22" s="11">
        <v>0</v>
      </c>
      <c r="AL22" s="20"/>
      <c r="AM22" s="9" t="s">
        <v>854</v>
      </c>
      <c r="AN22" s="9" t="s">
        <v>3434</v>
      </c>
      <c r="AO22" s="21">
        <v>329</v>
      </c>
      <c r="AP22" s="21">
        <v>1</v>
      </c>
      <c r="AQ22" s="21">
        <v>7</v>
      </c>
      <c r="AR22" s="10" t="s">
        <v>1515</v>
      </c>
      <c r="AS22" s="9" t="s">
        <v>1110</v>
      </c>
      <c r="AT22" s="10" t="s">
        <v>3435</v>
      </c>
      <c r="AU22" s="9" t="s">
        <v>1516</v>
      </c>
      <c r="AV22" s="22" t="s">
        <v>3436</v>
      </c>
      <c r="AW22" s="22" t="s">
        <v>3437</v>
      </c>
    </row>
    <row r="23" ht="24" customHeight="1" spans="1:49">
      <c r="A23" s="9" t="str">
        <f>_xlfn.DISPIMG("ID_8E1A98F4D5F44828B92C7B8D8A78F98B",1)</f>
        <v>=DISPIMG("ID_8E1A98F4D5F44828B92C7B8D8A78F98B",1)</v>
      </c>
      <c r="B23" s="10" t="s">
        <v>3438</v>
      </c>
      <c r="C23" s="10" t="s">
        <v>3439</v>
      </c>
      <c r="D23" s="10" t="s">
        <v>3440</v>
      </c>
      <c r="E23" s="10" t="s">
        <v>3441</v>
      </c>
      <c r="F23" s="10" t="s">
        <v>3442</v>
      </c>
      <c r="G23" s="10" t="s">
        <v>3291</v>
      </c>
      <c r="H23" s="10" t="s">
        <v>3443</v>
      </c>
      <c r="I23" s="10" t="s">
        <v>3444</v>
      </c>
      <c r="J23" s="9" t="s">
        <v>934</v>
      </c>
      <c r="K23" s="10" t="s">
        <v>3167</v>
      </c>
      <c r="L23" s="10" t="s">
        <v>851</v>
      </c>
      <c r="M23" s="11">
        <v>3241</v>
      </c>
      <c r="N23" s="12" t="s">
        <v>3168</v>
      </c>
      <c r="O23" s="13" t="s">
        <v>1087</v>
      </c>
      <c r="P23" s="13" t="s">
        <v>3295</v>
      </c>
      <c r="Q23" s="13" t="s">
        <v>3216</v>
      </c>
      <c r="R23" s="13" t="s">
        <v>3170</v>
      </c>
      <c r="S23" s="13" t="s">
        <v>2814</v>
      </c>
      <c r="T23" s="13" t="s">
        <v>3203</v>
      </c>
      <c r="U23" s="13" t="s">
        <v>3188</v>
      </c>
      <c r="V23" s="13" t="s">
        <v>3173</v>
      </c>
      <c r="W23" s="13" t="s">
        <v>2896</v>
      </c>
      <c r="X23" s="14" t="s">
        <v>3445</v>
      </c>
      <c r="Y23" s="14" t="s">
        <v>2867</v>
      </c>
      <c r="Z23" s="14" t="s">
        <v>2822</v>
      </c>
      <c r="AA23" s="14" t="s">
        <v>2823</v>
      </c>
      <c r="AB23" s="15">
        <v>1</v>
      </c>
      <c r="AC23" s="11">
        <v>2174</v>
      </c>
      <c r="AD23" s="11">
        <v>130418.266</v>
      </c>
      <c r="AE23" s="16">
        <v>59.99</v>
      </c>
      <c r="AF23" s="17">
        <v>0.6931</v>
      </c>
      <c r="AG23" s="16">
        <v>9.41</v>
      </c>
      <c r="AH23" s="18">
        <v>4.6</v>
      </c>
      <c r="AI23" s="11">
        <v>1350</v>
      </c>
      <c r="AJ23" s="19">
        <v>0.0423</v>
      </c>
      <c r="AK23" s="11">
        <v>92</v>
      </c>
      <c r="AL23" s="20"/>
      <c r="AM23" s="9" t="s">
        <v>854</v>
      </c>
      <c r="AN23" s="9" t="s">
        <v>3446</v>
      </c>
      <c r="AO23" s="21">
        <v>437</v>
      </c>
      <c r="AP23" s="21">
        <v>4</v>
      </c>
      <c r="AQ23" s="21">
        <v>3</v>
      </c>
      <c r="AR23" s="10" t="s">
        <v>3447</v>
      </c>
      <c r="AS23" s="9" t="s">
        <v>1288</v>
      </c>
      <c r="AT23" s="10" t="s">
        <v>3448</v>
      </c>
      <c r="AU23" s="9" t="s">
        <v>997</v>
      </c>
      <c r="AV23" s="22" t="s">
        <v>3449</v>
      </c>
      <c r="AW23" s="22" t="s">
        <v>3450</v>
      </c>
    </row>
    <row r="24" ht="24" customHeight="1" spans="1:49">
      <c r="A24" s="9" t="str">
        <f>_xlfn.DISPIMG("ID_E107A986F7944704A1ACA09B647D27E6",1)</f>
        <v>=DISPIMG("ID_E107A986F7944704A1ACA09B647D27E6",1)</v>
      </c>
      <c r="B24" s="10" t="s">
        <v>3451</v>
      </c>
      <c r="C24" s="10" t="s">
        <v>3452</v>
      </c>
      <c r="D24" s="10" t="s">
        <v>3453</v>
      </c>
      <c r="E24" s="10" t="s">
        <v>3454</v>
      </c>
      <c r="F24" s="10" t="s">
        <v>3455</v>
      </c>
      <c r="G24" s="10" t="s">
        <v>3456</v>
      </c>
      <c r="H24" s="10" t="s">
        <v>3457</v>
      </c>
      <c r="I24" s="10" t="s">
        <v>3458</v>
      </c>
      <c r="J24" s="9" t="s">
        <v>934</v>
      </c>
      <c r="K24" s="10" t="s">
        <v>3167</v>
      </c>
      <c r="L24" s="10" t="s">
        <v>851</v>
      </c>
      <c r="M24" s="11">
        <v>3332</v>
      </c>
      <c r="N24" s="12" t="s">
        <v>3168</v>
      </c>
      <c r="O24" s="13" t="s">
        <v>1155</v>
      </c>
      <c r="P24" s="13" t="s">
        <v>3459</v>
      </c>
      <c r="Q24" s="13" t="s">
        <v>3169</v>
      </c>
      <c r="R24" s="13" t="s">
        <v>3170</v>
      </c>
      <c r="S24" s="13" t="s">
        <v>3187</v>
      </c>
      <c r="T24" s="13" t="s">
        <v>3171</v>
      </c>
      <c r="U24" s="13" t="s">
        <v>3172</v>
      </c>
      <c r="V24" s="13" t="s">
        <v>3217</v>
      </c>
      <c r="W24" s="13" t="s">
        <v>3174</v>
      </c>
      <c r="X24" s="14" t="s">
        <v>3175</v>
      </c>
      <c r="Y24" s="14" t="s">
        <v>2821</v>
      </c>
      <c r="Z24" s="14" t="s">
        <v>2822</v>
      </c>
      <c r="AA24" s="14" t="s">
        <v>2823</v>
      </c>
      <c r="AB24" s="15">
        <v>1</v>
      </c>
      <c r="AC24" s="11">
        <v>2539</v>
      </c>
      <c r="AD24" s="11">
        <v>65988.61</v>
      </c>
      <c r="AE24" s="16">
        <v>25.99</v>
      </c>
      <c r="AF24" s="17">
        <v>0.5557</v>
      </c>
      <c r="AG24" s="16">
        <v>7.65</v>
      </c>
      <c r="AH24" s="18">
        <v>4.6</v>
      </c>
      <c r="AI24" s="11">
        <v>7182</v>
      </c>
      <c r="AJ24" s="19">
        <v>0.0457</v>
      </c>
      <c r="AK24" s="11">
        <v>116</v>
      </c>
      <c r="AL24" s="20"/>
      <c r="AM24" s="9" t="s">
        <v>854</v>
      </c>
      <c r="AN24" s="9" t="s">
        <v>3460</v>
      </c>
      <c r="AO24" s="21">
        <v>1250</v>
      </c>
      <c r="AP24" s="21">
        <v>4</v>
      </c>
      <c r="AQ24" s="21">
        <v>4</v>
      </c>
      <c r="AR24" s="10" t="s">
        <v>3461</v>
      </c>
      <c r="AS24" s="9" t="s">
        <v>1288</v>
      </c>
      <c r="AT24" s="10" t="s">
        <v>3462</v>
      </c>
      <c r="AU24" s="9" t="s">
        <v>997</v>
      </c>
      <c r="AV24" s="22" t="s">
        <v>3463</v>
      </c>
      <c r="AW24" s="22" t="s">
        <v>3464</v>
      </c>
    </row>
    <row r="25" ht="24" customHeight="1" spans="1:49">
      <c r="A25" s="9" t="str">
        <f>_xlfn.DISPIMG("ID_F1A68AA8A50E47E1B6FDFF36654E882D",1)</f>
        <v>=DISPIMG("ID_F1A68AA8A50E47E1B6FDFF36654E882D",1)</v>
      </c>
      <c r="B25" s="10" t="s">
        <v>3465</v>
      </c>
      <c r="C25" s="10" t="s">
        <v>3466</v>
      </c>
      <c r="D25" s="10" t="s">
        <v>3467</v>
      </c>
      <c r="E25" s="10" t="s">
        <v>3468</v>
      </c>
      <c r="F25" s="10" t="s">
        <v>3469</v>
      </c>
      <c r="G25" s="10" t="s">
        <v>3470</v>
      </c>
      <c r="H25" s="10" t="s">
        <v>3471</v>
      </c>
      <c r="I25" s="10" t="s">
        <v>3472</v>
      </c>
      <c r="J25" s="9" t="s">
        <v>1384</v>
      </c>
      <c r="K25" s="10" t="s">
        <v>3167</v>
      </c>
      <c r="L25" s="10" t="s">
        <v>851</v>
      </c>
      <c r="M25" s="11">
        <v>3413</v>
      </c>
      <c r="N25" s="12" t="s">
        <v>3168</v>
      </c>
      <c r="O25" s="13" t="s">
        <v>1107</v>
      </c>
      <c r="P25" s="13" t="s">
        <v>2852</v>
      </c>
      <c r="Q25" s="13" t="s">
        <v>3169</v>
      </c>
      <c r="R25" s="13" t="s">
        <v>3416</v>
      </c>
      <c r="S25" s="13" t="s">
        <v>3267</v>
      </c>
      <c r="T25" s="13" t="s">
        <v>3203</v>
      </c>
      <c r="U25" s="13" t="s">
        <v>3172</v>
      </c>
      <c r="V25" s="13" t="s">
        <v>3189</v>
      </c>
      <c r="W25" s="13" t="s">
        <v>2896</v>
      </c>
      <c r="X25" s="14" t="s">
        <v>3175</v>
      </c>
      <c r="Y25" s="14" t="s">
        <v>2883</v>
      </c>
      <c r="Z25" s="14" t="s">
        <v>2822</v>
      </c>
      <c r="AA25" s="14" t="s">
        <v>2911</v>
      </c>
      <c r="AB25" s="15">
        <v>1</v>
      </c>
      <c r="AC25" s="11">
        <v>2164</v>
      </c>
      <c r="AD25" s="11">
        <v>58406.36</v>
      </c>
      <c r="AE25" s="16">
        <v>29.99</v>
      </c>
      <c r="AF25" s="17">
        <v>0.5488</v>
      </c>
      <c r="AG25" s="16">
        <v>8.13</v>
      </c>
      <c r="AH25" s="18">
        <v>4.6</v>
      </c>
      <c r="AI25" s="11">
        <v>665</v>
      </c>
      <c r="AJ25" s="19">
        <v>0.0628</v>
      </c>
      <c r="AK25" s="11">
        <v>136</v>
      </c>
      <c r="AL25" s="20"/>
      <c r="AM25" s="9" t="s">
        <v>947</v>
      </c>
      <c r="AN25" s="9" t="s">
        <v>3473</v>
      </c>
      <c r="AO25" s="21">
        <v>254</v>
      </c>
      <c r="AP25" s="21">
        <v>5</v>
      </c>
      <c r="AQ25" s="21">
        <v>3</v>
      </c>
      <c r="AR25" s="10" t="s">
        <v>3474</v>
      </c>
      <c r="AS25" s="9" t="s">
        <v>1110</v>
      </c>
      <c r="AT25" s="10" t="s">
        <v>3475</v>
      </c>
      <c r="AU25" s="9" t="s">
        <v>997</v>
      </c>
      <c r="AV25" s="22" t="s">
        <v>3476</v>
      </c>
      <c r="AW25" s="22" t="s">
        <v>3477</v>
      </c>
    </row>
    <row r="26" ht="24" customHeight="1" spans="1:49">
      <c r="A26" s="9" t="str">
        <f>_xlfn.DISPIMG("ID_5A6D74BC349B428F969470C4D51507BD",1)</f>
        <v>=DISPIMG("ID_5A6D74BC349B428F969470C4D51507BD",1)</v>
      </c>
      <c r="B26" s="10" t="s">
        <v>3478</v>
      </c>
      <c r="C26" s="10" t="s">
        <v>3479</v>
      </c>
      <c r="D26" s="10" t="s">
        <v>3480</v>
      </c>
      <c r="E26" s="10" t="s">
        <v>3481</v>
      </c>
      <c r="F26" s="10" t="s">
        <v>3482</v>
      </c>
      <c r="G26" s="10" t="s">
        <v>3483</v>
      </c>
      <c r="H26" s="10" t="s">
        <v>3484</v>
      </c>
      <c r="I26" s="10" t="s">
        <v>3485</v>
      </c>
      <c r="J26" s="9" t="s">
        <v>934</v>
      </c>
      <c r="K26" s="10" t="s">
        <v>3167</v>
      </c>
      <c r="L26" s="10" t="s">
        <v>851</v>
      </c>
      <c r="M26" s="11">
        <v>3573</v>
      </c>
      <c r="N26" s="12" t="s">
        <v>3168</v>
      </c>
      <c r="O26" s="13" t="s">
        <v>3486</v>
      </c>
      <c r="P26" s="13" t="s">
        <v>2852</v>
      </c>
      <c r="Q26" s="13" t="s">
        <v>3169</v>
      </c>
      <c r="R26" s="13" t="s">
        <v>3170</v>
      </c>
      <c r="S26" s="13" t="s">
        <v>2910</v>
      </c>
      <c r="T26" s="13" t="s">
        <v>3487</v>
      </c>
      <c r="U26" s="13" t="s">
        <v>3188</v>
      </c>
      <c r="V26" s="13" t="s">
        <v>3268</v>
      </c>
      <c r="W26" s="13" t="s">
        <v>2896</v>
      </c>
      <c r="X26" s="14" t="s">
        <v>3310</v>
      </c>
      <c r="Y26" s="14" t="s">
        <v>2821</v>
      </c>
      <c r="Z26" s="14" t="s">
        <v>2865</v>
      </c>
      <c r="AA26" s="14" t="s">
        <v>2823</v>
      </c>
      <c r="AB26" s="15">
        <v>1</v>
      </c>
      <c r="AC26" s="11">
        <v>2346</v>
      </c>
      <c r="AD26" s="11">
        <v>117229.625</v>
      </c>
      <c r="AE26" s="16">
        <v>49.97</v>
      </c>
      <c r="AF26" s="17">
        <v>0.5712</v>
      </c>
      <c r="AG26" s="16">
        <v>13.93</v>
      </c>
      <c r="AH26" s="18">
        <v>4.5</v>
      </c>
      <c r="AI26" s="11">
        <v>10534</v>
      </c>
      <c r="AJ26" s="19">
        <v>0.0452</v>
      </c>
      <c r="AK26" s="11">
        <v>106</v>
      </c>
      <c r="AL26" s="20"/>
      <c r="AM26" s="9" t="s">
        <v>1098</v>
      </c>
      <c r="AN26" s="9" t="s">
        <v>3488</v>
      </c>
      <c r="AO26" s="21">
        <v>3903</v>
      </c>
      <c r="AP26" s="21">
        <v>15</v>
      </c>
      <c r="AQ26" s="21">
        <v>4</v>
      </c>
      <c r="AR26" s="10" t="s">
        <v>1515</v>
      </c>
      <c r="AS26" s="9" t="s">
        <v>65</v>
      </c>
      <c r="AT26" s="10" t="s">
        <v>65</v>
      </c>
      <c r="AU26" s="9" t="s">
        <v>1516</v>
      </c>
      <c r="AV26" s="22" t="s">
        <v>3489</v>
      </c>
      <c r="AW26" s="22" t="s">
        <v>3490</v>
      </c>
    </row>
    <row r="27" ht="24" customHeight="1" spans="1:49">
      <c r="A27" s="9" t="str">
        <f>_xlfn.DISPIMG("ID_CA62E71B40FF451CA5A51F2AC31BF8DA",1)</f>
        <v>=DISPIMG("ID_CA62E71B40FF451CA5A51F2AC31BF8DA",1)</v>
      </c>
      <c r="B27" s="10" t="s">
        <v>3491</v>
      </c>
      <c r="C27" s="10" t="s">
        <v>3492</v>
      </c>
      <c r="D27" s="10" t="s">
        <v>3493</v>
      </c>
      <c r="E27" s="10" t="s">
        <v>3494</v>
      </c>
      <c r="F27" s="10" t="s">
        <v>3495</v>
      </c>
      <c r="G27" s="10" t="s">
        <v>3496</v>
      </c>
      <c r="H27" s="10" t="s">
        <v>3497</v>
      </c>
      <c r="I27" s="10" t="s">
        <v>3498</v>
      </c>
      <c r="J27" s="9" t="s">
        <v>934</v>
      </c>
      <c r="K27" s="10" t="s">
        <v>3167</v>
      </c>
      <c r="L27" s="10" t="s">
        <v>851</v>
      </c>
      <c r="M27" s="11">
        <v>3616</v>
      </c>
      <c r="N27" s="12" t="s">
        <v>3168</v>
      </c>
      <c r="O27" s="13" t="s">
        <v>1144</v>
      </c>
      <c r="P27" s="13" t="s">
        <v>2809</v>
      </c>
      <c r="Q27" s="13" t="s">
        <v>3169</v>
      </c>
      <c r="R27" s="13" t="s">
        <v>3170</v>
      </c>
      <c r="S27" s="13" t="s">
        <v>3267</v>
      </c>
      <c r="T27" s="13" t="s">
        <v>3171</v>
      </c>
      <c r="U27" s="13" t="s">
        <v>3172</v>
      </c>
      <c r="V27" s="13" t="s">
        <v>3499</v>
      </c>
      <c r="W27" s="13" t="s">
        <v>3174</v>
      </c>
      <c r="X27" s="14" t="s">
        <v>3296</v>
      </c>
      <c r="Y27" s="14" t="s">
        <v>2917</v>
      </c>
      <c r="Z27" s="14" t="s">
        <v>2865</v>
      </c>
      <c r="AA27" s="14" t="s">
        <v>2823</v>
      </c>
      <c r="AB27" s="15">
        <v>1</v>
      </c>
      <c r="AC27" s="11">
        <v>2151</v>
      </c>
      <c r="AD27" s="11">
        <v>96773.49</v>
      </c>
      <c r="AE27" s="16">
        <v>44.99</v>
      </c>
      <c r="AF27" s="17">
        <v>0.6479</v>
      </c>
      <c r="AG27" s="16">
        <v>9.09</v>
      </c>
      <c r="AH27" s="18">
        <v>4.2</v>
      </c>
      <c r="AI27" s="11">
        <v>5285</v>
      </c>
      <c r="AJ27" s="19">
        <v>0.06</v>
      </c>
      <c r="AK27" s="11">
        <v>129</v>
      </c>
      <c r="AL27" s="20"/>
      <c r="AM27" s="9" t="s">
        <v>947</v>
      </c>
      <c r="AN27" s="9" t="s">
        <v>3500</v>
      </c>
      <c r="AO27" s="21">
        <v>1558</v>
      </c>
      <c r="AP27" s="21">
        <v>2</v>
      </c>
      <c r="AQ27" s="21">
        <v>22</v>
      </c>
      <c r="AR27" s="10" t="s">
        <v>1515</v>
      </c>
      <c r="AS27" s="9" t="s">
        <v>1110</v>
      </c>
      <c r="AT27" s="10" t="s">
        <v>3283</v>
      </c>
      <c r="AU27" s="9" t="s">
        <v>1516</v>
      </c>
      <c r="AV27" s="22" t="s">
        <v>3501</v>
      </c>
      <c r="AW27" s="22" t="s">
        <v>3502</v>
      </c>
    </row>
    <row r="28" ht="24" customHeight="1" spans="1:49">
      <c r="A28" s="9" t="str">
        <f>_xlfn.DISPIMG("ID_84595990F0774494850004227C533CF4",1)</f>
        <v>=DISPIMG("ID_84595990F0774494850004227C533CF4",1)</v>
      </c>
      <c r="B28" s="10" t="s">
        <v>3503</v>
      </c>
      <c r="C28" s="10" t="s">
        <v>3504</v>
      </c>
      <c r="D28" s="10" t="s">
        <v>3505</v>
      </c>
      <c r="E28" s="10" t="s">
        <v>3506</v>
      </c>
      <c r="F28" s="10" t="s">
        <v>3507</v>
      </c>
      <c r="G28" s="10" t="s">
        <v>1843</v>
      </c>
      <c r="H28" s="10" t="s">
        <v>3508</v>
      </c>
      <c r="I28" s="10" t="s">
        <v>3509</v>
      </c>
      <c r="J28" s="9" t="s">
        <v>934</v>
      </c>
      <c r="K28" s="10" t="s">
        <v>3167</v>
      </c>
      <c r="L28" s="10" t="s">
        <v>851</v>
      </c>
      <c r="M28" s="11">
        <v>3664</v>
      </c>
      <c r="N28" s="12" t="s">
        <v>3168</v>
      </c>
      <c r="O28" s="13" t="s">
        <v>3510</v>
      </c>
      <c r="P28" s="13" t="s">
        <v>2852</v>
      </c>
      <c r="Q28" s="13" t="s">
        <v>3216</v>
      </c>
      <c r="R28" s="13" t="s">
        <v>3170</v>
      </c>
      <c r="S28" s="13" t="s">
        <v>2874</v>
      </c>
      <c r="T28" s="13" t="s">
        <v>3487</v>
      </c>
      <c r="U28" s="13" t="s">
        <v>3188</v>
      </c>
      <c r="V28" s="13" t="s">
        <v>3173</v>
      </c>
      <c r="W28" s="13" t="s">
        <v>2896</v>
      </c>
      <c r="X28" s="14" t="s">
        <v>2830</v>
      </c>
      <c r="Y28" s="14" t="s">
        <v>2900</v>
      </c>
      <c r="Z28" s="14" t="s">
        <v>2865</v>
      </c>
      <c r="AA28" s="14" t="s">
        <v>2823</v>
      </c>
      <c r="AB28" s="15">
        <v>1</v>
      </c>
      <c r="AC28" s="11">
        <v>2833</v>
      </c>
      <c r="AD28" s="11">
        <v>283158.34</v>
      </c>
      <c r="AE28" s="16">
        <v>99.95</v>
      </c>
      <c r="AF28" s="17">
        <v>0.7148</v>
      </c>
      <c r="AG28" s="16">
        <v>13.51</v>
      </c>
      <c r="AH28" s="18">
        <v>4.2</v>
      </c>
      <c r="AI28" s="11">
        <v>5027</v>
      </c>
      <c r="AJ28" s="19">
        <v>0.0332</v>
      </c>
      <c r="AK28" s="11">
        <v>94</v>
      </c>
      <c r="AL28" s="20"/>
      <c r="AM28" s="9" t="s">
        <v>947</v>
      </c>
      <c r="AN28" s="9" t="s">
        <v>3511</v>
      </c>
      <c r="AO28" s="21">
        <v>3592</v>
      </c>
      <c r="AP28" s="21">
        <v>2</v>
      </c>
      <c r="AQ28" s="21">
        <v>26</v>
      </c>
      <c r="AR28" s="10" t="s">
        <v>1515</v>
      </c>
      <c r="AS28" s="9" t="s">
        <v>1110</v>
      </c>
      <c r="AT28" s="10" t="s">
        <v>3512</v>
      </c>
      <c r="AU28" s="9" t="s">
        <v>1516</v>
      </c>
      <c r="AV28" s="22" t="s">
        <v>3513</v>
      </c>
      <c r="AW28" s="22" t="s">
        <v>3514</v>
      </c>
    </row>
    <row r="29" ht="24" customHeight="1" spans="1:49">
      <c r="A29" s="9" t="str">
        <f>_xlfn.DISPIMG("ID_6495DB8D9C2D4C8AAAFA92C3685FA407",1)</f>
        <v>=DISPIMG("ID_6495DB8D9C2D4C8AAAFA92C3685FA407",1)</v>
      </c>
      <c r="B29" s="10" t="s">
        <v>3515</v>
      </c>
      <c r="C29" s="10" t="s">
        <v>3516</v>
      </c>
      <c r="D29" s="10" t="s">
        <v>3517</v>
      </c>
      <c r="E29" s="10" t="s">
        <v>3518</v>
      </c>
      <c r="F29" s="10" t="s">
        <v>3519</v>
      </c>
      <c r="G29" s="10" t="s">
        <v>3520</v>
      </c>
      <c r="H29" s="10" t="s">
        <v>3521</v>
      </c>
      <c r="I29" s="10" t="s">
        <v>3522</v>
      </c>
      <c r="J29" s="9" t="s">
        <v>934</v>
      </c>
      <c r="K29" s="10" t="s">
        <v>3167</v>
      </c>
      <c r="L29" s="10" t="s">
        <v>851</v>
      </c>
      <c r="M29" s="11">
        <v>3684</v>
      </c>
      <c r="N29" s="12" t="s">
        <v>3168</v>
      </c>
      <c r="O29" s="13" t="s">
        <v>3523</v>
      </c>
      <c r="P29" s="13" t="s">
        <v>2881</v>
      </c>
      <c r="Q29" s="13" t="s">
        <v>3216</v>
      </c>
      <c r="R29" s="13" t="s">
        <v>3170</v>
      </c>
      <c r="S29" s="13" t="s">
        <v>2874</v>
      </c>
      <c r="T29" s="13" t="s">
        <v>3171</v>
      </c>
      <c r="U29" s="13" t="s">
        <v>3188</v>
      </c>
      <c r="V29" s="13" t="s">
        <v>3173</v>
      </c>
      <c r="W29" s="13" t="s">
        <v>2896</v>
      </c>
      <c r="X29" s="14" t="s">
        <v>3418</v>
      </c>
      <c r="Y29" s="14" t="s">
        <v>2900</v>
      </c>
      <c r="Z29" s="14" t="s">
        <v>2822</v>
      </c>
      <c r="AA29" s="14" t="s">
        <v>2823</v>
      </c>
      <c r="AB29" s="15">
        <v>1</v>
      </c>
      <c r="AC29" s="11">
        <v>2749</v>
      </c>
      <c r="AD29" s="11">
        <v>192402.5</v>
      </c>
      <c r="AE29" s="16">
        <v>69.99</v>
      </c>
      <c r="AF29" s="17">
        <v>0.633</v>
      </c>
      <c r="AG29" s="16">
        <v>15.19</v>
      </c>
      <c r="AH29" s="18">
        <v>4.7</v>
      </c>
      <c r="AI29" s="11">
        <v>10915</v>
      </c>
      <c r="AJ29" s="19">
        <v>0.032</v>
      </c>
      <c r="AK29" s="11">
        <v>88</v>
      </c>
      <c r="AL29" s="20"/>
      <c r="AM29" s="9" t="s">
        <v>947</v>
      </c>
      <c r="AN29" s="9" t="s">
        <v>3524</v>
      </c>
      <c r="AO29" s="21">
        <v>1376</v>
      </c>
      <c r="AP29" s="21">
        <v>3</v>
      </c>
      <c r="AQ29" s="21">
        <v>4</v>
      </c>
      <c r="AR29" s="10" t="s">
        <v>3525</v>
      </c>
      <c r="AS29" s="9" t="s">
        <v>1288</v>
      </c>
      <c r="AT29" s="10" t="s">
        <v>3526</v>
      </c>
      <c r="AU29" s="9" t="s">
        <v>997</v>
      </c>
      <c r="AV29" s="22" t="s">
        <v>3527</v>
      </c>
      <c r="AW29" s="22" t="s">
        <v>3528</v>
      </c>
    </row>
    <row r="30" ht="24" customHeight="1" spans="1:49">
      <c r="A30" s="9" t="str">
        <f>_xlfn.DISPIMG("ID_76CE82C28D2748DB8E80EA1A67CD6481",1)</f>
        <v>=DISPIMG("ID_76CE82C28D2748DB8E80EA1A67CD6481",1)</v>
      </c>
      <c r="B30" s="10" t="s">
        <v>3529</v>
      </c>
      <c r="C30" s="10" t="s">
        <v>3530</v>
      </c>
      <c r="D30" s="10" t="s">
        <v>3531</v>
      </c>
      <c r="E30" s="10" t="s">
        <v>3532</v>
      </c>
      <c r="F30" s="10" t="s">
        <v>3533</v>
      </c>
      <c r="G30" s="10" t="s">
        <v>1059</v>
      </c>
      <c r="H30" s="10" t="s">
        <v>3534</v>
      </c>
      <c r="I30" s="10" t="s">
        <v>3535</v>
      </c>
      <c r="J30" s="9" t="s">
        <v>974</v>
      </c>
      <c r="K30" s="10" t="s">
        <v>3167</v>
      </c>
      <c r="L30" s="10" t="s">
        <v>851</v>
      </c>
      <c r="M30" s="11">
        <v>3835</v>
      </c>
      <c r="N30" s="12" t="s">
        <v>3168</v>
      </c>
      <c r="O30" s="13" t="s">
        <v>1135</v>
      </c>
      <c r="P30" s="13" t="s">
        <v>2852</v>
      </c>
      <c r="Q30" s="13" t="s">
        <v>3169</v>
      </c>
      <c r="R30" s="13" t="s">
        <v>3170</v>
      </c>
      <c r="S30" s="13" t="s">
        <v>2838</v>
      </c>
      <c r="T30" s="13" t="s">
        <v>3171</v>
      </c>
      <c r="U30" s="13" t="s">
        <v>3188</v>
      </c>
      <c r="V30" s="13" t="s">
        <v>3173</v>
      </c>
      <c r="W30" s="13" t="s">
        <v>2896</v>
      </c>
      <c r="X30" s="14" t="s">
        <v>3175</v>
      </c>
      <c r="Y30" s="14" t="s">
        <v>2821</v>
      </c>
      <c r="Z30" s="14" t="s">
        <v>2865</v>
      </c>
      <c r="AA30" s="14" t="s">
        <v>2823</v>
      </c>
      <c r="AB30" s="15">
        <v>1</v>
      </c>
      <c r="AC30" s="11">
        <v>2879</v>
      </c>
      <c r="AD30" s="11">
        <v>86341.21</v>
      </c>
      <c r="AE30" s="16">
        <v>29.99</v>
      </c>
      <c r="AF30" s="17">
        <v>0.5789</v>
      </c>
      <c r="AG30" s="16">
        <v>8.13</v>
      </c>
      <c r="AH30" s="18">
        <v>4.5</v>
      </c>
      <c r="AI30" s="11">
        <v>5430</v>
      </c>
      <c r="AJ30" s="19">
        <v>0.0469</v>
      </c>
      <c r="AK30" s="11">
        <v>135</v>
      </c>
      <c r="AL30" s="20"/>
      <c r="AM30" s="9" t="s">
        <v>947</v>
      </c>
      <c r="AN30" s="9" t="s">
        <v>3536</v>
      </c>
      <c r="AO30" s="21">
        <v>1409</v>
      </c>
      <c r="AP30" s="21">
        <v>2</v>
      </c>
      <c r="AQ30" s="21">
        <v>11</v>
      </c>
      <c r="AR30" s="10" t="s">
        <v>1515</v>
      </c>
      <c r="AS30" s="9" t="s">
        <v>1110</v>
      </c>
      <c r="AT30" s="10" t="s">
        <v>3537</v>
      </c>
      <c r="AU30" s="9" t="s">
        <v>1516</v>
      </c>
      <c r="AV30" s="22" t="s">
        <v>3538</v>
      </c>
      <c r="AW30" s="22" t="s">
        <v>3539</v>
      </c>
    </row>
    <row r="31" ht="24" customHeight="1" spans="1:49">
      <c r="A31" s="9" t="str">
        <f>_xlfn.DISPIMG("ID_B7DE22B4068F4B718C62056E21A1AC57",1)</f>
        <v>=DISPIMG("ID_B7DE22B4068F4B718C62056E21A1AC57",1)</v>
      </c>
      <c r="B31" s="10" t="s">
        <v>3540</v>
      </c>
      <c r="C31" s="10" t="s">
        <v>3540</v>
      </c>
      <c r="D31" s="10" t="s">
        <v>65</v>
      </c>
      <c r="E31" s="10" t="s">
        <v>3541</v>
      </c>
      <c r="F31" s="10" t="s">
        <v>3542</v>
      </c>
      <c r="G31" s="10" t="s">
        <v>3291</v>
      </c>
      <c r="H31" s="10" t="s">
        <v>3543</v>
      </c>
      <c r="I31" s="10" t="s">
        <v>3544</v>
      </c>
      <c r="J31" s="9" t="s">
        <v>1384</v>
      </c>
      <c r="K31" s="10" t="s">
        <v>3167</v>
      </c>
      <c r="L31" s="10" t="s">
        <v>851</v>
      </c>
      <c r="M31" s="11">
        <v>3942</v>
      </c>
      <c r="N31" s="12" t="s">
        <v>3168</v>
      </c>
      <c r="O31" s="13" t="s">
        <v>1183</v>
      </c>
      <c r="P31" s="13" t="s">
        <v>2809</v>
      </c>
      <c r="Q31" s="13" t="s">
        <v>3169</v>
      </c>
      <c r="R31" s="13" t="s">
        <v>3170</v>
      </c>
      <c r="S31" s="13" t="s">
        <v>2910</v>
      </c>
      <c r="T31" s="13" t="s">
        <v>3203</v>
      </c>
      <c r="U31" s="13" t="s">
        <v>3172</v>
      </c>
      <c r="V31" s="13" t="s">
        <v>3189</v>
      </c>
      <c r="W31" s="13" t="s">
        <v>3174</v>
      </c>
      <c r="X31" s="14" t="s">
        <v>3190</v>
      </c>
      <c r="Y31" s="14" t="s">
        <v>2883</v>
      </c>
      <c r="Z31" s="14" t="s">
        <v>2822</v>
      </c>
      <c r="AA31" s="14" t="s">
        <v>2911</v>
      </c>
      <c r="AB31" s="15">
        <v>1</v>
      </c>
      <c r="AC31" s="11">
        <v>1864</v>
      </c>
      <c r="AD31" s="11">
        <v>46581.36</v>
      </c>
      <c r="AE31" s="16">
        <v>24.99</v>
      </c>
      <c r="AF31" s="17">
        <v>0.5311</v>
      </c>
      <c r="AG31" s="16">
        <v>7.97</v>
      </c>
      <c r="AH31" s="18">
        <v>4.6</v>
      </c>
      <c r="AI31" s="11">
        <v>507</v>
      </c>
      <c r="AJ31" s="19">
        <v>0.0418</v>
      </c>
      <c r="AK31" s="11">
        <v>78</v>
      </c>
      <c r="AL31" s="20"/>
      <c r="AM31" s="9" t="s">
        <v>947</v>
      </c>
      <c r="AN31" s="9" t="s">
        <v>3545</v>
      </c>
      <c r="AO31" s="21">
        <v>221</v>
      </c>
      <c r="AP31" s="21">
        <v>1</v>
      </c>
      <c r="AQ31" s="21">
        <v>2</v>
      </c>
      <c r="AR31" s="10" t="s">
        <v>3546</v>
      </c>
      <c r="AS31" s="9" t="s">
        <v>1288</v>
      </c>
      <c r="AT31" s="10" t="s">
        <v>3547</v>
      </c>
      <c r="AU31" s="9" t="s">
        <v>997</v>
      </c>
      <c r="AV31" s="22" t="s">
        <v>3463</v>
      </c>
      <c r="AW31" s="22" t="s">
        <v>3548</v>
      </c>
    </row>
    <row r="32" ht="24" customHeight="1" spans="1:49">
      <c r="A32" s="9" t="str">
        <f>_xlfn.DISPIMG("ID_3CFE1597BEC64DDE906D8E0B2B102CC4",1)</f>
        <v>=DISPIMG("ID_3CFE1597BEC64DDE906D8E0B2B102CC4",1)</v>
      </c>
      <c r="B32" s="10" t="s">
        <v>3549</v>
      </c>
      <c r="C32" s="10" t="s">
        <v>3550</v>
      </c>
      <c r="D32" s="10" t="s">
        <v>3551</v>
      </c>
      <c r="E32" s="10" t="s">
        <v>3552</v>
      </c>
      <c r="F32" s="10" t="s">
        <v>3553</v>
      </c>
      <c r="G32" s="10" t="s">
        <v>3554</v>
      </c>
      <c r="H32" s="10" t="s">
        <v>3555</v>
      </c>
      <c r="I32" s="10" t="s">
        <v>3556</v>
      </c>
      <c r="J32" s="9" t="s">
        <v>1384</v>
      </c>
      <c r="K32" s="10" t="s">
        <v>3167</v>
      </c>
      <c r="L32" s="10" t="s">
        <v>851</v>
      </c>
      <c r="M32" s="11">
        <v>4013</v>
      </c>
      <c r="N32" s="12" t="s">
        <v>3168</v>
      </c>
      <c r="O32" s="13" t="s">
        <v>3557</v>
      </c>
      <c r="P32" s="13" t="s">
        <v>2852</v>
      </c>
      <c r="Q32" s="13" t="s">
        <v>3216</v>
      </c>
      <c r="R32" s="13" t="s">
        <v>3416</v>
      </c>
      <c r="S32" s="13" t="s">
        <v>2950</v>
      </c>
      <c r="T32" s="13" t="s">
        <v>3203</v>
      </c>
      <c r="U32" s="13" t="s">
        <v>3188</v>
      </c>
      <c r="V32" s="13" t="s">
        <v>3173</v>
      </c>
      <c r="W32" s="13" t="s">
        <v>2896</v>
      </c>
      <c r="X32" s="14" t="s">
        <v>3310</v>
      </c>
      <c r="Y32" s="14" t="s">
        <v>2883</v>
      </c>
      <c r="Z32" s="14" t="s">
        <v>2865</v>
      </c>
      <c r="AA32" s="14" t="s">
        <v>2911</v>
      </c>
      <c r="AB32" s="15">
        <v>1</v>
      </c>
      <c r="AC32" s="11">
        <v>2003</v>
      </c>
      <c r="AD32" s="11">
        <v>96123.98</v>
      </c>
      <c r="AE32" s="16">
        <v>47.99</v>
      </c>
      <c r="AF32" s="17">
        <v>0.6639</v>
      </c>
      <c r="AG32" s="16">
        <v>8.93</v>
      </c>
      <c r="AH32" s="18">
        <v>4.4</v>
      </c>
      <c r="AI32" s="11">
        <v>800</v>
      </c>
      <c r="AJ32" s="19">
        <v>0.0564</v>
      </c>
      <c r="AK32" s="11">
        <v>113</v>
      </c>
      <c r="AL32" s="20"/>
      <c r="AM32" s="9" t="s">
        <v>947</v>
      </c>
      <c r="AN32" s="9" t="s">
        <v>3362</v>
      </c>
      <c r="AO32" s="21">
        <v>287</v>
      </c>
      <c r="AP32" s="21">
        <v>2</v>
      </c>
      <c r="AQ32" s="21">
        <v>10</v>
      </c>
      <c r="AR32" s="10" t="s">
        <v>3558</v>
      </c>
      <c r="AS32" s="9" t="s">
        <v>1288</v>
      </c>
      <c r="AT32" s="10" t="s">
        <v>3559</v>
      </c>
      <c r="AU32" s="9" t="s">
        <v>997</v>
      </c>
      <c r="AV32" s="22" t="s">
        <v>3560</v>
      </c>
      <c r="AW32" s="22" t="s">
        <v>3561</v>
      </c>
    </row>
    <row r="33" ht="24" customHeight="1" spans="1:49">
      <c r="A33" s="9" t="str">
        <f>_xlfn.DISPIMG("ID_154BD5E540CD4C77894C67AD9E2C537D",1)</f>
        <v>=DISPIMG("ID_154BD5E540CD4C77894C67AD9E2C537D",1)</v>
      </c>
      <c r="B33" s="10" t="s">
        <v>3562</v>
      </c>
      <c r="C33" s="10" t="s">
        <v>3563</v>
      </c>
      <c r="D33" s="10" t="s">
        <v>2365</v>
      </c>
      <c r="E33" s="10" t="s">
        <v>3564</v>
      </c>
      <c r="F33" s="10" t="s">
        <v>3565</v>
      </c>
      <c r="G33" s="10" t="s">
        <v>3291</v>
      </c>
      <c r="H33" s="10" t="s">
        <v>3566</v>
      </c>
      <c r="I33" s="10" t="s">
        <v>3567</v>
      </c>
      <c r="J33" s="9" t="s">
        <v>934</v>
      </c>
      <c r="K33" s="10" t="s">
        <v>3167</v>
      </c>
      <c r="L33" s="10" t="s">
        <v>851</v>
      </c>
      <c r="M33" s="11">
        <v>4040</v>
      </c>
      <c r="N33" s="12" t="s">
        <v>3168</v>
      </c>
      <c r="O33" s="13" t="s">
        <v>3568</v>
      </c>
      <c r="P33" s="13" t="s">
        <v>2963</v>
      </c>
      <c r="Q33" s="13" t="s">
        <v>3216</v>
      </c>
      <c r="R33" s="13" t="s">
        <v>3170</v>
      </c>
      <c r="S33" s="13" t="s">
        <v>3417</v>
      </c>
      <c r="T33" s="13" t="s">
        <v>3203</v>
      </c>
      <c r="U33" s="13" t="s">
        <v>3188</v>
      </c>
      <c r="V33" s="13" t="s">
        <v>3189</v>
      </c>
      <c r="W33" s="13" t="s">
        <v>2896</v>
      </c>
      <c r="X33" s="14" t="s">
        <v>3445</v>
      </c>
      <c r="Y33" s="14" t="s">
        <v>2821</v>
      </c>
      <c r="Z33" s="14" t="s">
        <v>2822</v>
      </c>
      <c r="AA33" s="14" t="s">
        <v>2823</v>
      </c>
      <c r="AB33" s="15">
        <v>1</v>
      </c>
      <c r="AC33" s="11">
        <v>1705</v>
      </c>
      <c r="AD33" s="11">
        <v>102282.95</v>
      </c>
      <c r="AE33" s="16">
        <v>59.99</v>
      </c>
      <c r="AF33" s="17">
        <v>0.6931</v>
      </c>
      <c r="AG33" s="16">
        <v>9.41</v>
      </c>
      <c r="AH33" s="18">
        <v>4.6</v>
      </c>
      <c r="AI33" s="11">
        <v>3168</v>
      </c>
      <c r="AJ33" s="19">
        <v>0.0364</v>
      </c>
      <c r="AK33" s="11">
        <v>62</v>
      </c>
      <c r="AL33" s="20"/>
      <c r="AM33" s="9" t="s">
        <v>947</v>
      </c>
      <c r="AN33" s="9" t="s">
        <v>1643</v>
      </c>
      <c r="AO33" s="21">
        <v>813</v>
      </c>
      <c r="AP33" s="21">
        <v>4</v>
      </c>
      <c r="AQ33" s="21">
        <v>1</v>
      </c>
      <c r="AR33" s="10" t="s">
        <v>3569</v>
      </c>
      <c r="AS33" s="9" t="s">
        <v>1288</v>
      </c>
      <c r="AT33" s="10" t="s">
        <v>3570</v>
      </c>
      <c r="AU33" s="9" t="s">
        <v>997</v>
      </c>
      <c r="AV33" s="22" t="s">
        <v>1966</v>
      </c>
      <c r="AW33" s="22" t="s">
        <v>3571</v>
      </c>
    </row>
    <row r="34" ht="24" customHeight="1" spans="1:49">
      <c r="A34" s="9" t="str">
        <f>_xlfn.DISPIMG("ID_22F038971AD543C19A2991C64F3C8943",1)</f>
        <v>=DISPIMG("ID_22F038971AD543C19A2991C64F3C8943",1)</v>
      </c>
      <c r="B34" s="10" t="s">
        <v>3572</v>
      </c>
      <c r="C34" s="10" t="s">
        <v>3573</v>
      </c>
      <c r="D34" s="10" t="s">
        <v>3574</v>
      </c>
      <c r="E34" s="10" t="s">
        <v>3575</v>
      </c>
      <c r="F34" s="10" t="s">
        <v>3576</v>
      </c>
      <c r="G34" s="10" t="s">
        <v>1302</v>
      </c>
      <c r="H34" s="10" t="s">
        <v>3577</v>
      </c>
      <c r="I34" s="10" t="s">
        <v>3578</v>
      </c>
      <c r="J34" s="9" t="s">
        <v>934</v>
      </c>
      <c r="K34" s="10" t="s">
        <v>3167</v>
      </c>
      <c r="L34" s="10" t="s">
        <v>851</v>
      </c>
      <c r="M34" s="11">
        <v>4191</v>
      </c>
      <c r="N34" s="12" t="s">
        <v>3168</v>
      </c>
      <c r="O34" s="13" t="s">
        <v>1250</v>
      </c>
      <c r="P34" s="13" t="s">
        <v>2881</v>
      </c>
      <c r="Q34" s="13" t="s">
        <v>3169</v>
      </c>
      <c r="R34" s="13" t="s">
        <v>3170</v>
      </c>
      <c r="S34" s="13" t="s">
        <v>3267</v>
      </c>
      <c r="T34" s="13" t="s">
        <v>3203</v>
      </c>
      <c r="U34" s="13" t="s">
        <v>3188</v>
      </c>
      <c r="V34" s="13" t="s">
        <v>3189</v>
      </c>
      <c r="W34" s="13" t="s">
        <v>2896</v>
      </c>
      <c r="X34" s="14" t="s">
        <v>3218</v>
      </c>
      <c r="Y34" s="14" t="s">
        <v>2831</v>
      </c>
      <c r="Z34" s="14" t="s">
        <v>2822</v>
      </c>
      <c r="AA34" s="14" t="s">
        <v>2823</v>
      </c>
      <c r="AB34" s="15">
        <v>1</v>
      </c>
      <c r="AC34" s="11">
        <v>1174</v>
      </c>
      <c r="AD34" s="11">
        <v>35208.258</v>
      </c>
      <c r="AE34" s="16">
        <v>32.99</v>
      </c>
      <c r="AF34" s="17">
        <v>0.5683</v>
      </c>
      <c r="AG34" s="16">
        <v>8.45</v>
      </c>
      <c r="AH34" s="18">
        <v>4.6</v>
      </c>
      <c r="AI34" s="11">
        <v>1910</v>
      </c>
      <c r="AJ34" s="19">
        <v>0.0443</v>
      </c>
      <c r="AK34" s="11">
        <v>52</v>
      </c>
      <c r="AL34" s="20"/>
      <c r="AM34" s="9" t="s">
        <v>947</v>
      </c>
      <c r="AN34" s="9" t="s">
        <v>926</v>
      </c>
      <c r="AO34" s="21">
        <v>708</v>
      </c>
      <c r="AP34" s="21">
        <v>4</v>
      </c>
      <c r="AQ34" s="21">
        <v>2</v>
      </c>
      <c r="AR34" s="10" t="s">
        <v>3579</v>
      </c>
      <c r="AS34" s="9" t="s">
        <v>1288</v>
      </c>
      <c r="AT34" s="10" t="s">
        <v>3580</v>
      </c>
      <c r="AU34" s="9" t="s">
        <v>997</v>
      </c>
      <c r="AV34" s="22" t="s">
        <v>3329</v>
      </c>
      <c r="AW34" s="22" t="s">
        <v>3581</v>
      </c>
    </row>
    <row r="35" ht="24" customHeight="1" spans="1:49">
      <c r="A35" s="9" t="str">
        <f>_xlfn.DISPIMG("ID_0BE943CE197341429261C8BCA22F71E6",1)</f>
        <v>=DISPIMG("ID_0BE943CE197341429261C8BCA22F71E6",1)</v>
      </c>
      <c r="B35" s="10" t="s">
        <v>3582</v>
      </c>
      <c r="C35" s="10" t="s">
        <v>3583</v>
      </c>
      <c r="D35" s="10" t="s">
        <v>3584</v>
      </c>
      <c r="E35" s="10" t="s">
        <v>3585</v>
      </c>
      <c r="F35" s="10" t="s">
        <v>3586</v>
      </c>
      <c r="G35" s="10" t="s">
        <v>1631</v>
      </c>
      <c r="H35" s="10" t="s">
        <v>3587</v>
      </c>
      <c r="I35" s="10" t="s">
        <v>3588</v>
      </c>
      <c r="J35" s="9" t="s">
        <v>934</v>
      </c>
      <c r="K35" s="10" t="s">
        <v>3167</v>
      </c>
      <c r="L35" s="10" t="s">
        <v>851</v>
      </c>
      <c r="M35" s="11">
        <v>4204</v>
      </c>
      <c r="N35" s="12" t="s">
        <v>3168</v>
      </c>
      <c r="O35" s="13" t="s">
        <v>3589</v>
      </c>
      <c r="P35" s="13" t="s">
        <v>2852</v>
      </c>
      <c r="Q35" s="13" t="s">
        <v>3216</v>
      </c>
      <c r="R35" s="13" t="s">
        <v>3170</v>
      </c>
      <c r="S35" s="13" t="s">
        <v>2828</v>
      </c>
      <c r="T35" s="13" t="s">
        <v>3203</v>
      </c>
      <c r="U35" s="13" t="s">
        <v>3188</v>
      </c>
      <c r="V35" s="13" t="s">
        <v>3189</v>
      </c>
      <c r="W35" s="13" t="s">
        <v>2896</v>
      </c>
      <c r="X35" s="14" t="s">
        <v>3418</v>
      </c>
      <c r="Y35" s="14" t="s">
        <v>2883</v>
      </c>
      <c r="Z35" s="14" t="s">
        <v>2865</v>
      </c>
      <c r="AA35" s="14" t="s">
        <v>2823</v>
      </c>
      <c r="AB35" s="15">
        <v>1</v>
      </c>
      <c r="AC35" s="11">
        <v>2528</v>
      </c>
      <c r="AD35" s="11">
        <v>176934.72</v>
      </c>
      <c r="AE35" s="16">
        <v>69.99</v>
      </c>
      <c r="AF35" s="17">
        <v>0.711</v>
      </c>
      <c r="AG35" s="16">
        <v>9.73</v>
      </c>
      <c r="AH35" s="18">
        <v>4.5</v>
      </c>
      <c r="AI35" s="11">
        <v>2383</v>
      </c>
      <c r="AJ35" s="19">
        <v>0.0372</v>
      </c>
      <c r="AK35" s="11">
        <v>94</v>
      </c>
      <c r="AL35" s="20"/>
      <c r="AM35" s="9" t="s">
        <v>876</v>
      </c>
      <c r="AN35" s="9" t="s">
        <v>3590</v>
      </c>
      <c r="AO35" s="21">
        <v>295</v>
      </c>
      <c r="AP35" s="21">
        <v>1</v>
      </c>
      <c r="AQ35" s="21">
        <v>14</v>
      </c>
      <c r="AR35" s="10" t="s">
        <v>3591</v>
      </c>
      <c r="AS35" s="9" t="s">
        <v>1401</v>
      </c>
      <c r="AT35" s="10" t="s">
        <v>3592</v>
      </c>
      <c r="AU35" s="9" t="s">
        <v>997</v>
      </c>
      <c r="AV35" s="22" t="s">
        <v>3593</v>
      </c>
      <c r="AW35" s="22" t="s">
        <v>3594</v>
      </c>
    </row>
    <row r="36" ht="24" customHeight="1" spans="1:49">
      <c r="A36" s="9" t="str">
        <f>_xlfn.DISPIMG("ID_B094292DD34345849512CCC3C4893BA8",1)</f>
        <v>=DISPIMG("ID_B094292DD34345849512CCC3C4893BA8",1)</v>
      </c>
      <c r="B36" s="10" t="s">
        <v>3595</v>
      </c>
      <c r="C36" s="10" t="s">
        <v>3596</v>
      </c>
      <c r="D36" s="10" t="s">
        <v>3597</v>
      </c>
      <c r="E36" s="10" t="s">
        <v>3598</v>
      </c>
      <c r="F36" s="10" t="s">
        <v>3599</v>
      </c>
      <c r="G36" s="10" t="s">
        <v>3600</v>
      </c>
      <c r="H36" s="10" t="s">
        <v>3601</v>
      </c>
      <c r="I36" s="10" t="s">
        <v>3602</v>
      </c>
      <c r="J36" s="9" t="s">
        <v>934</v>
      </c>
      <c r="K36" s="10" t="s">
        <v>3167</v>
      </c>
      <c r="L36" s="10" t="s">
        <v>851</v>
      </c>
      <c r="M36" s="11">
        <v>4262</v>
      </c>
      <c r="N36" s="12" t="s">
        <v>3168</v>
      </c>
      <c r="O36" s="13" t="s">
        <v>1275</v>
      </c>
      <c r="P36" s="13" t="s">
        <v>2832</v>
      </c>
      <c r="Q36" s="13" t="s">
        <v>3169</v>
      </c>
      <c r="R36" s="13" t="s">
        <v>3170</v>
      </c>
      <c r="S36" s="13" t="s">
        <v>3187</v>
      </c>
      <c r="T36" s="13" t="s">
        <v>3171</v>
      </c>
      <c r="U36" s="13" t="s">
        <v>3172</v>
      </c>
      <c r="V36" s="13" t="s">
        <v>3189</v>
      </c>
      <c r="W36" s="13" t="s">
        <v>2889</v>
      </c>
      <c r="X36" s="14" t="s">
        <v>3190</v>
      </c>
      <c r="Y36" s="14" t="s">
        <v>2821</v>
      </c>
      <c r="Z36" s="14" t="s">
        <v>2865</v>
      </c>
      <c r="AA36" s="14" t="s">
        <v>2823</v>
      </c>
      <c r="AB36" s="15">
        <v>1</v>
      </c>
      <c r="AC36" s="11">
        <v>644</v>
      </c>
      <c r="AD36" s="11">
        <v>15449.56</v>
      </c>
      <c r="AE36" s="16">
        <v>23.99</v>
      </c>
      <c r="AF36" s="17">
        <v>0.5311</v>
      </c>
      <c r="AG36" s="16">
        <v>7.65</v>
      </c>
      <c r="AH36" s="18">
        <v>4.3</v>
      </c>
      <c r="AI36" s="11">
        <v>1718</v>
      </c>
      <c r="AJ36" s="19">
        <v>0</v>
      </c>
      <c r="AK36" s="11">
        <v>0</v>
      </c>
      <c r="AL36" s="20"/>
      <c r="AM36" s="9" t="s">
        <v>947</v>
      </c>
      <c r="AN36" s="9" t="s">
        <v>1554</v>
      </c>
      <c r="AO36" s="21">
        <v>794</v>
      </c>
      <c r="AP36" s="21">
        <v>1</v>
      </c>
      <c r="AQ36" s="21">
        <v>4</v>
      </c>
      <c r="AR36" s="10" t="s">
        <v>3603</v>
      </c>
      <c r="AS36" s="9" t="s">
        <v>1288</v>
      </c>
      <c r="AT36" s="10" t="s">
        <v>3604</v>
      </c>
      <c r="AU36" s="9" t="s">
        <v>997</v>
      </c>
      <c r="AV36" s="22" t="s">
        <v>3605</v>
      </c>
      <c r="AW36" s="22" t="s">
        <v>3606</v>
      </c>
    </row>
    <row r="37" ht="24" customHeight="1" spans="1:49">
      <c r="A37" s="9" t="str">
        <f>_xlfn.DISPIMG("ID_BFFAC29FD7F34498B28187A7FC1C21F4",1)</f>
        <v>=DISPIMG("ID_BFFAC29FD7F34498B28187A7FC1C21F4",1)</v>
      </c>
      <c r="B37" s="10" t="s">
        <v>3607</v>
      </c>
      <c r="C37" s="10" t="s">
        <v>3608</v>
      </c>
      <c r="D37" s="10" t="s">
        <v>3609</v>
      </c>
      <c r="E37" s="10" t="s">
        <v>3610</v>
      </c>
      <c r="F37" s="10" t="s">
        <v>3611</v>
      </c>
      <c r="G37" s="10" t="s">
        <v>931</v>
      </c>
      <c r="H37" s="10" t="s">
        <v>3612</v>
      </c>
      <c r="I37" s="10" t="s">
        <v>3613</v>
      </c>
      <c r="J37" s="9" t="s">
        <v>934</v>
      </c>
      <c r="K37" s="10" t="s">
        <v>3167</v>
      </c>
      <c r="L37" s="10" t="s">
        <v>851</v>
      </c>
      <c r="M37" s="11">
        <v>4373</v>
      </c>
      <c r="N37" s="12" t="s">
        <v>3168</v>
      </c>
      <c r="O37" s="13" t="s">
        <v>1232</v>
      </c>
      <c r="P37" s="13" t="s">
        <v>2809</v>
      </c>
      <c r="Q37" s="13" t="s">
        <v>3430</v>
      </c>
      <c r="R37" s="13" t="s">
        <v>3170</v>
      </c>
      <c r="S37" s="13" t="s">
        <v>3614</v>
      </c>
      <c r="T37" s="13" t="s">
        <v>3171</v>
      </c>
      <c r="U37" s="13" t="s">
        <v>3172</v>
      </c>
      <c r="V37" s="13" t="s">
        <v>3173</v>
      </c>
      <c r="W37" s="13" t="s">
        <v>3174</v>
      </c>
      <c r="X37" s="14" t="s">
        <v>3269</v>
      </c>
      <c r="Y37" s="14" t="s">
        <v>2821</v>
      </c>
      <c r="Z37" s="14" t="s">
        <v>2865</v>
      </c>
      <c r="AA37" s="14" t="s">
        <v>2823</v>
      </c>
      <c r="AB37" s="15">
        <v>1</v>
      </c>
      <c r="AC37" s="11">
        <v>1929</v>
      </c>
      <c r="AD37" s="11">
        <v>77140.71</v>
      </c>
      <c r="AE37" s="16">
        <v>39.99</v>
      </c>
      <c r="AF37" s="17">
        <v>0.6187</v>
      </c>
      <c r="AG37" s="16">
        <v>9.25</v>
      </c>
      <c r="AH37" s="18">
        <v>4.4</v>
      </c>
      <c r="AI37" s="11">
        <v>11302</v>
      </c>
      <c r="AJ37" s="19">
        <v>0.042</v>
      </c>
      <c r="AK37" s="11">
        <v>81</v>
      </c>
      <c r="AL37" s="20"/>
      <c r="AM37" s="9" t="s">
        <v>947</v>
      </c>
      <c r="AN37" s="9" t="s">
        <v>3615</v>
      </c>
      <c r="AO37" s="21">
        <v>2815</v>
      </c>
      <c r="AP37" s="21">
        <v>10</v>
      </c>
      <c r="AQ37" s="21">
        <v>12</v>
      </c>
      <c r="AR37" s="10" t="s">
        <v>1515</v>
      </c>
      <c r="AS37" s="9" t="s">
        <v>1110</v>
      </c>
      <c r="AT37" s="10" t="s">
        <v>3616</v>
      </c>
      <c r="AU37" s="9" t="s">
        <v>1516</v>
      </c>
      <c r="AV37" s="22" t="s">
        <v>3617</v>
      </c>
      <c r="AW37" s="22" t="s">
        <v>3618</v>
      </c>
    </row>
    <row r="38" ht="24" customHeight="1" spans="1:49">
      <c r="A38" s="9" t="str">
        <f>_xlfn.DISPIMG("ID_29F8F6DDE3104DD8A6ADE88647593ADA",1)</f>
        <v>=DISPIMG("ID_29F8F6DDE3104DD8A6ADE88647593ADA",1)</v>
      </c>
      <c r="B38" s="10" t="s">
        <v>3619</v>
      </c>
      <c r="C38" s="10" t="s">
        <v>3619</v>
      </c>
      <c r="D38" s="10" t="s">
        <v>65</v>
      </c>
      <c r="E38" s="10" t="s">
        <v>3620</v>
      </c>
      <c r="F38" s="10" t="s">
        <v>3621</v>
      </c>
      <c r="G38" s="10" t="s">
        <v>3622</v>
      </c>
      <c r="H38" s="10" t="s">
        <v>3623</v>
      </c>
      <c r="I38" s="10" t="s">
        <v>3624</v>
      </c>
      <c r="J38" s="9" t="s">
        <v>974</v>
      </c>
      <c r="K38" s="10" t="s">
        <v>3167</v>
      </c>
      <c r="L38" s="10" t="s">
        <v>851</v>
      </c>
      <c r="M38" s="11">
        <v>4520</v>
      </c>
      <c r="N38" s="12" t="s">
        <v>3168</v>
      </c>
      <c r="O38" s="13" t="s">
        <v>1296</v>
      </c>
      <c r="P38" s="13" t="s">
        <v>2832</v>
      </c>
      <c r="Q38" s="13" t="s">
        <v>3169</v>
      </c>
      <c r="R38" s="13" t="s">
        <v>3170</v>
      </c>
      <c r="S38" s="13" t="s">
        <v>3187</v>
      </c>
      <c r="T38" s="13" t="s">
        <v>3171</v>
      </c>
      <c r="U38" s="13" t="s">
        <v>3172</v>
      </c>
      <c r="V38" s="13" t="s">
        <v>3189</v>
      </c>
      <c r="W38" s="13" t="s">
        <v>2889</v>
      </c>
      <c r="X38" s="14" t="s">
        <v>3175</v>
      </c>
      <c r="Y38" s="14" t="s">
        <v>2821</v>
      </c>
      <c r="Z38" s="14" t="s">
        <v>2865</v>
      </c>
      <c r="AA38" s="14" t="s">
        <v>2823</v>
      </c>
      <c r="AB38" s="15">
        <v>1</v>
      </c>
      <c r="AC38" s="11">
        <v>2627</v>
      </c>
      <c r="AD38" s="11">
        <v>75788.95</v>
      </c>
      <c r="AE38" s="16">
        <v>28.85</v>
      </c>
      <c r="AF38" s="17">
        <v>0.5848</v>
      </c>
      <c r="AG38" s="16">
        <v>7.65</v>
      </c>
      <c r="AH38" s="18">
        <v>4.4</v>
      </c>
      <c r="AI38" s="11">
        <v>4039</v>
      </c>
      <c r="AJ38" s="19">
        <v>0.032</v>
      </c>
      <c r="AK38" s="11">
        <v>84</v>
      </c>
      <c r="AL38" s="20"/>
      <c r="AM38" s="9" t="s">
        <v>854</v>
      </c>
      <c r="AN38" s="9" t="s">
        <v>3625</v>
      </c>
      <c r="AO38" s="21">
        <v>1101</v>
      </c>
      <c r="AP38" s="21">
        <v>1</v>
      </c>
      <c r="AQ38" s="21">
        <v>6</v>
      </c>
      <c r="AR38" s="10" t="s">
        <v>3626</v>
      </c>
      <c r="AS38" s="9" t="s">
        <v>1288</v>
      </c>
      <c r="AT38" s="10" t="s">
        <v>3627</v>
      </c>
      <c r="AU38" s="9" t="s">
        <v>997</v>
      </c>
      <c r="AV38" s="22" t="s">
        <v>3628</v>
      </c>
      <c r="AW38" s="22" t="s">
        <v>3629</v>
      </c>
    </row>
    <row r="39" ht="24" customHeight="1" spans="1:49">
      <c r="A39" s="9" t="str">
        <f>_xlfn.DISPIMG("ID_344F6237E5E0403F94FB08BFB091A0BE",1)</f>
        <v>=DISPIMG("ID_344F6237E5E0403F94FB08BFB091A0BE",1)</v>
      </c>
      <c r="B39" s="10" t="s">
        <v>3630</v>
      </c>
      <c r="C39" s="10" t="s">
        <v>3631</v>
      </c>
      <c r="D39" s="10" t="s">
        <v>3632</v>
      </c>
      <c r="E39" s="10" t="s">
        <v>3633</v>
      </c>
      <c r="F39" s="10" t="s">
        <v>3634</v>
      </c>
      <c r="G39" s="10" t="s">
        <v>3427</v>
      </c>
      <c r="H39" s="10" t="s">
        <v>3635</v>
      </c>
      <c r="I39" s="10" t="s">
        <v>3636</v>
      </c>
      <c r="J39" s="9" t="s">
        <v>974</v>
      </c>
      <c r="K39" s="10" t="s">
        <v>3167</v>
      </c>
      <c r="L39" s="10" t="s">
        <v>851</v>
      </c>
      <c r="M39" s="11">
        <v>4614</v>
      </c>
      <c r="N39" s="12" t="s">
        <v>3168</v>
      </c>
      <c r="O39" s="13" t="s">
        <v>1305</v>
      </c>
      <c r="P39" s="13" t="s">
        <v>3637</v>
      </c>
      <c r="Q39" s="13" t="s">
        <v>3169</v>
      </c>
      <c r="R39" s="13" t="s">
        <v>3170</v>
      </c>
      <c r="S39" s="13" t="s">
        <v>2910</v>
      </c>
      <c r="T39" s="13" t="s">
        <v>3487</v>
      </c>
      <c r="U39" s="13" t="s">
        <v>3172</v>
      </c>
      <c r="V39" s="13" t="s">
        <v>3189</v>
      </c>
      <c r="W39" s="13" t="s">
        <v>3174</v>
      </c>
      <c r="X39" s="14" t="s">
        <v>3175</v>
      </c>
      <c r="Y39" s="14" t="s">
        <v>2917</v>
      </c>
      <c r="Z39" s="14" t="s">
        <v>2822</v>
      </c>
      <c r="AA39" s="14" t="s">
        <v>2823</v>
      </c>
      <c r="AB39" s="15">
        <v>1</v>
      </c>
      <c r="AC39" s="11">
        <v>1309</v>
      </c>
      <c r="AD39" s="11">
        <v>39256.91</v>
      </c>
      <c r="AE39" s="16">
        <v>29.99</v>
      </c>
      <c r="AF39" s="17">
        <v>0.5843</v>
      </c>
      <c r="AG39" s="16">
        <v>7.97</v>
      </c>
      <c r="AH39" s="18">
        <v>4.7</v>
      </c>
      <c r="AI39" s="11">
        <v>7619</v>
      </c>
      <c r="AJ39" s="19">
        <v>0.0451</v>
      </c>
      <c r="AK39" s="11">
        <v>59</v>
      </c>
      <c r="AL39" s="20"/>
      <c r="AM39" s="9" t="s">
        <v>947</v>
      </c>
      <c r="AN39" s="9" t="s">
        <v>3638</v>
      </c>
      <c r="AO39" s="21">
        <v>160</v>
      </c>
      <c r="AP39" s="21">
        <v>7</v>
      </c>
      <c r="AQ39" s="21">
        <v>1</v>
      </c>
      <c r="AR39" s="10" t="s">
        <v>1515</v>
      </c>
      <c r="AS39" s="9" t="s">
        <v>65</v>
      </c>
      <c r="AT39" s="10" t="s">
        <v>65</v>
      </c>
      <c r="AU39" s="9" t="s">
        <v>1516</v>
      </c>
      <c r="AV39" s="22" t="s">
        <v>3639</v>
      </c>
      <c r="AW39" s="22" t="s">
        <v>3640</v>
      </c>
    </row>
    <row r="40" ht="24" customHeight="1" spans="1:49">
      <c r="A40" s="9" t="str">
        <f>_xlfn.DISPIMG("ID_8EC6E93DDB2345638413D6BBB61635A8",1)</f>
        <v>=DISPIMG("ID_8EC6E93DDB2345638413D6BBB61635A8",1)</v>
      </c>
      <c r="B40" s="10" t="s">
        <v>3641</v>
      </c>
      <c r="C40" s="10" t="s">
        <v>3642</v>
      </c>
      <c r="D40" s="10" t="s">
        <v>3643</v>
      </c>
      <c r="E40" s="10" t="s">
        <v>3644</v>
      </c>
      <c r="F40" s="10" t="s">
        <v>3645</v>
      </c>
      <c r="G40" s="10" t="s">
        <v>846</v>
      </c>
      <c r="H40" s="10" t="s">
        <v>3646</v>
      </c>
      <c r="I40" s="10" t="s">
        <v>3647</v>
      </c>
      <c r="J40" s="9" t="s">
        <v>934</v>
      </c>
      <c r="K40" s="10" t="s">
        <v>3167</v>
      </c>
      <c r="L40" s="10" t="s">
        <v>851</v>
      </c>
      <c r="M40" s="11">
        <v>4650</v>
      </c>
      <c r="N40" s="12" t="s">
        <v>3168</v>
      </c>
      <c r="O40" s="13" t="s">
        <v>3648</v>
      </c>
      <c r="P40" s="13" t="s">
        <v>2852</v>
      </c>
      <c r="Q40" s="13" t="s">
        <v>3169</v>
      </c>
      <c r="R40" s="13" t="s">
        <v>3416</v>
      </c>
      <c r="S40" s="13" t="s">
        <v>2828</v>
      </c>
      <c r="T40" s="13" t="s">
        <v>3171</v>
      </c>
      <c r="U40" s="13" t="s">
        <v>3152</v>
      </c>
      <c r="V40" s="13" t="s">
        <v>3189</v>
      </c>
      <c r="W40" s="13" t="s">
        <v>2896</v>
      </c>
      <c r="X40" s="14" t="s">
        <v>3649</v>
      </c>
      <c r="Y40" s="14" t="s">
        <v>2867</v>
      </c>
      <c r="Z40" s="14" t="s">
        <v>2822</v>
      </c>
      <c r="AA40" s="14" t="s">
        <v>2823</v>
      </c>
      <c r="AB40" s="15">
        <v>1</v>
      </c>
      <c r="AC40" s="11">
        <v>2379</v>
      </c>
      <c r="AD40" s="11">
        <v>285361.03</v>
      </c>
      <c r="AE40" s="16">
        <v>119.95</v>
      </c>
      <c r="AF40" s="17">
        <v>0.7129</v>
      </c>
      <c r="AG40" s="16">
        <v>16.45</v>
      </c>
      <c r="AH40" s="18">
        <v>4.6</v>
      </c>
      <c r="AI40" s="11">
        <v>2338</v>
      </c>
      <c r="AJ40" s="19">
        <v>0.0622</v>
      </c>
      <c r="AK40" s="11">
        <v>148</v>
      </c>
      <c r="AL40" s="20"/>
      <c r="AM40" s="9" t="s">
        <v>854</v>
      </c>
      <c r="AN40" s="9" t="s">
        <v>3650</v>
      </c>
      <c r="AO40" s="21">
        <v>500</v>
      </c>
      <c r="AP40" s="21">
        <v>2</v>
      </c>
      <c r="AQ40" s="21">
        <v>19</v>
      </c>
      <c r="AR40" s="10" t="s">
        <v>1515</v>
      </c>
      <c r="AS40" s="9" t="s">
        <v>1110</v>
      </c>
      <c r="AT40" s="10" t="s">
        <v>3651</v>
      </c>
      <c r="AU40" s="9" t="s">
        <v>1516</v>
      </c>
      <c r="AV40" s="22" t="s">
        <v>3652</v>
      </c>
      <c r="AW40" s="22" t="s">
        <v>3653</v>
      </c>
    </row>
    <row r="41" ht="24" customHeight="1" spans="1:49">
      <c r="A41" s="9" t="str">
        <f>_xlfn.DISPIMG("ID_3C111418E2164A4AB709FFA5C8CD8AA5",1)</f>
        <v>=DISPIMG("ID_3C111418E2164A4AB709FFA5C8CD8AA5",1)</v>
      </c>
      <c r="B41" s="10" t="s">
        <v>3654</v>
      </c>
      <c r="C41" s="10" t="s">
        <v>3655</v>
      </c>
      <c r="D41" s="10" t="s">
        <v>3196</v>
      </c>
      <c r="E41" s="10" t="s">
        <v>3656</v>
      </c>
      <c r="F41" s="10" t="s">
        <v>3657</v>
      </c>
      <c r="G41" s="10" t="s">
        <v>3658</v>
      </c>
      <c r="H41" s="10" t="s">
        <v>3659</v>
      </c>
      <c r="I41" s="10" t="s">
        <v>3660</v>
      </c>
      <c r="J41" s="9" t="s">
        <v>934</v>
      </c>
      <c r="K41" s="10" t="s">
        <v>3167</v>
      </c>
      <c r="L41" s="10" t="s">
        <v>851</v>
      </c>
      <c r="M41" s="11">
        <v>4857</v>
      </c>
      <c r="N41" s="12" t="s">
        <v>3168</v>
      </c>
      <c r="O41" s="13" t="s">
        <v>1241</v>
      </c>
      <c r="P41" s="13" t="s">
        <v>2809</v>
      </c>
      <c r="Q41" s="13" t="s">
        <v>3216</v>
      </c>
      <c r="R41" s="13" t="s">
        <v>3170</v>
      </c>
      <c r="S41" s="13" t="s">
        <v>2828</v>
      </c>
      <c r="T41" s="13" t="s">
        <v>3171</v>
      </c>
      <c r="U41" s="13" t="s">
        <v>3172</v>
      </c>
      <c r="V41" s="13" t="s">
        <v>3281</v>
      </c>
      <c r="W41" s="13" t="s">
        <v>3174</v>
      </c>
      <c r="X41" s="14" t="s">
        <v>3269</v>
      </c>
      <c r="Y41" s="14" t="s">
        <v>2883</v>
      </c>
      <c r="Z41" s="14" t="s">
        <v>2865</v>
      </c>
      <c r="AA41" s="14" t="s">
        <v>2823</v>
      </c>
      <c r="AB41" s="15">
        <v>1</v>
      </c>
      <c r="AC41" s="11">
        <v>1204</v>
      </c>
      <c r="AD41" s="11">
        <v>43271.758</v>
      </c>
      <c r="AE41" s="16">
        <v>37.64</v>
      </c>
      <c r="AF41" s="17">
        <v>0.4858</v>
      </c>
      <c r="AG41" s="16">
        <v>13.09</v>
      </c>
      <c r="AH41" s="18">
        <v>4.5</v>
      </c>
      <c r="AI41" s="11">
        <v>10319</v>
      </c>
      <c r="AJ41" s="19">
        <v>0.0133</v>
      </c>
      <c r="AK41" s="11">
        <v>16</v>
      </c>
      <c r="AL41" s="20"/>
      <c r="AM41" s="9" t="s">
        <v>947</v>
      </c>
      <c r="AN41" s="9" t="s">
        <v>3661</v>
      </c>
      <c r="AO41" s="21">
        <v>6530</v>
      </c>
      <c r="AP41" s="21">
        <v>1</v>
      </c>
      <c r="AQ41" s="21">
        <v>21</v>
      </c>
      <c r="AR41" s="10" t="s">
        <v>1515</v>
      </c>
      <c r="AS41" s="9" t="s">
        <v>1110</v>
      </c>
      <c r="AT41" s="10" t="s">
        <v>3662</v>
      </c>
      <c r="AU41" s="9" t="s">
        <v>1516</v>
      </c>
      <c r="AV41" s="22" t="s">
        <v>3489</v>
      </c>
      <c r="AW41" s="22" t="s">
        <v>3663</v>
      </c>
    </row>
    <row r="42" ht="24" customHeight="1" spans="1:49">
      <c r="A42" s="9" t="str">
        <f>_xlfn.DISPIMG("ID_E2D0B4512CE342B1B6CD48AFDB5573B3",1)</f>
        <v>=DISPIMG("ID_E2D0B4512CE342B1B6CD48AFDB5573B3",1)</v>
      </c>
      <c r="B42" s="10" t="s">
        <v>3664</v>
      </c>
      <c r="C42" s="10" t="s">
        <v>3665</v>
      </c>
      <c r="D42" s="10" t="s">
        <v>3666</v>
      </c>
      <c r="E42" s="10" t="s">
        <v>3667</v>
      </c>
      <c r="F42" s="10" t="s">
        <v>3668</v>
      </c>
      <c r="G42" s="10" t="s">
        <v>1631</v>
      </c>
      <c r="H42" s="10" t="s">
        <v>3669</v>
      </c>
      <c r="I42" s="10" t="s">
        <v>3670</v>
      </c>
      <c r="J42" s="9" t="s">
        <v>934</v>
      </c>
      <c r="K42" s="10" t="s">
        <v>3167</v>
      </c>
      <c r="L42" s="10" t="s">
        <v>851</v>
      </c>
      <c r="M42" s="11">
        <v>5561</v>
      </c>
      <c r="N42" s="12" t="s">
        <v>3168</v>
      </c>
      <c r="O42" s="13" t="s">
        <v>1266</v>
      </c>
      <c r="P42" s="13" t="s">
        <v>2852</v>
      </c>
      <c r="Q42" s="13" t="s">
        <v>3169</v>
      </c>
      <c r="R42" s="13" t="s">
        <v>3170</v>
      </c>
      <c r="S42" s="13" t="s">
        <v>2838</v>
      </c>
      <c r="T42" s="13" t="s">
        <v>3203</v>
      </c>
      <c r="U42" s="13" t="s">
        <v>3188</v>
      </c>
      <c r="V42" s="13" t="s">
        <v>3189</v>
      </c>
      <c r="W42" s="13" t="s">
        <v>2896</v>
      </c>
      <c r="X42" s="14" t="s">
        <v>3310</v>
      </c>
      <c r="Y42" s="14" t="s">
        <v>2883</v>
      </c>
      <c r="Z42" s="14" t="s">
        <v>2865</v>
      </c>
      <c r="AA42" s="14" t="s">
        <v>2823</v>
      </c>
      <c r="AB42" s="15">
        <v>1</v>
      </c>
      <c r="AC42" s="11">
        <v>3092</v>
      </c>
      <c r="AD42" s="11">
        <v>154569.08</v>
      </c>
      <c r="AE42" s="16">
        <v>49.99</v>
      </c>
      <c r="AF42" s="17">
        <v>0.681</v>
      </c>
      <c r="AG42" s="16">
        <v>8.45</v>
      </c>
      <c r="AH42" s="18">
        <v>4.5</v>
      </c>
      <c r="AI42" s="11">
        <v>5877</v>
      </c>
      <c r="AJ42" s="19">
        <v>0.0275</v>
      </c>
      <c r="AK42" s="11">
        <v>85</v>
      </c>
      <c r="AL42" s="20"/>
      <c r="AM42" s="9" t="s">
        <v>947</v>
      </c>
      <c r="AN42" s="9" t="s">
        <v>3671</v>
      </c>
      <c r="AO42" s="21">
        <v>214</v>
      </c>
      <c r="AP42" s="21">
        <v>1</v>
      </c>
      <c r="AQ42" s="21">
        <v>19</v>
      </c>
      <c r="AR42" s="10" t="s">
        <v>3672</v>
      </c>
      <c r="AS42" s="9" t="s">
        <v>1288</v>
      </c>
      <c r="AT42" s="10" t="s">
        <v>3673</v>
      </c>
      <c r="AU42" s="9" t="s">
        <v>997</v>
      </c>
      <c r="AV42" s="22" t="s">
        <v>3674</v>
      </c>
      <c r="AW42" s="22" t="s">
        <v>3675</v>
      </c>
    </row>
    <row r="43" ht="24" customHeight="1" spans="1:49">
      <c r="A43" s="9" t="str">
        <f>_xlfn.DISPIMG("ID_817213682FE74CFEB2AEEF468F95E630",1)</f>
        <v>=DISPIMG("ID_817213682FE74CFEB2AEEF468F95E630",1)</v>
      </c>
      <c r="B43" s="10" t="s">
        <v>3676</v>
      </c>
      <c r="C43" s="10" t="s">
        <v>3677</v>
      </c>
      <c r="D43" s="10" t="s">
        <v>3196</v>
      </c>
      <c r="E43" s="10" t="s">
        <v>3678</v>
      </c>
      <c r="F43" s="10" t="s">
        <v>3679</v>
      </c>
      <c r="G43" s="10" t="s">
        <v>3680</v>
      </c>
      <c r="H43" s="10" t="s">
        <v>3681</v>
      </c>
      <c r="I43" s="10" t="s">
        <v>3682</v>
      </c>
      <c r="J43" s="9" t="s">
        <v>934</v>
      </c>
      <c r="K43" s="10" t="s">
        <v>3167</v>
      </c>
      <c r="L43" s="10" t="s">
        <v>851</v>
      </c>
      <c r="M43" s="11">
        <v>5596</v>
      </c>
      <c r="N43" s="12" t="s">
        <v>3168</v>
      </c>
      <c r="O43" s="13" t="s">
        <v>1212</v>
      </c>
      <c r="P43" s="13" t="s">
        <v>2809</v>
      </c>
      <c r="Q43" s="13" t="s">
        <v>3169</v>
      </c>
      <c r="R43" s="13" t="s">
        <v>3170</v>
      </c>
      <c r="S43" s="13" t="s">
        <v>3404</v>
      </c>
      <c r="T43" s="13" t="s">
        <v>3203</v>
      </c>
      <c r="U43" s="13" t="s">
        <v>3172</v>
      </c>
      <c r="V43" s="13" t="s">
        <v>3217</v>
      </c>
      <c r="W43" s="13" t="s">
        <v>3174</v>
      </c>
      <c r="X43" s="14" t="s">
        <v>3361</v>
      </c>
      <c r="Y43" s="14" t="s">
        <v>2883</v>
      </c>
      <c r="Z43" s="14" t="s">
        <v>2822</v>
      </c>
      <c r="AA43" s="14" t="s">
        <v>2911</v>
      </c>
      <c r="AB43" s="15">
        <v>1</v>
      </c>
      <c r="AC43" s="11">
        <v>682</v>
      </c>
      <c r="AD43" s="11">
        <v>13633.18</v>
      </c>
      <c r="AE43" s="16">
        <v>19.99</v>
      </c>
      <c r="AF43" s="17">
        <v>0.4593</v>
      </c>
      <c r="AG43" s="16">
        <v>7.81</v>
      </c>
      <c r="AH43" s="18">
        <v>4.6</v>
      </c>
      <c r="AI43" s="11">
        <v>564</v>
      </c>
      <c r="AJ43" s="19">
        <v>0.5674</v>
      </c>
      <c r="AK43" s="11">
        <v>387</v>
      </c>
      <c r="AL43" s="20"/>
      <c r="AM43" s="9" t="s">
        <v>1267</v>
      </c>
      <c r="AN43" s="9" t="s">
        <v>2330</v>
      </c>
      <c r="AO43" s="21">
        <v>319</v>
      </c>
      <c r="AP43" s="21">
        <v>7</v>
      </c>
      <c r="AQ43" s="21">
        <v>1</v>
      </c>
      <c r="AR43" s="10" t="s">
        <v>3683</v>
      </c>
      <c r="AS43" s="9" t="s">
        <v>1288</v>
      </c>
      <c r="AT43" s="10" t="s">
        <v>3684</v>
      </c>
      <c r="AU43" s="9" t="s">
        <v>997</v>
      </c>
      <c r="AV43" s="22" t="s">
        <v>3685</v>
      </c>
      <c r="AW43" s="22" t="s">
        <v>3686</v>
      </c>
    </row>
    <row r="44" ht="24" customHeight="1" spans="1:49">
      <c r="A44" s="9" t="str">
        <f>_xlfn.DISPIMG("ID_42CA2F03F8A54177BB19EC116D1D16BF",1)</f>
        <v>=DISPIMG("ID_42CA2F03F8A54177BB19EC116D1D16BF",1)</v>
      </c>
      <c r="B44" s="10" t="s">
        <v>3687</v>
      </c>
      <c r="C44" s="10" t="s">
        <v>3688</v>
      </c>
      <c r="D44" s="10" t="s">
        <v>3689</v>
      </c>
      <c r="E44" s="10" t="s">
        <v>3690</v>
      </c>
      <c r="F44" s="10" t="s">
        <v>3691</v>
      </c>
      <c r="G44" s="10" t="s">
        <v>3319</v>
      </c>
      <c r="H44" s="10" t="s">
        <v>3692</v>
      </c>
      <c r="I44" s="10" t="s">
        <v>3693</v>
      </c>
      <c r="J44" s="9" t="s">
        <v>974</v>
      </c>
      <c r="K44" s="10" t="s">
        <v>3167</v>
      </c>
      <c r="L44" s="10" t="s">
        <v>851</v>
      </c>
      <c r="M44" s="11">
        <v>5710</v>
      </c>
      <c r="N44" s="12" t="s">
        <v>3168</v>
      </c>
      <c r="O44" s="13" t="s">
        <v>3694</v>
      </c>
      <c r="P44" s="13" t="s">
        <v>2852</v>
      </c>
      <c r="Q44" s="13" t="s">
        <v>3169</v>
      </c>
      <c r="R44" s="13" t="s">
        <v>3416</v>
      </c>
      <c r="S44" s="13" t="s">
        <v>2910</v>
      </c>
      <c r="T44" s="13" t="s">
        <v>3171</v>
      </c>
      <c r="U44" s="13" t="s">
        <v>3188</v>
      </c>
      <c r="V44" s="13" t="s">
        <v>3189</v>
      </c>
      <c r="W44" s="13" t="s">
        <v>2896</v>
      </c>
      <c r="X44" s="14" t="s">
        <v>3218</v>
      </c>
      <c r="Y44" s="14" t="s">
        <v>2867</v>
      </c>
      <c r="Z44" s="14" t="s">
        <v>2865</v>
      </c>
      <c r="AA44" s="14" t="s">
        <v>2868</v>
      </c>
      <c r="AB44" s="15">
        <v>1</v>
      </c>
      <c r="AC44" s="11">
        <v>1383</v>
      </c>
      <c r="AD44" s="11">
        <v>44242.168</v>
      </c>
      <c r="AE44" s="16">
        <v>31.99</v>
      </c>
      <c r="AF44" s="17">
        <v>0.6009</v>
      </c>
      <c r="AG44" s="16">
        <v>7.97</v>
      </c>
      <c r="AH44" s="18">
        <v>4.4</v>
      </c>
      <c r="AI44" s="11">
        <v>930</v>
      </c>
      <c r="AJ44" s="19">
        <v>0.0528</v>
      </c>
      <c r="AK44" s="11">
        <v>73</v>
      </c>
      <c r="AL44" s="20"/>
      <c r="AM44" s="9" t="s">
        <v>876</v>
      </c>
      <c r="AN44" s="9" t="s">
        <v>3326</v>
      </c>
      <c r="AO44" s="21">
        <v>511</v>
      </c>
      <c r="AP44" s="21">
        <v>4</v>
      </c>
      <c r="AQ44" s="21">
        <v>1</v>
      </c>
      <c r="AR44" s="10" t="s">
        <v>3327</v>
      </c>
      <c r="AS44" s="9" t="s">
        <v>1288</v>
      </c>
      <c r="AT44" s="10" t="s">
        <v>3328</v>
      </c>
      <c r="AU44" s="9" t="s">
        <v>997</v>
      </c>
      <c r="AV44" s="22" t="s">
        <v>3695</v>
      </c>
      <c r="AW44" s="22" t="s">
        <v>3696</v>
      </c>
    </row>
    <row r="45" ht="24" customHeight="1" spans="1:49">
      <c r="A45" s="9" t="str">
        <f>_xlfn.DISPIMG("ID_45B439E593DA4407BF050693B6DB2D70",1)</f>
        <v>=DISPIMG("ID_45B439E593DA4407BF050693B6DB2D70",1)</v>
      </c>
      <c r="B45" s="10" t="s">
        <v>3697</v>
      </c>
      <c r="C45" s="10" t="s">
        <v>3698</v>
      </c>
      <c r="D45" s="10" t="s">
        <v>3699</v>
      </c>
      <c r="E45" s="10" t="s">
        <v>3700</v>
      </c>
      <c r="F45" s="10" t="s">
        <v>3701</v>
      </c>
      <c r="G45" s="10" t="s">
        <v>1229</v>
      </c>
      <c r="H45" s="10" t="s">
        <v>3702</v>
      </c>
      <c r="I45" s="10" t="s">
        <v>3703</v>
      </c>
      <c r="J45" s="9" t="s">
        <v>934</v>
      </c>
      <c r="K45" s="10" t="s">
        <v>3167</v>
      </c>
      <c r="L45" s="10" t="s">
        <v>851</v>
      </c>
      <c r="M45" s="11">
        <v>6138</v>
      </c>
      <c r="N45" s="12" t="s">
        <v>3168</v>
      </c>
      <c r="O45" s="13" t="s">
        <v>3704</v>
      </c>
      <c r="P45" s="13" t="s">
        <v>2852</v>
      </c>
      <c r="Q45" s="13" t="s">
        <v>3169</v>
      </c>
      <c r="R45" s="13" t="s">
        <v>3416</v>
      </c>
      <c r="S45" s="13" t="s">
        <v>2838</v>
      </c>
      <c r="T45" s="13" t="s">
        <v>3705</v>
      </c>
      <c r="U45" s="13" t="s">
        <v>3188</v>
      </c>
      <c r="V45" s="13" t="s">
        <v>3706</v>
      </c>
      <c r="W45" s="13" t="s">
        <v>2896</v>
      </c>
      <c r="X45" s="14" t="s">
        <v>3445</v>
      </c>
      <c r="Y45" s="14" t="s">
        <v>2867</v>
      </c>
      <c r="Z45" s="14" t="s">
        <v>2865</v>
      </c>
      <c r="AA45" s="14" t="s">
        <v>2868</v>
      </c>
      <c r="AB45" s="15">
        <v>1</v>
      </c>
      <c r="AC45" s="11">
        <v>1065</v>
      </c>
      <c r="AD45" s="11">
        <v>59725.203</v>
      </c>
      <c r="AE45" s="16">
        <v>56.08</v>
      </c>
      <c r="AF45" s="17">
        <v>0.6241</v>
      </c>
      <c r="AG45" s="16">
        <v>12.67</v>
      </c>
      <c r="AH45" s="18">
        <v>4.5</v>
      </c>
      <c r="AI45" s="11">
        <v>885</v>
      </c>
      <c r="AJ45" s="19">
        <v>0.0188</v>
      </c>
      <c r="AK45" s="11">
        <v>20</v>
      </c>
      <c r="AL45" s="20"/>
      <c r="AM45" s="9" t="s">
        <v>947</v>
      </c>
      <c r="AN45" s="9" t="s">
        <v>3707</v>
      </c>
      <c r="AO45" s="21">
        <v>847</v>
      </c>
      <c r="AP45" s="21">
        <v>2</v>
      </c>
      <c r="AQ45" s="21">
        <v>9</v>
      </c>
      <c r="AR45" s="10" t="s">
        <v>1515</v>
      </c>
      <c r="AS45" s="9" t="s">
        <v>1110</v>
      </c>
      <c r="AT45" s="10" t="s">
        <v>3708</v>
      </c>
      <c r="AU45" s="9" t="s">
        <v>1516</v>
      </c>
      <c r="AV45" s="22" t="s">
        <v>3709</v>
      </c>
      <c r="AW45" s="22" t="s">
        <v>3710</v>
      </c>
    </row>
    <row r="46" ht="24" customHeight="1" spans="1:49">
      <c r="A46" s="9" t="str">
        <f>_xlfn.DISPIMG("ID_188BC6D014674152845E777E2F401738",1)</f>
        <v>=DISPIMG("ID_188BC6D014674152845E777E2F401738",1)</v>
      </c>
      <c r="B46" s="10" t="s">
        <v>3711</v>
      </c>
      <c r="C46" s="10" t="s">
        <v>3712</v>
      </c>
      <c r="D46" s="10" t="s">
        <v>3713</v>
      </c>
      <c r="E46" s="10" t="s">
        <v>3714</v>
      </c>
      <c r="F46" s="10" t="s">
        <v>3715</v>
      </c>
      <c r="G46" s="10" t="s">
        <v>1932</v>
      </c>
      <c r="H46" s="10" t="s">
        <v>3716</v>
      </c>
      <c r="I46" s="10" t="s">
        <v>3717</v>
      </c>
      <c r="J46" s="9" t="s">
        <v>65</v>
      </c>
      <c r="K46" s="10" t="s">
        <v>3167</v>
      </c>
      <c r="L46" s="10" t="s">
        <v>851</v>
      </c>
      <c r="M46" s="11">
        <v>6700</v>
      </c>
      <c r="N46" s="12" t="s">
        <v>3168</v>
      </c>
      <c r="O46" s="13" t="s">
        <v>3718</v>
      </c>
      <c r="P46" s="13" t="s">
        <v>2832</v>
      </c>
      <c r="Q46" s="13" t="s">
        <v>3169</v>
      </c>
      <c r="R46" s="13" t="s">
        <v>3170</v>
      </c>
      <c r="S46" s="13" t="s">
        <v>3187</v>
      </c>
      <c r="T46" s="13" t="s">
        <v>3203</v>
      </c>
      <c r="U46" s="13" t="s">
        <v>3172</v>
      </c>
      <c r="V46" s="13" t="s">
        <v>3268</v>
      </c>
      <c r="W46" s="13" t="s">
        <v>2889</v>
      </c>
      <c r="X46" s="14" t="s">
        <v>3190</v>
      </c>
      <c r="Y46" s="14" t="s">
        <v>2883</v>
      </c>
      <c r="Z46" s="14" t="s">
        <v>2933</v>
      </c>
      <c r="AA46" s="14" t="s">
        <v>2934</v>
      </c>
      <c r="AB46" s="15">
        <v>1</v>
      </c>
      <c r="AC46" s="11">
        <v>16424</v>
      </c>
      <c r="AD46" s="11">
        <v>372496.3</v>
      </c>
      <c r="AE46" s="16">
        <v>24.99</v>
      </c>
      <c r="AF46" s="17">
        <v>0.5127</v>
      </c>
      <c r="AG46" s="16">
        <v>7.65</v>
      </c>
      <c r="AH46" s="18">
        <v>5</v>
      </c>
      <c r="AI46" s="11">
        <v>1</v>
      </c>
      <c r="AJ46" s="19">
        <v>0.0163</v>
      </c>
      <c r="AK46" s="11">
        <v>268</v>
      </c>
      <c r="AL46" s="20"/>
      <c r="AM46" s="9" t="s">
        <v>65</v>
      </c>
      <c r="AN46" s="9" t="s">
        <v>3719</v>
      </c>
      <c r="AO46" s="21">
        <v>291</v>
      </c>
      <c r="AP46" s="21">
        <v>6</v>
      </c>
      <c r="AQ46" s="21">
        <v>1</v>
      </c>
      <c r="AR46" s="10" t="s">
        <v>1515</v>
      </c>
      <c r="AS46" s="9" t="s">
        <v>65</v>
      </c>
      <c r="AT46" s="10" t="s">
        <v>65</v>
      </c>
      <c r="AU46" s="9" t="s">
        <v>1516</v>
      </c>
      <c r="AV46" s="22" t="s">
        <v>3720</v>
      </c>
      <c r="AW46" s="22" t="s">
        <v>3721</v>
      </c>
    </row>
    <row r="47" ht="24" customHeight="1" spans="1:49">
      <c r="A47" s="9" t="str">
        <f>_xlfn.DISPIMG("ID_61A34D134DF9487688DE93F07AB7DC2E",1)</f>
        <v>=DISPIMG("ID_61A34D134DF9487688DE93F07AB7DC2E",1)</v>
      </c>
      <c r="B47" s="10" t="s">
        <v>3722</v>
      </c>
      <c r="C47" s="10" t="s">
        <v>3722</v>
      </c>
      <c r="D47" s="10" t="s">
        <v>65</v>
      </c>
      <c r="E47" s="10" t="s">
        <v>3723</v>
      </c>
      <c r="F47" s="10" t="s">
        <v>3724</v>
      </c>
      <c r="G47" s="10" t="s">
        <v>3725</v>
      </c>
      <c r="H47" s="10" t="s">
        <v>3726</v>
      </c>
      <c r="I47" s="10" t="s">
        <v>3727</v>
      </c>
      <c r="J47" s="9" t="s">
        <v>974</v>
      </c>
      <c r="K47" s="10" t="s">
        <v>3167</v>
      </c>
      <c r="L47" s="10" t="s">
        <v>851</v>
      </c>
      <c r="M47" s="11">
        <v>7173</v>
      </c>
      <c r="N47" s="12" t="s">
        <v>3168</v>
      </c>
      <c r="O47" s="13" t="s">
        <v>1317</v>
      </c>
      <c r="P47" s="13" t="s">
        <v>2832</v>
      </c>
      <c r="Q47" s="13" t="s">
        <v>3169</v>
      </c>
      <c r="R47" s="13" t="s">
        <v>3170</v>
      </c>
      <c r="S47" s="13" t="s">
        <v>2838</v>
      </c>
      <c r="T47" s="13" t="s">
        <v>3203</v>
      </c>
      <c r="U47" s="13" t="s">
        <v>3172</v>
      </c>
      <c r="V47" s="13" t="s">
        <v>3217</v>
      </c>
      <c r="W47" s="13" t="s">
        <v>2889</v>
      </c>
      <c r="X47" s="14" t="s">
        <v>3175</v>
      </c>
      <c r="Y47" s="14" t="s">
        <v>2917</v>
      </c>
      <c r="Z47" s="14" t="s">
        <v>2865</v>
      </c>
      <c r="AA47" s="14" t="s">
        <v>2823</v>
      </c>
      <c r="AB47" s="15">
        <v>1</v>
      </c>
      <c r="AC47" s="11">
        <v>1859</v>
      </c>
      <c r="AD47" s="11">
        <v>48315.41</v>
      </c>
      <c r="AE47" s="16">
        <v>25.99</v>
      </c>
      <c r="AF47" s="17">
        <v>0.5434</v>
      </c>
      <c r="AG47" s="16">
        <v>7.97</v>
      </c>
      <c r="AH47" s="18">
        <v>4.5</v>
      </c>
      <c r="AI47" s="11">
        <v>6691</v>
      </c>
      <c r="AJ47" s="19">
        <v>0.0549</v>
      </c>
      <c r="AK47" s="11">
        <v>102</v>
      </c>
      <c r="AL47" s="20"/>
      <c r="AM47" s="9" t="s">
        <v>854</v>
      </c>
      <c r="AN47" s="9" t="s">
        <v>3728</v>
      </c>
      <c r="AO47" s="21">
        <v>1381</v>
      </c>
      <c r="AP47" s="21">
        <v>1</v>
      </c>
      <c r="AQ47" s="21">
        <v>2</v>
      </c>
      <c r="AR47" s="10" t="s">
        <v>3298</v>
      </c>
      <c r="AS47" s="9" t="s">
        <v>1288</v>
      </c>
      <c r="AT47" s="10" t="s">
        <v>3299</v>
      </c>
      <c r="AU47" s="9" t="s">
        <v>997</v>
      </c>
      <c r="AV47" s="22" t="s">
        <v>3729</v>
      </c>
      <c r="AW47" s="22" t="s">
        <v>3730</v>
      </c>
    </row>
    <row r="48" ht="24" customHeight="1" spans="1:49">
      <c r="A48" s="9" t="str">
        <f>_xlfn.DISPIMG("ID_5DC55AC735BC445BA1F34315228E03E1",1)</f>
        <v>=DISPIMG("ID_5DC55AC735BC445BA1F34315228E03E1",1)</v>
      </c>
      <c r="B48" s="10" t="s">
        <v>3731</v>
      </c>
      <c r="C48" s="10" t="s">
        <v>3732</v>
      </c>
      <c r="D48" s="10" t="s">
        <v>3733</v>
      </c>
      <c r="E48" s="10" t="s">
        <v>3734</v>
      </c>
      <c r="F48" s="10" t="s">
        <v>3735</v>
      </c>
      <c r="G48" s="10" t="s">
        <v>3736</v>
      </c>
      <c r="H48" s="10" t="s">
        <v>3737</v>
      </c>
      <c r="I48" s="10" t="s">
        <v>3738</v>
      </c>
      <c r="J48" s="9" t="s">
        <v>893</v>
      </c>
      <c r="K48" s="10" t="s">
        <v>3167</v>
      </c>
      <c r="L48" s="10" t="s">
        <v>851</v>
      </c>
      <c r="M48" s="11">
        <v>7296</v>
      </c>
      <c r="N48" s="12" t="s">
        <v>3739</v>
      </c>
      <c r="O48" s="13" t="s">
        <v>3740</v>
      </c>
      <c r="P48" s="13" t="s">
        <v>2852</v>
      </c>
      <c r="Q48" s="13" t="s">
        <v>3216</v>
      </c>
      <c r="R48" s="13" t="s">
        <v>3170</v>
      </c>
      <c r="S48" s="13" t="s">
        <v>2950</v>
      </c>
      <c r="T48" s="13" t="s">
        <v>3203</v>
      </c>
      <c r="U48" s="13" t="s">
        <v>3172</v>
      </c>
      <c r="V48" s="13" t="s">
        <v>3217</v>
      </c>
      <c r="W48" s="13" t="s">
        <v>2889</v>
      </c>
      <c r="X48" s="14" t="s">
        <v>3269</v>
      </c>
      <c r="Y48" s="14" t="s">
        <v>2867</v>
      </c>
      <c r="Z48" s="14" t="s">
        <v>2865</v>
      </c>
      <c r="AA48" s="14" t="s">
        <v>2823</v>
      </c>
      <c r="AB48" s="15">
        <v>1</v>
      </c>
      <c r="AC48" s="11">
        <v>1633</v>
      </c>
      <c r="AD48" s="11">
        <v>65303.67</v>
      </c>
      <c r="AE48" s="16">
        <v>39.99</v>
      </c>
      <c r="AF48" s="17">
        <v>0.6267</v>
      </c>
      <c r="AG48" s="16">
        <v>8.93</v>
      </c>
      <c r="AH48" s="18">
        <v>4.5</v>
      </c>
      <c r="AI48" s="11">
        <v>1491</v>
      </c>
      <c r="AJ48" s="19">
        <v>0.0514</v>
      </c>
      <c r="AK48" s="11">
        <v>84</v>
      </c>
      <c r="AL48" s="11">
        <v>14</v>
      </c>
      <c r="AM48" s="9" t="s">
        <v>947</v>
      </c>
      <c r="AN48" s="9" t="s">
        <v>3741</v>
      </c>
      <c r="AO48" s="21">
        <v>391</v>
      </c>
      <c r="AP48" s="21">
        <v>3</v>
      </c>
      <c r="AQ48" s="21">
        <v>4</v>
      </c>
      <c r="AR48" s="10" t="s">
        <v>3742</v>
      </c>
      <c r="AS48" s="9" t="s">
        <v>1288</v>
      </c>
      <c r="AT48" s="10" t="s">
        <v>3743</v>
      </c>
      <c r="AU48" s="9" t="s">
        <v>997</v>
      </c>
      <c r="AV48" s="22" t="s">
        <v>3744</v>
      </c>
      <c r="AW48" s="22" t="s">
        <v>3745</v>
      </c>
    </row>
    <row r="49" ht="24" customHeight="1" spans="1:49">
      <c r="A49" s="9" t="str">
        <f>_xlfn.DISPIMG("ID_2FB8380878444791AF125DC468B4D0EC",1)</f>
        <v>=DISPIMG("ID_2FB8380878444791AF125DC468B4D0EC",1)</v>
      </c>
      <c r="B49" s="10" t="s">
        <v>3746</v>
      </c>
      <c r="C49" s="10" t="s">
        <v>3747</v>
      </c>
      <c r="D49" s="10" t="s">
        <v>3748</v>
      </c>
      <c r="E49" s="10" t="s">
        <v>3749</v>
      </c>
      <c r="F49" s="10" t="s">
        <v>3750</v>
      </c>
      <c r="G49" s="10" t="s">
        <v>1229</v>
      </c>
      <c r="H49" s="10" t="s">
        <v>3751</v>
      </c>
      <c r="I49" s="10" t="s">
        <v>3752</v>
      </c>
      <c r="J49" s="9" t="s">
        <v>934</v>
      </c>
      <c r="K49" s="10" t="s">
        <v>3167</v>
      </c>
      <c r="L49" s="10" t="s">
        <v>851</v>
      </c>
      <c r="M49" s="11">
        <v>7385</v>
      </c>
      <c r="N49" s="12" t="s">
        <v>3168</v>
      </c>
      <c r="O49" s="13" t="s">
        <v>1349</v>
      </c>
      <c r="P49" s="13" t="s">
        <v>2852</v>
      </c>
      <c r="Q49" s="13" t="s">
        <v>3216</v>
      </c>
      <c r="R49" s="13" t="s">
        <v>3416</v>
      </c>
      <c r="S49" s="13" t="s">
        <v>3404</v>
      </c>
      <c r="T49" s="13" t="s">
        <v>3171</v>
      </c>
      <c r="U49" s="13" t="s">
        <v>3188</v>
      </c>
      <c r="V49" s="13" t="s">
        <v>3173</v>
      </c>
      <c r="W49" s="13" t="s">
        <v>2896</v>
      </c>
      <c r="X49" s="14" t="s">
        <v>2939</v>
      </c>
      <c r="Y49" s="14" t="s">
        <v>2821</v>
      </c>
      <c r="Z49" s="14" t="s">
        <v>2865</v>
      </c>
      <c r="AA49" s="14" t="s">
        <v>2823</v>
      </c>
      <c r="AB49" s="15">
        <v>1</v>
      </c>
      <c r="AC49" s="11">
        <v>1380</v>
      </c>
      <c r="AD49" s="11">
        <v>110262</v>
      </c>
      <c r="AE49" s="16">
        <v>79.9</v>
      </c>
      <c r="AF49" s="17">
        <v>0.6651</v>
      </c>
      <c r="AG49" s="16">
        <v>14.77</v>
      </c>
      <c r="AH49" s="18">
        <v>4.4</v>
      </c>
      <c r="AI49" s="11">
        <v>6934</v>
      </c>
      <c r="AJ49" s="19">
        <v>0.0449</v>
      </c>
      <c r="AK49" s="11">
        <v>62</v>
      </c>
      <c r="AL49" s="20"/>
      <c r="AM49" s="9" t="s">
        <v>854</v>
      </c>
      <c r="AN49" s="9" t="s">
        <v>3753</v>
      </c>
      <c r="AO49" s="21">
        <v>3801</v>
      </c>
      <c r="AP49" s="21">
        <v>6</v>
      </c>
      <c r="AQ49" s="21">
        <v>4</v>
      </c>
      <c r="AR49" s="10" t="s">
        <v>1515</v>
      </c>
      <c r="AS49" s="9" t="s">
        <v>65</v>
      </c>
      <c r="AT49" s="10" t="s">
        <v>65</v>
      </c>
      <c r="AU49" s="9" t="s">
        <v>1516</v>
      </c>
      <c r="AV49" s="22" t="s">
        <v>3754</v>
      </c>
      <c r="AW49" s="22" t="s">
        <v>3755</v>
      </c>
    </row>
    <row r="50" ht="24" customHeight="1" spans="1:49">
      <c r="A50" s="9" t="str">
        <f>_xlfn.DISPIMG("ID_23891904F078474C81C00D686A346A54",1)</f>
        <v>=DISPIMG("ID_23891904F078474C81C00D686A346A54",1)</v>
      </c>
      <c r="B50" s="10" t="s">
        <v>3756</v>
      </c>
      <c r="C50" s="10" t="s">
        <v>3757</v>
      </c>
      <c r="D50" s="10" t="s">
        <v>3758</v>
      </c>
      <c r="E50" s="10" t="s">
        <v>3759</v>
      </c>
      <c r="F50" s="10" t="s">
        <v>3760</v>
      </c>
      <c r="G50" s="10" t="s">
        <v>3761</v>
      </c>
      <c r="H50" s="10" t="s">
        <v>3762</v>
      </c>
      <c r="I50" s="10" t="s">
        <v>3763</v>
      </c>
      <c r="J50" s="9" t="s">
        <v>934</v>
      </c>
      <c r="K50" s="10" t="s">
        <v>3167</v>
      </c>
      <c r="L50" s="10" t="s">
        <v>851</v>
      </c>
      <c r="M50" s="11">
        <v>7539</v>
      </c>
      <c r="N50" s="12" t="s">
        <v>3168</v>
      </c>
      <c r="O50" s="13" t="s">
        <v>3764</v>
      </c>
      <c r="P50" s="13" t="s">
        <v>2852</v>
      </c>
      <c r="Q50" s="13" t="s">
        <v>3216</v>
      </c>
      <c r="R50" s="13" t="s">
        <v>3170</v>
      </c>
      <c r="S50" s="13" t="s">
        <v>2910</v>
      </c>
      <c r="T50" s="13" t="s">
        <v>3171</v>
      </c>
      <c r="U50" s="13" t="s">
        <v>3188</v>
      </c>
      <c r="V50" s="13" t="s">
        <v>3189</v>
      </c>
      <c r="W50" s="13" t="s">
        <v>2896</v>
      </c>
      <c r="X50" s="14" t="s">
        <v>3269</v>
      </c>
      <c r="Y50" s="14" t="s">
        <v>2831</v>
      </c>
      <c r="Z50" s="14" t="s">
        <v>2865</v>
      </c>
      <c r="AA50" s="14" t="s">
        <v>2884</v>
      </c>
      <c r="AB50" s="15">
        <v>1</v>
      </c>
      <c r="AC50" s="11">
        <v>942</v>
      </c>
      <c r="AD50" s="11">
        <v>37670.582</v>
      </c>
      <c r="AE50" s="16">
        <v>39.99</v>
      </c>
      <c r="AF50" s="17">
        <v>0.6187</v>
      </c>
      <c r="AG50" s="16">
        <v>9.25</v>
      </c>
      <c r="AH50" s="18">
        <v>4.4</v>
      </c>
      <c r="AI50" s="11">
        <v>485</v>
      </c>
      <c r="AJ50" s="19">
        <v>0.0308</v>
      </c>
      <c r="AK50" s="11">
        <v>29</v>
      </c>
      <c r="AL50" s="20"/>
      <c r="AM50" s="9" t="s">
        <v>947</v>
      </c>
      <c r="AN50" s="9" t="s">
        <v>3765</v>
      </c>
      <c r="AO50" s="21">
        <v>580</v>
      </c>
      <c r="AP50" s="21">
        <v>1</v>
      </c>
      <c r="AQ50" s="21">
        <v>1</v>
      </c>
      <c r="AR50" s="10" t="s">
        <v>3761</v>
      </c>
      <c r="AS50" s="9" t="s">
        <v>1288</v>
      </c>
      <c r="AT50" s="10" t="s">
        <v>3766</v>
      </c>
      <c r="AU50" s="9" t="s">
        <v>997</v>
      </c>
      <c r="AV50" s="22" t="s">
        <v>3767</v>
      </c>
      <c r="AW50" s="22" t="s">
        <v>3768</v>
      </c>
    </row>
    <row r="51" ht="24" customHeight="1" spans="1:49">
      <c r="A51" s="9" t="str">
        <f>_xlfn.DISPIMG("ID_2D7ABBA942304E3797AAD3762A463621",1)</f>
        <v>=DISPIMG("ID_2D7ABBA942304E3797AAD3762A463621",1)</v>
      </c>
      <c r="B51" s="10" t="s">
        <v>3769</v>
      </c>
      <c r="C51" s="10" t="s">
        <v>3770</v>
      </c>
      <c r="D51" s="10" t="s">
        <v>3771</v>
      </c>
      <c r="E51" s="10" t="s">
        <v>3772</v>
      </c>
      <c r="F51" s="10" t="s">
        <v>3773</v>
      </c>
      <c r="G51" s="10" t="s">
        <v>1238</v>
      </c>
      <c r="H51" s="10" t="s">
        <v>3774</v>
      </c>
      <c r="I51" s="10" t="s">
        <v>3775</v>
      </c>
      <c r="J51" s="9" t="s">
        <v>934</v>
      </c>
      <c r="K51" s="10" t="s">
        <v>3167</v>
      </c>
      <c r="L51" s="10" t="s">
        <v>851</v>
      </c>
      <c r="M51" s="11">
        <v>7826</v>
      </c>
      <c r="N51" s="12" t="s">
        <v>3168</v>
      </c>
      <c r="O51" s="13" t="s">
        <v>3776</v>
      </c>
      <c r="P51" s="13" t="s">
        <v>2809</v>
      </c>
      <c r="Q51" s="13" t="s">
        <v>3169</v>
      </c>
      <c r="R51" s="13" t="s">
        <v>3416</v>
      </c>
      <c r="S51" s="13" t="s">
        <v>2838</v>
      </c>
      <c r="T51" s="13" t="s">
        <v>3203</v>
      </c>
      <c r="U51" s="13" t="s">
        <v>3152</v>
      </c>
      <c r="V51" s="13" t="s">
        <v>3173</v>
      </c>
      <c r="W51" s="13" t="s">
        <v>2896</v>
      </c>
      <c r="X51" s="14" t="s">
        <v>3310</v>
      </c>
      <c r="Y51" s="14" t="s">
        <v>2831</v>
      </c>
      <c r="Z51" s="14" t="s">
        <v>2822</v>
      </c>
      <c r="AA51" s="14" t="s">
        <v>2823</v>
      </c>
      <c r="AB51" s="15">
        <v>1</v>
      </c>
      <c r="AC51" s="11">
        <v>1578</v>
      </c>
      <c r="AD51" s="11">
        <v>75728.22</v>
      </c>
      <c r="AE51" s="16">
        <v>47.99</v>
      </c>
      <c r="AF51" s="17">
        <v>0.5947</v>
      </c>
      <c r="AG51" s="16">
        <v>12.25</v>
      </c>
      <c r="AH51" s="18">
        <v>4.6</v>
      </c>
      <c r="AI51" s="11">
        <v>2256</v>
      </c>
      <c r="AJ51" s="19">
        <v>0.0913</v>
      </c>
      <c r="AK51" s="11">
        <v>144</v>
      </c>
      <c r="AL51" s="20"/>
      <c r="AM51" s="9" t="s">
        <v>947</v>
      </c>
      <c r="AN51" s="9" t="s">
        <v>3777</v>
      </c>
      <c r="AO51" s="21">
        <v>644</v>
      </c>
      <c r="AP51" s="21">
        <v>3</v>
      </c>
      <c r="AQ51" s="21">
        <v>14</v>
      </c>
      <c r="AR51" s="10" t="s">
        <v>3778</v>
      </c>
      <c r="AS51" s="9" t="s">
        <v>1110</v>
      </c>
      <c r="AT51" s="10" t="s">
        <v>3779</v>
      </c>
      <c r="AU51" s="9" t="s">
        <v>2728</v>
      </c>
      <c r="AV51" s="22" t="s">
        <v>3780</v>
      </c>
      <c r="AW51" s="22" t="s">
        <v>3781</v>
      </c>
    </row>
    <row r="52" ht="24" customHeight="1" spans="1:49">
      <c r="A52" s="9" t="str">
        <f>_xlfn.DISPIMG("ID_D43F373397C640BDBD1C18103C022525",1)</f>
        <v>=DISPIMG("ID_D43F373397C640BDBD1C18103C022525",1)</v>
      </c>
      <c r="B52" s="10" t="s">
        <v>3782</v>
      </c>
      <c r="C52" s="10" t="s">
        <v>3783</v>
      </c>
      <c r="D52" s="10" t="s">
        <v>3784</v>
      </c>
      <c r="E52" s="10" t="s">
        <v>3785</v>
      </c>
      <c r="F52" s="10" t="s">
        <v>3786</v>
      </c>
      <c r="G52" s="10" t="s">
        <v>1229</v>
      </c>
      <c r="H52" s="10" t="s">
        <v>3787</v>
      </c>
      <c r="I52" s="10" t="s">
        <v>3788</v>
      </c>
      <c r="J52" s="9" t="s">
        <v>934</v>
      </c>
      <c r="K52" s="10" t="s">
        <v>3167</v>
      </c>
      <c r="L52" s="10" t="s">
        <v>851</v>
      </c>
      <c r="M52" s="11">
        <v>7886</v>
      </c>
      <c r="N52" s="12" t="s">
        <v>3168</v>
      </c>
      <c r="O52" s="13" t="s">
        <v>3789</v>
      </c>
      <c r="P52" s="13" t="s">
        <v>2852</v>
      </c>
      <c r="Q52" s="13" t="s">
        <v>3169</v>
      </c>
      <c r="R52" s="13" t="s">
        <v>3170</v>
      </c>
      <c r="S52" s="13" t="s">
        <v>2910</v>
      </c>
      <c r="T52" s="13" t="s">
        <v>3171</v>
      </c>
      <c r="U52" s="13" t="s">
        <v>3188</v>
      </c>
      <c r="V52" s="13" t="s">
        <v>3325</v>
      </c>
      <c r="W52" s="13" t="s">
        <v>2896</v>
      </c>
      <c r="X52" s="14" t="s">
        <v>3790</v>
      </c>
      <c r="Y52" s="14" t="s">
        <v>2867</v>
      </c>
      <c r="Z52" s="14" t="s">
        <v>2865</v>
      </c>
      <c r="AA52" s="14" t="s">
        <v>2823</v>
      </c>
      <c r="AB52" s="15">
        <v>1</v>
      </c>
      <c r="AC52" s="11">
        <v>1183</v>
      </c>
      <c r="AD52" s="11">
        <v>63775.53</v>
      </c>
      <c r="AE52" s="16">
        <v>53.91</v>
      </c>
      <c r="AF52" s="17">
        <v>0.6072</v>
      </c>
      <c r="AG52" s="16">
        <v>13.09</v>
      </c>
      <c r="AH52" s="18">
        <v>4.5</v>
      </c>
      <c r="AI52" s="11">
        <v>3018</v>
      </c>
      <c r="AJ52" s="19">
        <v>0.0363</v>
      </c>
      <c r="AK52" s="11">
        <v>43</v>
      </c>
      <c r="AL52" s="20"/>
      <c r="AM52" s="9" t="s">
        <v>947</v>
      </c>
      <c r="AN52" s="9" t="s">
        <v>3791</v>
      </c>
      <c r="AO52" s="21">
        <v>2508</v>
      </c>
      <c r="AP52" s="21">
        <v>3</v>
      </c>
      <c r="AQ52" s="21">
        <v>5</v>
      </c>
      <c r="AR52" s="10" t="s">
        <v>1515</v>
      </c>
      <c r="AS52" s="9" t="s">
        <v>1110</v>
      </c>
      <c r="AT52" s="10" t="s">
        <v>3792</v>
      </c>
      <c r="AU52" s="9" t="s">
        <v>1516</v>
      </c>
      <c r="AV52" s="22" t="s">
        <v>3387</v>
      </c>
      <c r="AW52" s="22" t="s">
        <v>3793</v>
      </c>
    </row>
    <row r="53" ht="24" customHeight="1" spans="1:49">
      <c r="A53" s="9" t="str">
        <f>_xlfn.DISPIMG("ID_34C2525A37C649C9A5F3A2003581499A",1)</f>
        <v>=DISPIMG("ID_34C2525A37C649C9A5F3A2003581499A",1)</v>
      </c>
      <c r="B53" s="10" t="s">
        <v>3794</v>
      </c>
      <c r="C53" s="10" t="s">
        <v>3795</v>
      </c>
      <c r="D53" s="10" t="s">
        <v>3796</v>
      </c>
      <c r="E53" s="10" t="s">
        <v>3797</v>
      </c>
      <c r="F53" s="10" t="s">
        <v>3798</v>
      </c>
      <c r="G53" s="10" t="s">
        <v>1856</v>
      </c>
      <c r="H53" s="10" t="s">
        <v>3799</v>
      </c>
      <c r="I53" s="10" t="s">
        <v>3800</v>
      </c>
      <c r="J53" s="9" t="s">
        <v>934</v>
      </c>
      <c r="K53" s="10" t="s">
        <v>3167</v>
      </c>
      <c r="L53" s="10" t="s">
        <v>851</v>
      </c>
      <c r="M53" s="11">
        <v>7991</v>
      </c>
      <c r="N53" s="12" t="s">
        <v>3168</v>
      </c>
      <c r="O53" s="13" t="s">
        <v>1398</v>
      </c>
      <c r="P53" s="13" t="s">
        <v>2809</v>
      </c>
      <c r="Q53" s="13" t="s">
        <v>3216</v>
      </c>
      <c r="R53" s="13" t="s">
        <v>3416</v>
      </c>
      <c r="S53" s="13" t="s">
        <v>2910</v>
      </c>
      <c r="T53" s="13" t="s">
        <v>3203</v>
      </c>
      <c r="U53" s="13" t="s">
        <v>3152</v>
      </c>
      <c r="V53" s="13" t="s">
        <v>3801</v>
      </c>
      <c r="W53" s="13" t="s">
        <v>3174</v>
      </c>
      <c r="X53" s="14" t="s">
        <v>3445</v>
      </c>
      <c r="Y53" s="14" t="s">
        <v>2831</v>
      </c>
      <c r="Z53" s="14" t="s">
        <v>2822</v>
      </c>
      <c r="AA53" s="14" t="s">
        <v>2823</v>
      </c>
      <c r="AB53" s="15">
        <v>1</v>
      </c>
      <c r="AC53" s="11">
        <v>981</v>
      </c>
      <c r="AD53" s="11">
        <v>58850.19</v>
      </c>
      <c r="AE53" s="16">
        <v>59.99</v>
      </c>
      <c r="AF53" s="17">
        <v>0.6248</v>
      </c>
      <c r="AG53" s="16">
        <v>13.51</v>
      </c>
      <c r="AH53" s="18">
        <v>4.6</v>
      </c>
      <c r="AI53" s="11">
        <v>1611</v>
      </c>
      <c r="AJ53" s="19">
        <v>0.0316</v>
      </c>
      <c r="AK53" s="11">
        <v>31</v>
      </c>
      <c r="AL53" s="20"/>
      <c r="AM53" s="9" t="s">
        <v>854</v>
      </c>
      <c r="AN53" s="9" t="s">
        <v>1861</v>
      </c>
      <c r="AO53" s="21">
        <v>2526</v>
      </c>
      <c r="AP53" s="21">
        <v>3</v>
      </c>
      <c r="AQ53" s="21">
        <v>6</v>
      </c>
      <c r="AR53" s="10" t="s">
        <v>1862</v>
      </c>
      <c r="AS53" s="9" t="s">
        <v>1401</v>
      </c>
      <c r="AT53" s="10" t="s">
        <v>1863</v>
      </c>
      <c r="AU53" s="9" t="s">
        <v>997</v>
      </c>
      <c r="AV53" s="22" t="s">
        <v>3802</v>
      </c>
      <c r="AW53" s="22" t="s">
        <v>3803</v>
      </c>
    </row>
    <row r="54" ht="24" customHeight="1" spans="1:49">
      <c r="A54" s="9" t="str">
        <f>_xlfn.DISPIMG("ID_E77E3D4445CC440AAD290F2B225FC854",1)</f>
        <v>=DISPIMG("ID_E77E3D4445CC440AAD290F2B225FC854",1)</v>
      </c>
      <c r="B54" s="10" t="s">
        <v>3804</v>
      </c>
      <c r="C54" s="10" t="s">
        <v>3805</v>
      </c>
      <c r="D54" s="10" t="s">
        <v>3806</v>
      </c>
      <c r="E54" s="10" t="s">
        <v>3807</v>
      </c>
      <c r="F54" s="10" t="s">
        <v>3808</v>
      </c>
      <c r="G54" s="10" t="s">
        <v>3809</v>
      </c>
      <c r="H54" s="10" t="s">
        <v>3810</v>
      </c>
      <c r="I54" s="10" t="s">
        <v>3811</v>
      </c>
      <c r="J54" s="9" t="s">
        <v>65</v>
      </c>
      <c r="K54" s="10" t="s">
        <v>3167</v>
      </c>
      <c r="L54" s="10" t="s">
        <v>851</v>
      </c>
      <c r="M54" s="11">
        <v>8223</v>
      </c>
      <c r="N54" s="12" t="s">
        <v>3168</v>
      </c>
      <c r="O54" s="13" t="s">
        <v>1285</v>
      </c>
      <c r="P54" s="13" t="s">
        <v>2809</v>
      </c>
      <c r="Q54" s="13" t="s">
        <v>3169</v>
      </c>
      <c r="R54" s="13" t="s">
        <v>3170</v>
      </c>
      <c r="S54" s="13" t="s">
        <v>3404</v>
      </c>
      <c r="T54" s="13" t="s">
        <v>3171</v>
      </c>
      <c r="U54" s="13" t="s">
        <v>3172</v>
      </c>
      <c r="V54" s="13" t="s">
        <v>3189</v>
      </c>
      <c r="W54" s="13" t="s">
        <v>2896</v>
      </c>
      <c r="X54" s="14" t="s">
        <v>3175</v>
      </c>
      <c r="Y54" s="14" t="s">
        <v>2917</v>
      </c>
      <c r="Z54" s="14" t="s">
        <v>2933</v>
      </c>
      <c r="AA54" s="14" t="s">
        <v>2979</v>
      </c>
      <c r="AB54" s="15">
        <v>1</v>
      </c>
      <c r="AC54" s="11">
        <v>70</v>
      </c>
      <c r="AD54" s="11">
        <v>2099.3</v>
      </c>
      <c r="AE54" s="16">
        <v>29.99</v>
      </c>
      <c r="AF54" s="17">
        <v>0</v>
      </c>
      <c r="AG54" s="27"/>
      <c r="AH54" s="18">
        <v>5</v>
      </c>
      <c r="AI54" s="11">
        <v>60</v>
      </c>
      <c r="AJ54" s="19">
        <v>0</v>
      </c>
      <c r="AK54" s="11">
        <v>0</v>
      </c>
      <c r="AL54" s="20"/>
      <c r="AM54" s="9" t="s">
        <v>65</v>
      </c>
      <c r="AN54" s="9" t="s">
        <v>3812</v>
      </c>
      <c r="AO54" s="21">
        <v>113</v>
      </c>
      <c r="AP54" s="21">
        <v>2</v>
      </c>
      <c r="AQ54" s="21">
        <v>1</v>
      </c>
      <c r="AR54" s="10" t="s">
        <v>3813</v>
      </c>
      <c r="AS54" s="9" t="s">
        <v>1288</v>
      </c>
      <c r="AT54" s="10" t="s">
        <v>3814</v>
      </c>
      <c r="AU54" s="9" t="s">
        <v>997</v>
      </c>
      <c r="AV54" s="22" t="s">
        <v>3815</v>
      </c>
      <c r="AW54" s="22" t="s">
        <v>3816</v>
      </c>
    </row>
    <row r="55" ht="24" customHeight="1" spans="1:49">
      <c r="A55" s="9" t="str">
        <f>_xlfn.DISPIMG("ID_AE127C22EF4840058939BAB10AD61F78",1)</f>
        <v>=DISPIMG("ID_AE127C22EF4840058939BAB10AD61F78",1)</v>
      </c>
      <c r="B55" s="10" t="s">
        <v>3817</v>
      </c>
      <c r="C55" s="10" t="s">
        <v>3817</v>
      </c>
      <c r="D55" s="10" t="s">
        <v>65</v>
      </c>
      <c r="E55" s="10" t="s">
        <v>3818</v>
      </c>
      <c r="F55" s="10" t="s">
        <v>3819</v>
      </c>
      <c r="G55" s="10" t="s">
        <v>3264</v>
      </c>
      <c r="H55" s="10" t="s">
        <v>3820</v>
      </c>
      <c r="I55" s="10" t="s">
        <v>3821</v>
      </c>
      <c r="J55" s="9" t="s">
        <v>934</v>
      </c>
      <c r="K55" s="10" t="s">
        <v>3167</v>
      </c>
      <c r="L55" s="10" t="s">
        <v>851</v>
      </c>
      <c r="M55" s="11">
        <v>8251</v>
      </c>
      <c r="N55" s="12" t="s">
        <v>3168</v>
      </c>
      <c r="O55" s="13" t="s">
        <v>1421</v>
      </c>
      <c r="P55" s="13" t="s">
        <v>2809</v>
      </c>
      <c r="Q55" s="13" t="s">
        <v>3169</v>
      </c>
      <c r="R55" s="13" t="s">
        <v>3170</v>
      </c>
      <c r="S55" s="13" t="s">
        <v>2966</v>
      </c>
      <c r="T55" s="13" t="s">
        <v>3171</v>
      </c>
      <c r="U55" s="13" t="s">
        <v>3172</v>
      </c>
      <c r="V55" s="13" t="s">
        <v>3281</v>
      </c>
      <c r="W55" s="13" t="s">
        <v>3174</v>
      </c>
      <c r="X55" s="14" t="s">
        <v>3175</v>
      </c>
      <c r="Y55" s="14" t="s">
        <v>2867</v>
      </c>
      <c r="Z55" s="14" t="s">
        <v>2865</v>
      </c>
      <c r="AA55" s="14" t="s">
        <v>2868</v>
      </c>
      <c r="AB55" s="15">
        <v>1</v>
      </c>
      <c r="AC55" s="11">
        <v>3493</v>
      </c>
      <c r="AD55" s="11">
        <v>94276.07</v>
      </c>
      <c r="AE55" s="16">
        <v>26.99</v>
      </c>
      <c r="AF55" s="17">
        <v>0.5547</v>
      </c>
      <c r="AG55" s="16">
        <v>7.97</v>
      </c>
      <c r="AH55" s="18">
        <v>4.3</v>
      </c>
      <c r="AI55" s="11">
        <v>965</v>
      </c>
      <c r="AJ55" s="19">
        <v>0.0152</v>
      </c>
      <c r="AK55" s="11">
        <v>53</v>
      </c>
      <c r="AL55" s="20"/>
      <c r="AM55" s="9" t="s">
        <v>1098</v>
      </c>
      <c r="AN55" s="9" t="s">
        <v>3822</v>
      </c>
      <c r="AO55" s="21">
        <v>528</v>
      </c>
      <c r="AP55" s="21">
        <v>1</v>
      </c>
      <c r="AQ55" s="21">
        <v>8</v>
      </c>
      <c r="AR55" s="10" t="s">
        <v>1515</v>
      </c>
      <c r="AS55" s="9" t="s">
        <v>65</v>
      </c>
      <c r="AT55" s="10" t="s">
        <v>65</v>
      </c>
      <c r="AU55" s="9" t="s">
        <v>1516</v>
      </c>
      <c r="AV55" s="22" t="s">
        <v>3823</v>
      </c>
      <c r="AW55" s="22" t="s">
        <v>3824</v>
      </c>
    </row>
    <row r="56" ht="24" customHeight="1" spans="1:49">
      <c r="A56" s="9" t="str">
        <f>_xlfn.DISPIMG("ID_92D6CEDD47AA4CB898E3450869F591E8",1)</f>
        <v>=DISPIMG("ID_92D6CEDD47AA4CB898E3450869F591E8",1)</v>
      </c>
      <c r="B56" s="10" t="s">
        <v>3825</v>
      </c>
      <c r="C56" s="10" t="s">
        <v>3826</v>
      </c>
      <c r="D56" s="10" t="s">
        <v>3827</v>
      </c>
      <c r="E56" s="10" t="s">
        <v>3828</v>
      </c>
      <c r="F56" s="10" t="s">
        <v>3829</v>
      </c>
      <c r="G56" s="10" t="s">
        <v>1069</v>
      </c>
      <c r="H56" s="10" t="s">
        <v>3830</v>
      </c>
      <c r="I56" s="10" t="s">
        <v>3831</v>
      </c>
      <c r="J56" s="9" t="s">
        <v>893</v>
      </c>
      <c r="K56" s="10" t="s">
        <v>3167</v>
      </c>
      <c r="L56" s="10" t="s">
        <v>851</v>
      </c>
      <c r="M56" s="11">
        <v>8281</v>
      </c>
      <c r="N56" s="12" t="s">
        <v>3168</v>
      </c>
      <c r="O56" s="13" t="s">
        <v>1358</v>
      </c>
      <c r="P56" s="13" t="s">
        <v>2809</v>
      </c>
      <c r="Q56" s="13" t="s">
        <v>3216</v>
      </c>
      <c r="R56" s="13" t="s">
        <v>3170</v>
      </c>
      <c r="S56" s="13" t="s">
        <v>3417</v>
      </c>
      <c r="T56" s="13" t="s">
        <v>3203</v>
      </c>
      <c r="U56" s="13" t="s">
        <v>3172</v>
      </c>
      <c r="V56" s="13" t="s">
        <v>3217</v>
      </c>
      <c r="W56" s="13" t="s">
        <v>3174</v>
      </c>
      <c r="X56" s="14" t="s">
        <v>3175</v>
      </c>
      <c r="Y56" s="14" t="s">
        <v>2917</v>
      </c>
      <c r="Z56" s="14" t="s">
        <v>2865</v>
      </c>
      <c r="AA56" s="14" t="s">
        <v>2823</v>
      </c>
      <c r="AB56" s="15">
        <v>1</v>
      </c>
      <c r="AC56" s="11">
        <v>13579</v>
      </c>
      <c r="AD56" s="11">
        <v>407234.22</v>
      </c>
      <c r="AE56" s="16">
        <v>29.99</v>
      </c>
      <c r="AF56" s="17">
        <v>0.4135</v>
      </c>
      <c r="AG56" s="16">
        <v>13.09</v>
      </c>
      <c r="AH56" s="18">
        <v>4.2</v>
      </c>
      <c r="AI56" s="11">
        <v>3060</v>
      </c>
      <c r="AJ56" s="19">
        <v>0</v>
      </c>
      <c r="AK56" s="11">
        <v>0</v>
      </c>
      <c r="AL56" s="20"/>
      <c r="AM56" s="9" t="s">
        <v>854</v>
      </c>
      <c r="AN56" s="9" t="s">
        <v>3832</v>
      </c>
      <c r="AO56" s="21">
        <v>1796</v>
      </c>
      <c r="AP56" s="21">
        <v>1</v>
      </c>
      <c r="AQ56" s="21">
        <v>11</v>
      </c>
      <c r="AR56" s="10" t="s">
        <v>1515</v>
      </c>
      <c r="AS56" s="9" t="s">
        <v>1110</v>
      </c>
      <c r="AT56" s="10" t="s">
        <v>3833</v>
      </c>
      <c r="AU56" s="9" t="s">
        <v>1516</v>
      </c>
      <c r="AV56" s="22" t="s">
        <v>3834</v>
      </c>
      <c r="AW56" s="22" t="s">
        <v>3835</v>
      </c>
    </row>
    <row r="57" ht="24" customHeight="1" spans="1:49">
      <c r="A57" s="9" t="str">
        <f>_xlfn.DISPIMG("ID_DFCBFACB1BCC435093F9588A871CAEF6",1)</f>
        <v>=DISPIMG("ID_DFCBFACB1BCC435093F9588A871CAEF6",1)</v>
      </c>
      <c r="B57" s="10" t="s">
        <v>3836</v>
      </c>
      <c r="C57" s="10" t="s">
        <v>3837</v>
      </c>
      <c r="D57" s="10" t="s">
        <v>3838</v>
      </c>
      <c r="E57" s="10" t="s">
        <v>3839</v>
      </c>
      <c r="F57" s="10" t="s">
        <v>3840</v>
      </c>
      <c r="G57" s="10" t="s">
        <v>3841</v>
      </c>
      <c r="H57" s="10" t="s">
        <v>3842</v>
      </c>
      <c r="I57" s="10" t="s">
        <v>3843</v>
      </c>
      <c r="J57" s="9" t="s">
        <v>934</v>
      </c>
      <c r="K57" s="10" t="s">
        <v>3167</v>
      </c>
      <c r="L57" s="10" t="s">
        <v>851</v>
      </c>
      <c r="M57" s="11">
        <v>8331</v>
      </c>
      <c r="N57" s="12" t="s">
        <v>3168</v>
      </c>
      <c r="O57" s="13" t="s">
        <v>1411</v>
      </c>
      <c r="P57" s="13" t="s">
        <v>3295</v>
      </c>
      <c r="Q57" s="13" t="s">
        <v>3169</v>
      </c>
      <c r="R57" s="13" t="s">
        <v>3170</v>
      </c>
      <c r="S57" s="13" t="s">
        <v>3267</v>
      </c>
      <c r="T57" s="13" t="s">
        <v>3203</v>
      </c>
      <c r="U57" s="13" t="s">
        <v>3188</v>
      </c>
      <c r="V57" s="13" t="s">
        <v>3189</v>
      </c>
      <c r="W57" s="13" t="s">
        <v>2896</v>
      </c>
      <c r="X57" s="14" t="s">
        <v>3296</v>
      </c>
      <c r="Y57" s="14" t="s">
        <v>2867</v>
      </c>
      <c r="Z57" s="14" t="s">
        <v>2822</v>
      </c>
      <c r="AA57" s="14" t="s">
        <v>2911</v>
      </c>
      <c r="AB57" s="15">
        <v>1</v>
      </c>
      <c r="AC57" s="11">
        <v>1226</v>
      </c>
      <c r="AD57" s="11">
        <v>55133.223</v>
      </c>
      <c r="AE57" s="16">
        <v>44.97</v>
      </c>
      <c r="AF57" s="17">
        <v>0.6656</v>
      </c>
      <c r="AG57" s="16">
        <v>8.29</v>
      </c>
      <c r="AH57" s="18">
        <v>4.7</v>
      </c>
      <c r="AI57" s="11">
        <v>591</v>
      </c>
      <c r="AJ57" s="19">
        <v>0.0318</v>
      </c>
      <c r="AK57" s="11">
        <v>39</v>
      </c>
      <c r="AL57" s="20"/>
      <c r="AM57" s="9" t="s">
        <v>854</v>
      </c>
      <c r="AN57" s="9" t="s">
        <v>3844</v>
      </c>
      <c r="AO57" s="21">
        <v>790</v>
      </c>
      <c r="AP57" s="21">
        <v>5</v>
      </c>
      <c r="AQ57" s="21">
        <v>1</v>
      </c>
      <c r="AR57" s="10" t="s">
        <v>3845</v>
      </c>
      <c r="AS57" s="9" t="s">
        <v>1110</v>
      </c>
      <c r="AT57" s="10" t="s">
        <v>3846</v>
      </c>
      <c r="AU57" s="9" t="s">
        <v>997</v>
      </c>
      <c r="AV57" s="22" t="s">
        <v>3847</v>
      </c>
      <c r="AW57" s="22" t="s">
        <v>3848</v>
      </c>
    </row>
    <row r="58" ht="24" customHeight="1" spans="1:49">
      <c r="A58" s="9" t="str">
        <f>_xlfn.DISPIMG("ID_D0B1703B96804ED2AD06868A94CB68F4",1)</f>
        <v>=DISPIMG("ID_D0B1703B96804ED2AD06868A94CB68F4",1)</v>
      </c>
      <c r="B58" s="10" t="s">
        <v>3849</v>
      </c>
      <c r="C58" s="10" t="s">
        <v>3850</v>
      </c>
      <c r="D58" s="10" t="s">
        <v>3851</v>
      </c>
      <c r="E58" s="10" t="s">
        <v>3852</v>
      </c>
      <c r="F58" s="10" t="s">
        <v>3853</v>
      </c>
      <c r="G58" s="10" t="s">
        <v>3854</v>
      </c>
      <c r="H58" s="10" t="s">
        <v>3855</v>
      </c>
      <c r="I58" s="10" t="s">
        <v>3856</v>
      </c>
      <c r="J58" s="9" t="s">
        <v>934</v>
      </c>
      <c r="K58" s="10" t="s">
        <v>3167</v>
      </c>
      <c r="L58" s="10" t="s">
        <v>851</v>
      </c>
      <c r="M58" s="11">
        <v>8464</v>
      </c>
      <c r="N58" s="12" t="s">
        <v>3168</v>
      </c>
      <c r="O58" s="13" t="s">
        <v>3857</v>
      </c>
      <c r="P58" s="13" t="s">
        <v>2986</v>
      </c>
      <c r="Q58" s="13" t="s">
        <v>3169</v>
      </c>
      <c r="R58" s="13" t="s">
        <v>3170</v>
      </c>
      <c r="S58" s="13" t="s">
        <v>2910</v>
      </c>
      <c r="T58" s="13" t="s">
        <v>3487</v>
      </c>
      <c r="U58" s="13" t="s">
        <v>3188</v>
      </c>
      <c r="V58" s="13" t="s">
        <v>3189</v>
      </c>
      <c r="W58" s="13" t="s">
        <v>2896</v>
      </c>
      <c r="X58" s="14" t="s">
        <v>3310</v>
      </c>
      <c r="Y58" s="14" t="s">
        <v>2883</v>
      </c>
      <c r="Z58" s="14" t="s">
        <v>2865</v>
      </c>
      <c r="AA58" s="14" t="s">
        <v>2823</v>
      </c>
      <c r="AB58" s="15">
        <v>1</v>
      </c>
      <c r="AC58" s="11">
        <v>1806</v>
      </c>
      <c r="AD58" s="11">
        <v>81631.2</v>
      </c>
      <c r="AE58" s="16">
        <v>45.2</v>
      </c>
      <c r="AF58" s="17">
        <v>0.5881</v>
      </c>
      <c r="AG58" s="16">
        <v>13.09</v>
      </c>
      <c r="AH58" s="18">
        <v>4.5</v>
      </c>
      <c r="AI58" s="11">
        <v>1742</v>
      </c>
      <c r="AJ58" s="19">
        <v>0.0454</v>
      </c>
      <c r="AK58" s="11">
        <v>82</v>
      </c>
      <c r="AL58" s="20"/>
      <c r="AM58" s="9" t="s">
        <v>947</v>
      </c>
      <c r="AN58" s="9" t="s">
        <v>3858</v>
      </c>
      <c r="AO58" s="21">
        <v>1022</v>
      </c>
      <c r="AP58" s="21">
        <v>4</v>
      </c>
      <c r="AQ58" s="21">
        <v>3</v>
      </c>
      <c r="AR58" s="10" t="s">
        <v>1515</v>
      </c>
      <c r="AS58" s="9" t="s">
        <v>1110</v>
      </c>
      <c r="AT58" s="10" t="s">
        <v>3859</v>
      </c>
      <c r="AU58" s="9" t="s">
        <v>1516</v>
      </c>
      <c r="AV58" s="22" t="s">
        <v>3860</v>
      </c>
      <c r="AW58" s="22" t="s">
        <v>3861</v>
      </c>
    </row>
    <row r="59" ht="24" customHeight="1" spans="1:49">
      <c r="A59" s="9" t="str">
        <f>_xlfn.DISPIMG("ID_E14D85E5AFD04330A7FF5FA78FC96F7E",1)</f>
        <v>=DISPIMG("ID_E14D85E5AFD04330A7FF5FA78FC96F7E",1)</v>
      </c>
      <c r="B59" s="10" t="s">
        <v>3862</v>
      </c>
      <c r="C59" s="10" t="s">
        <v>3863</v>
      </c>
      <c r="D59" s="10" t="s">
        <v>3864</v>
      </c>
      <c r="E59" s="10" t="s">
        <v>3865</v>
      </c>
      <c r="F59" s="10" t="s">
        <v>3866</v>
      </c>
      <c r="G59" s="10" t="s">
        <v>3291</v>
      </c>
      <c r="H59" s="10" t="s">
        <v>3867</v>
      </c>
      <c r="I59" s="10" t="s">
        <v>3868</v>
      </c>
      <c r="J59" s="9" t="s">
        <v>934</v>
      </c>
      <c r="K59" s="10" t="s">
        <v>3167</v>
      </c>
      <c r="L59" s="10" t="s">
        <v>851</v>
      </c>
      <c r="M59" s="11">
        <v>8704</v>
      </c>
      <c r="N59" s="12" t="s">
        <v>3168</v>
      </c>
      <c r="O59" s="13" t="s">
        <v>1462</v>
      </c>
      <c r="P59" s="13" t="s">
        <v>3637</v>
      </c>
      <c r="Q59" s="13" t="s">
        <v>3169</v>
      </c>
      <c r="R59" s="13" t="s">
        <v>3416</v>
      </c>
      <c r="S59" s="13" t="s">
        <v>2910</v>
      </c>
      <c r="T59" s="13" t="s">
        <v>3203</v>
      </c>
      <c r="U59" s="13" t="s">
        <v>3152</v>
      </c>
      <c r="V59" s="13" t="s">
        <v>3869</v>
      </c>
      <c r="W59" s="13" t="s">
        <v>2896</v>
      </c>
      <c r="X59" s="14" t="s">
        <v>3296</v>
      </c>
      <c r="Y59" s="14" t="s">
        <v>2831</v>
      </c>
      <c r="Z59" s="14" t="s">
        <v>2822</v>
      </c>
      <c r="AA59" s="14" t="s">
        <v>2823</v>
      </c>
      <c r="AB59" s="15">
        <v>1</v>
      </c>
      <c r="AC59" s="11">
        <v>637</v>
      </c>
      <c r="AD59" s="11">
        <v>28021.63</v>
      </c>
      <c r="AE59" s="16">
        <v>43.99</v>
      </c>
      <c r="AF59" s="17">
        <v>0.6652</v>
      </c>
      <c r="AG59" s="16">
        <v>8.13</v>
      </c>
      <c r="AH59" s="18">
        <v>4.7</v>
      </c>
      <c r="AI59" s="11">
        <v>1178</v>
      </c>
      <c r="AJ59" s="19">
        <v>0.0392</v>
      </c>
      <c r="AK59" s="11">
        <v>25</v>
      </c>
      <c r="AL59" s="20"/>
      <c r="AM59" s="9" t="s">
        <v>876</v>
      </c>
      <c r="AN59" s="9" t="s">
        <v>3870</v>
      </c>
      <c r="AO59" s="21">
        <v>641</v>
      </c>
      <c r="AP59" s="21">
        <v>3</v>
      </c>
      <c r="AQ59" s="21">
        <v>2</v>
      </c>
      <c r="AR59" s="10" t="s">
        <v>3871</v>
      </c>
      <c r="AS59" s="9" t="s">
        <v>1288</v>
      </c>
      <c r="AT59" s="10" t="s">
        <v>3872</v>
      </c>
      <c r="AU59" s="9" t="s">
        <v>997</v>
      </c>
      <c r="AV59" s="22" t="s">
        <v>3538</v>
      </c>
      <c r="AW59" s="22" t="s">
        <v>3873</v>
      </c>
    </row>
    <row r="60" ht="24" customHeight="1" spans="1:49">
      <c r="A60" s="9" t="str">
        <f>_xlfn.DISPIMG("ID_9737E8D63DDC44C39D745B430C7D057E",1)</f>
        <v>=DISPIMG("ID_9737E8D63DDC44C39D745B430C7D057E",1)</v>
      </c>
      <c r="B60" s="10" t="s">
        <v>3874</v>
      </c>
      <c r="C60" s="10" t="s">
        <v>3874</v>
      </c>
      <c r="D60" s="10" t="s">
        <v>65</v>
      </c>
      <c r="E60" s="10" t="s">
        <v>3875</v>
      </c>
      <c r="F60" s="10" t="s">
        <v>3876</v>
      </c>
      <c r="G60" s="10" t="s">
        <v>3877</v>
      </c>
      <c r="H60" s="10" t="s">
        <v>3878</v>
      </c>
      <c r="I60" s="10" t="s">
        <v>3879</v>
      </c>
      <c r="J60" s="9" t="s">
        <v>1003</v>
      </c>
      <c r="K60" s="10" t="s">
        <v>3167</v>
      </c>
      <c r="L60" s="10" t="s">
        <v>851</v>
      </c>
      <c r="M60" s="11">
        <v>8957</v>
      </c>
      <c r="N60" s="12" t="s">
        <v>3168</v>
      </c>
      <c r="O60" s="13" t="s">
        <v>1544</v>
      </c>
      <c r="P60" s="13" t="s">
        <v>2809</v>
      </c>
      <c r="Q60" s="13" t="s">
        <v>3169</v>
      </c>
      <c r="R60" s="13" t="s">
        <v>3170</v>
      </c>
      <c r="S60" s="13" t="s">
        <v>3880</v>
      </c>
      <c r="T60" s="13" t="s">
        <v>3203</v>
      </c>
      <c r="U60" s="13" t="s">
        <v>3172</v>
      </c>
      <c r="V60" s="13" t="s">
        <v>3281</v>
      </c>
      <c r="W60" s="13" t="s">
        <v>3174</v>
      </c>
      <c r="X60" s="14" t="s">
        <v>3361</v>
      </c>
      <c r="Y60" s="14" t="s">
        <v>2917</v>
      </c>
      <c r="Z60" s="14" t="s">
        <v>2865</v>
      </c>
      <c r="AA60" s="14" t="s">
        <v>2823</v>
      </c>
      <c r="AB60" s="15">
        <v>1</v>
      </c>
      <c r="AC60" s="11">
        <v>720</v>
      </c>
      <c r="AD60" s="11">
        <v>13111.199</v>
      </c>
      <c r="AE60" s="16">
        <v>18.21</v>
      </c>
      <c r="AF60" s="17">
        <v>0.4376</v>
      </c>
      <c r="AG60" s="16">
        <v>7.51</v>
      </c>
      <c r="AH60" s="18">
        <v>4.1</v>
      </c>
      <c r="AI60" s="11">
        <v>1367</v>
      </c>
      <c r="AJ60" s="19">
        <v>0.0236</v>
      </c>
      <c r="AK60" s="11">
        <v>17</v>
      </c>
      <c r="AL60" s="20"/>
      <c r="AM60" s="9" t="s">
        <v>947</v>
      </c>
      <c r="AN60" s="9" t="s">
        <v>3881</v>
      </c>
      <c r="AO60" s="21">
        <v>2745</v>
      </c>
      <c r="AP60" s="21">
        <v>1</v>
      </c>
      <c r="AQ60" s="21">
        <v>20</v>
      </c>
      <c r="AR60" s="10" t="s">
        <v>1515</v>
      </c>
      <c r="AS60" s="9" t="s">
        <v>65</v>
      </c>
      <c r="AT60" s="10" t="s">
        <v>65</v>
      </c>
      <c r="AU60" s="9" t="s">
        <v>1516</v>
      </c>
      <c r="AV60" s="22" t="s">
        <v>3882</v>
      </c>
      <c r="AW60" s="22" t="s">
        <v>3883</v>
      </c>
    </row>
    <row r="61" ht="24" customHeight="1" spans="1:49">
      <c r="A61" s="9" t="str">
        <f>_xlfn.DISPIMG("ID_4ED79AC45019468BA387185967E29DA2",1)</f>
        <v>=DISPIMG("ID_4ED79AC45019468BA387185967E29DA2",1)</v>
      </c>
      <c r="B61" s="10" t="s">
        <v>3884</v>
      </c>
      <c r="C61" s="10" t="s">
        <v>3885</v>
      </c>
      <c r="D61" s="10" t="s">
        <v>3886</v>
      </c>
      <c r="E61" s="10" t="s">
        <v>3887</v>
      </c>
      <c r="F61" s="10" t="s">
        <v>3888</v>
      </c>
      <c r="G61" s="10" t="s">
        <v>3889</v>
      </c>
      <c r="H61" s="10" t="s">
        <v>3890</v>
      </c>
      <c r="I61" s="10" t="s">
        <v>3891</v>
      </c>
      <c r="J61" s="9" t="s">
        <v>974</v>
      </c>
      <c r="K61" s="10" t="s">
        <v>3167</v>
      </c>
      <c r="L61" s="10" t="s">
        <v>851</v>
      </c>
      <c r="M61" s="11">
        <v>9004</v>
      </c>
      <c r="N61" s="12" t="s">
        <v>3168</v>
      </c>
      <c r="O61" s="13" t="s">
        <v>3892</v>
      </c>
      <c r="P61" s="13" t="s">
        <v>2986</v>
      </c>
      <c r="Q61" s="13" t="s">
        <v>3169</v>
      </c>
      <c r="R61" s="13" t="s">
        <v>3170</v>
      </c>
      <c r="S61" s="13" t="s">
        <v>3404</v>
      </c>
      <c r="T61" s="13" t="s">
        <v>3171</v>
      </c>
      <c r="U61" s="13" t="s">
        <v>3172</v>
      </c>
      <c r="V61" s="13" t="s">
        <v>3189</v>
      </c>
      <c r="W61" s="13" t="s">
        <v>3174</v>
      </c>
      <c r="X61" s="14" t="s">
        <v>3190</v>
      </c>
      <c r="Y61" s="14" t="s">
        <v>2867</v>
      </c>
      <c r="Z61" s="14" t="s">
        <v>2865</v>
      </c>
      <c r="AA61" s="14" t="s">
        <v>2823</v>
      </c>
      <c r="AB61" s="15">
        <v>1</v>
      </c>
      <c r="AC61" s="11">
        <v>1312</v>
      </c>
      <c r="AD61" s="11">
        <v>32786.88</v>
      </c>
      <c r="AE61" s="16">
        <v>24.99</v>
      </c>
      <c r="AF61" s="17">
        <v>0.5503</v>
      </c>
      <c r="AG61" s="16">
        <v>7.49</v>
      </c>
      <c r="AH61" s="18">
        <v>4.4</v>
      </c>
      <c r="AI61" s="11">
        <v>3087</v>
      </c>
      <c r="AJ61" s="19">
        <v>0.0396</v>
      </c>
      <c r="AK61" s="11">
        <v>52</v>
      </c>
      <c r="AL61" s="20"/>
      <c r="AM61" s="9" t="s">
        <v>1098</v>
      </c>
      <c r="AN61" s="9" t="s">
        <v>3893</v>
      </c>
      <c r="AO61" s="21">
        <v>458</v>
      </c>
      <c r="AP61" s="21">
        <v>2</v>
      </c>
      <c r="AQ61" s="21">
        <v>3</v>
      </c>
      <c r="AR61" s="10" t="s">
        <v>3894</v>
      </c>
      <c r="AS61" s="9" t="s">
        <v>1288</v>
      </c>
      <c r="AT61" s="10" t="s">
        <v>3895</v>
      </c>
      <c r="AU61" s="9" t="s">
        <v>997</v>
      </c>
      <c r="AV61" s="22" t="s">
        <v>3896</v>
      </c>
      <c r="AW61" s="22" t="s">
        <v>3897</v>
      </c>
    </row>
    <row r="62" ht="24" customHeight="1" spans="1:49">
      <c r="A62" s="9" t="str">
        <f>_xlfn.DISPIMG("ID_C436D82A205E415C9E1BADD416033008",1)</f>
        <v>=DISPIMG("ID_C436D82A205E415C9E1BADD416033008",1)</v>
      </c>
      <c r="B62" s="10" t="s">
        <v>3898</v>
      </c>
      <c r="C62" s="10" t="s">
        <v>3899</v>
      </c>
      <c r="D62" s="10" t="s">
        <v>3900</v>
      </c>
      <c r="E62" s="10" t="s">
        <v>3901</v>
      </c>
      <c r="F62" s="10" t="s">
        <v>3902</v>
      </c>
      <c r="G62" s="10" t="s">
        <v>3255</v>
      </c>
      <c r="H62" s="10" t="s">
        <v>3903</v>
      </c>
      <c r="I62" s="10" t="s">
        <v>3904</v>
      </c>
      <c r="J62" s="9" t="s">
        <v>1003</v>
      </c>
      <c r="K62" s="10" t="s">
        <v>3167</v>
      </c>
      <c r="L62" s="10" t="s">
        <v>851</v>
      </c>
      <c r="M62" s="11">
        <v>9005</v>
      </c>
      <c r="N62" s="12" t="s">
        <v>3168</v>
      </c>
      <c r="O62" s="13" t="s">
        <v>3905</v>
      </c>
      <c r="P62" s="13" t="s">
        <v>2809</v>
      </c>
      <c r="Q62" s="13" t="s">
        <v>3216</v>
      </c>
      <c r="R62" s="13" t="s">
        <v>3170</v>
      </c>
      <c r="S62" s="13" t="s">
        <v>2910</v>
      </c>
      <c r="T62" s="13" t="s">
        <v>3203</v>
      </c>
      <c r="U62" s="13" t="s">
        <v>3172</v>
      </c>
      <c r="V62" s="13" t="s">
        <v>3189</v>
      </c>
      <c r="W62" s="13" t="s">
        <v>3174</v>
      </c>
      <c r="X62" s="14" t="s">
        <v>3310</v>
      </c>
      <c r="Y62" s="14" t="s">
        <v>2821</v>
      </c>
      <c r="Z62" s="14" t="s">
        <v>2865</v>
      </c>
      <c r="AA62" s="14" t="s">
        <v>2823</v>
      </c>
      <c r="AB62" s="15">
        <v>1</v>
      </c>
      <c r="AC62" s="11">
        <v>1024</v>
      </c>
      <c r="AD62" s="11">
        <v>49551.36</v>
      </c>
      <c r="AE62" s="16">
        <v>48.39</v>
      </c>
      <c r="AF62" s="17">
        <v>0.5361</v>
      </c>
      <c r="AG62" s="16">
        <v>15.19</v>
      </c>
      <c r="AH62" s="18">
        <v>4.5</v>
      </c>
      <c r="AI62" s="11">
        <v>6027</v>
      </c>
      <c r="AJ62" s="19">
        <v>0.0576</v>
      </c>
      <c r="AK62" s="11">
        <v>59</v>
      </c>
      <c r="AL62" s="20"/>
      <c r="AM62" s="9" t="s">
        <v>947</v>
      </c>
      <c r="AN62" s="9" t="s">
        <v>3906</v>
      </c>
      <c r="AO62" s="21">
        <v>1120</v>
      </c>
      <c r="AP62" s="21">
        <v>5</v>
      </c>
      <c r="AQ62" s="21">
        <v>5</v>
      </c>
      <c r="AR62" s="10" t="s">
        <v>1515</v>
      </c>
      <c r="AS62" s="9" t="s">
        <v>65</v>
      </c>
      <c r="AT62" s="10" t="s">
        <v>65</v>
      </c>
      <c r="AU62" s="9" t="s">
        <v>1516</v>
      </c>
      <c r="AV62" s="22" t="s">
        <v>3907</v>
      </c>
      <c r="AW62" s="22" t="s">
        <v>3908</v>
      </c>
    </row>
    <row r="63" ht="24" customHeight="1" spans="1:49">
      <c r="A63" s="9" t="str">
        <f>_xlfn.DISPIMG("ID_B8756CEF386748118F98956EDB1BCB53",1)</f>
        <v>=DISPIMG("ID_B8756CEF386748118F98956EDB1BCB53",1)</v>
      </c>
      <c r="B63" s="10" t="s">
        <v>3909</v>
      </c>
      <c r="C63" s="10" t="s">
        <v>3910</v>
      </c>
      <c r="D63" s="10" t="s">
        <v>3911</v>
      </c>
      <c r="E63" s="10" t="s">
        <v>3912</v>
      </c>
      <c r="F63" s="10" t="s">
        <v>3913</v>
      </c>
      <c r="G63" s="10" t="s">
        <v>3914</v>
      </c>
      <c r="H63" s="10" t="s">
        <v>3915</v>
      </c>
      <c r="I63" s="10" t="s">
        <v>3916</v>
      </c>
      <c r="J63" s="9" t="s">
        <v>934</v>
      </c>
      <c r="K63" s="10" t="s">
        <v>3167</v>
      </c>
      <c r="L63" s="10" t="s">
        <v>851</v>
      </c>
      <c r="M63" s="11">
        <v>9023</v>
      </c>
      <c r="N63" s="12" t="s">
        <v>3168</v>
      </c>
      <c r="O63" s="13" t="s">
        <v>1871</v>
      </c>
      <c r="P63" s="13" t="s">
        <v>2852</v>
      </c>
      <c r="Q63" s="13" t="s">
        <v>3169</v>
      </c>
      <c r="R63" s="13" t="s">
        <v>3170</v>
      </c>
      <c r="S63" s="13" t="s">
        <v>3404</v>
      </c>
      <c r="T63" s="13" t="s">
        <v>3203</v>
      </c>
      <c r="U63" s="13" t="s">
        <v>3188</v>
      </c>
      <c r="V63" s="13" t="s">
        <v>3173</v>
      </c>
      <c r="W63" s="13" t="s">
        <v>2896</v>
      </c>
      <c r="X63" s="14" t="s">
        <v>3269</v>
      </c>
      <c r="Y63" s="14" t="s">
        <v>2900</v>
      </c>
      <c r="Z63" s="14" t="s">
        <v>2865</v>
      </c>
      <c r="AA63" s="14" t="s">
        <v>2823</v>
      </c>
      <c r="AB63" s="15">
        <v>1</v>
      </c>
      <c r="AC63" s="11">
        <v>658</v>
      </c>
      <c r="AD63" s="11">
        <v>23352.422</v>
      </c>
      <c r="AE63" s="16">
        <v>35.49</v>
      </c>
      <c r="AF63" s="17">
        <v>0.6209</v>
      </c>
      <c r="AG63" s="16">
        <v>8.13</v>
      </c>
      <c r="AH63" s="18">
        <v>4.3</v>
      </c>
      <c r="AI63" s="11">
        <v>1677</v>
      </c>
      <c r="AJ63" s="19">
        <v>0.0623</v>
      </c>
      <c r="AK63" s="11">
        <v>41</v>
      </c>
      <c r="AL63" s="20"/>
      <c r="AM63" s="9" t="s">
        <v>947</v>
      </c>
      <c r="AN63" s="9" t="s">
        <v>3917</v>
      </c>
      <c r="AO63" s="21">
        <v>746</v>
      </c>
      <c r="AP63" s="21">
        <v>7</v>
      </c>
      <c r="AQ63" s="21">
        <v>1</v>
      </c>
      <c r="AR63" s="10" t="s">
        <v>3918</v>
      </c>
      <c r="AS63" s="9" t="s">
        <v>1288</v>
      </c>
      <c r="AT63" s="10" t="s">
        <v>3919</v>
      </c>
      <c r="AU63" s="9" t="s">
        <v>997</v>
      </c>
      <c r="AV63" s="22" t="s">
        <v>3538</v>
      </c>
      <c r="AW63" s="22" t="s">
        <v>3920</v>
      </c>
    </row>
    <row r="64" ht="24" customHeight="1" spans="1:49">
      <c r="A64" s="9" t="str">
        <f>_xlfn.DISPIMG("ID_3E11EDE2A0844C30BA8A6ADD8768B4F9",1)</f>
        <v>=DISPIMG("ID_3E11EDE2A0844C30BA8A6ADD8768B4F9",1)</v>
      </c>
      <c r="B64" s="10" t="s">
        <v>3921</v>
      </c>
      <c r="C64" s="10" t="s">
        <v>3922</v>
      </c>
      <c r="D64" s="10" t="s">
        <v>3923</v>
      </c>
      <c r="E64" s="10" t="s">
        <v>3924</v>
      </c>
      <c r="F64" s="10" t="s">
        <v>3925</v>
      </c>
      <c r="G64" s="10" t="s">
        <v>3600</v>
      </c>
      <c r="H64" s="10" t="s">
        <v>3926</v>
      </c>
      <c r="I64" s="10" t="s">
        <v>3927</v>
      </c>
      <c r="J64" s="9" t="s">
        <v>1003</v>
      </c>
      <c r="K64" s="10" t="s">
        <v>3167</v>
      </c>
      <c r="L64" s="10" t="s">
        <v>851</v>
      </c>
      <c r="M64" s="11">
        <v>9817</v>
      </c>
      <c r="N64" s="12" t="s">
        <v>3168</v>
      </c>
      <c r="O64" s="13" t="s">
        <v>1472</v>
      </c>
      <c r="P64" s="13" t="s">
        <v>2832</v>
      </c>
      <c r="Q64" s="13" t="s">
        <v>3169</v>
      </c>
      <c r="R64" s="13" t="s">
        <v>3416</v>
      </c>
      <c r="S64" s="13" t="s">
        <v>3404</v>
      </c>
      <c r="T64" s="13" t="s">
        <v>3928</v>
      </c>
      <c r="U64" s="13" t="s">
        <v>3188</v>
      </c>
      <c r="V64" s="13" t="s">
        <v>3189</v>
      </c>
      <c r="W64" s="13" t="s">
        <v>2889</v>
      </c>
      <c r="X64" s="14" t="s">
        <v>3175</v>
      </c>
      <c r="Y64" s="14" t="s">
        <v>2867</v>
      </c>
      <c r="Z64" s="14" t="s">
        <v>2865</v>
      </c>
      <c r="AA64" s="14" t="s">
        <v>2823</v>
      </c>
      <c r="AB64" s="15">
        <v>1</v>
      </c>
      <c r="AC64" s="11">
        <v>1990</v>
      </c>
      <c r="AD64" s="11">
        <v>57690.098</v>
      </c>
      <c r="AE64" s="16">
        <v>28.99</v>
      </c>
      <c r="AF64" s="17">
        <v>0.5861</v>
      </c>
      <c r="AG64" s="16">
        <v>7.65</v>
      </c>
      <c r="AH64" s="18">
        <v>4.3</v>
      </c>
      <c r="AI64" s="11">
        <v>3543</v>
      </c>
      <c r="AJ64" s="19">
        <v>0</v>
      </c>
      <c r="AK64" s="11">
        <v>3444</v>
      </c>
      <c r="AL64" s="20"/>
      <c r="AM64" s="9" t="s">
        <v>1098</v>
      </c>
      <c r="AN64" s="9" t="s">
        <v>3929</v>
      </c>
      <c r="AO64" s="21">
        <v>1021</v>
      </c>
      <c r="AP64" s="21">
        <v>2</v>
      </c>
      <c r="AQ64" s="21">
        <v>1</v>
      </c>
      <c r="AR64" s="10" t="s">
        <v>3930</v>
      </c>
      <c r="AS64" s="9" t="s">
        <v>1288</v>
      </c>
      <c r="AT64" s="10" t="s">
        <v>3931</v>
      </c>
      <c r="AU64" s="9" t="s">
        <v>997</v>
      </c>
      <c r="AV64" s="22" t="s">
        <v>3932</v>
      </c>
      <c r="AW64" s="22" t="s">
        <v>3933</v>
      </c>
    </row>
    <row r="65" ht="24" customHeight="1" spans="1:49">
      <c r="A65" s="9" t="str">
        <f>_xlfn.DISPIMG("ID_2799F0D7BC914EE5AFCEC36B90438595",1)</f>
        <v>=DISPIMG("ID_2799F0D7BC914EE5AFCEC36B90438595",1)</v>
      </c>
      <c r="B65" s="10" t="s">
        <v>3934</v>
      </c>
      <c r="C65" s="10" t="s">
        <v>3935</v>
      </c>
      <c r="D65" s="10" t="s">
        <v>3936</v>
      </c>
      <c r="E65" s="10" t="s">
        <v>3937</v>
      </c>
      <c r="F65" s="10" t="s">
        <v>3938</v>
      </c>
      <c r="G65" s="10" t="s">
        <v>3939</v>
      </c>
      <c r="H65" s="10" t="s">
        <v>3940</v>
      </c>
      <c r="I65" s="10" t="s">
        <v>3941</v>
      </c>
      <c r="J65" s="9" t="s">
        <v>934</v>
      </c>
      <c r="K65" s="10" t="s">
        <v>3167</v>
      </c>
      <c r="L65" s="10" t="s">
        <v>851</v>
      </c>
      <c r="M65" s="11">
        <v>9859</v>
      </c>
      <c r="N65" s="12" t="s">
        <v>3168</v>
      </c>
      <c r="O65" s="13" t="s">
        <v>3942</v>
      </c>
      <c r="P65" s="13" t="s">
        <v>2852</v>
      </c>
      <c r="Q65" s="13" t="s">
        <v>3216</v>
      </c>
      <c r="R65" s="13" t="s">
        <v>3170</v>
      </c>
      <c r="S65" s="13" t="s">
        <v>2874</v>
      </c>
      <c r="T65" s="13" t="s">
        <v>3171</v>
      </c>
      <c r="U65" s="13" t="s">
        <v>3188</v>
      </c>
      <c r="V65" s="13" t="s">
        <v>3189</v>
      </c>
      <c r="W65" s="13" t="s">
        <v>2896</v>
      </c>
      <c r="X65" s="14" t="s">
        <v>3790</v>
      </c>
      <c r="Y65" s="14" t="s">
        <v>2821</v>
      </c>
      <c r="Z65" s="14" t="s">
        <v>2822</v>
      </c>
      <c r="AA65" s="14" t="s">
        <v>2823</v>
      </c>
      <c r="AB65" s="15">
        <v>1</v>
      </c>
      <c r="AC65" s="11">
        <v>1426</v>
      </c>
      <c r="AD65" s="11">
        <v>78415.74</v>
      </c>
      <c r="AE65" s="16">
        <v>54.99</v>
      </c>
      <c r="AF65" s="17">
        <v>0.676</v>
      </c>
      <c r="AG65" s="16">
        <v>9.57</v>
      </c>
      <c r="AH65" s="18">
        <v>4.6</v>
      </c>
      <c r="AI65" s="11">
        <v>8874</v>
      </c>
      <c r="AJ65" s="19">
        <v>0</v>
      </c>
      <c r="AK65" s="11">
        <v>0</v>
      </c>
      <c r="AL65" s="20"/>
      <c r="AM65" s="9" t="s">
        <v>947</v>
      </c>
      <c r="AN65" s="9" t="s">
        <v>1276</v>
      </c>
      <c r="AO65" s="21">
        <v>1428</v>
      </c>
      <c r="AP65" s="21">
        <v>5</v>
      </c>
      <c r="AQ65" s="21">
        <v>4</v>
      </c>
      <c r="AR65" s="10" t="s">
        <v>3943</v>
      </c>
      <c r="AS65" s="9" t="s">
        <v>1288</v>
      </c>
      <c r="AT65" s="10" t="s">
        <v>3944</v>
      </c>
      <c r="AU65" s="9" t="s">
        <v>997</v>
      </c>
      <c r="AV65" s="22" t="s">
        <v>3945</v>
      </c>
      <c r="AW65" s="22" t="s">
        <v>3946</v>
      </c>
    </row>
    <row r="66" ht="24" customHeight="1" spans="1:49">
      <c r="A66" s="9" t="str">
        <f>_xlfn.DISPIMG("ID_1CD512A2395B439A94A7ECB210DD88D5",1)</f>
        <v>=DISPIMG("ID_1CD512A2395B439A94A7ECB210DD88D5",1)</v>
      </c>
      <c r="B66" s="10" t="s">
        <v>3947</v>
      </c>
      <c r="C66" s="10" t="s">
        <v>3948</v>
      </c>
      <c r="D66" s="10" t="s">
        <v>3288</v>
      </c>
      <c r="E66" s="10" t="s">
        <v>3949</v>
      </c>
      <c r="F66" s="10" t="s">
        <v>3950</v>
      </c>
      <c r="G66" s="10" t="s">
        <v>3951</v>
      </c>
      <c r="H66" s="10" t="s">
        <v>3952</v>
      </c>
      <c r="I66" s="10" t="s">
        <v>3953</v>
      </c>
      <c r="J66" s="9" t="s">
        <v>1003</v>
      </c>
      <c r="K66" s="10" t="s">
        <v>3167</v>
      </c>
      <c r="L66" s="10" t="s">
        <v>851</v>
      </c>
      <c r="M66" s="11">
        <v>9913</v>
      </c>
      <c r="N66" s="12" t="s">
        <v>3168</v>
      </c>
      <c r="O66" s="13" t="s">
        <v>1553</v>
      </c>
      <c r="P66" s="13" t="s">
        <v>3295</v>
      </c>
      <c r="Q66" s="13" t="s">
        <v>3169</v>
      </c>
      <c r="R66" s="13" t="s">
        <v>3170</v>
      </c>
      <c r="S66" s="13" t="s">
        <v>3954</v>
      </c>
      <c r="T66" s="13" t="s">
        <v>3203</v>
      </c>
      <c r="U66" s="13" t="s">
        <v>3188</v>
      </c>
      <c r="V66" s="13" t="s">
        <v>3955</v>
      </c>
      <c r="W66" s="13" t="s">
        <v>2896</v>
      </c>
      <c r="X66" s="14" t="s">
        <v>3649</v>
      </c>
      <c r="Y66" s="14" t="s">
        <v>2831</v>
      </c>
      <c r="Z66" s="14" t="s">
        <v>2822</v>
      </c>
      <c r="AA66" s="14" t="s">
        <v>2823</v>
      </c>
      <c r="AB66" s="15">
        <v>1</v>
      </c>
      <c r="AC66" s="11">
        <v>932</v>
      </c>
      <c r="AD66" s="11">
        <v>186353.39</v>
      </c>
      <c r="AE66" s="16">
        <v>199.95</v>
      </c>
      <c r="AF66" s="17">
        <v>0.7807</v>
      </c>
      <c r="AG66" s="16">
        <v>13.86</v>
      </c>
      <c r="AH66" s="18">
        <v>4.6</v>
      </c>
      <c r="AI66" s="11">
        <v>1350</v>
      </c>
      <c r="AJ66" s="19">
        <v>0.0172</v>
      </c>
      <c r="AK66" s="11">
        <v>16</v>
      </c>
      <c r="AL66" s="20"/>
      <c r="AM66" s="9" t="s">
        <v>1098</v>
      </c>
      <c r="AN66" s="9" t="s">
        <v>3956</v>
      </c>
      <c r="AO66" s="21">
        <v>3076</v>
      </c>
      <c r="AP66" s="21">
        <v>9</v>
      </c>
      <c r="AQ66" s="21">
        <v>9</v>
      </c>
      <c r="AR66" s="10" t="s">
        <v>1849</v>
      </c>
      <c r="AS66" s="9" t="s">
        <v>1110</v>
      </c>
      <c r="AT66" s="10" t="s">
        <v>3512</v>
      </c>
      <c r="AU66" s="9" t="s">
        <v>2728</v>
      </c>
      <c r="AV66" s="22" t="s">
        <v>3957</v>
      </c>
      <c r="AW66" s="22" t="s">
        <v>3958</v>
      </c>
    </row>
    <row r="67" ht="24" customHeight="1" spans="1:49">
      <c r="A67" s="9" t="str">
        <f>_xlfn.DISPIMG("ID_FD9B984046F0468CA046E21A8D1323BE",1)</f>
        <v>=DISPIMG("ID_FD9B984046F0468CA046E21A8D1323BE",1)</v>
      </c>
      <c r="B67" s="10" t="s">
        <v>3959</v>
      </c>
      <c r="C67" s="10" t="s">
        <v>3960</v>
      </c>
      <c r="D67" s="10" t="s">
        <v>3961</v>
      </c>
      <c r="E67" s="10" t="s">
        <v>3962</v>
      </c>
      <c r="F67" s="10" t="s">
        <v>3963</v>
      </c>
      <c r="G67" s="10" t="s">
        <v>3427</v>
      </c>
      <c r="H67" s="10" t="s">
        <v>3964</v>
      </c>
      <c r="I67" s="10" t="s">
        <v>3965</v>
      </c>
      <c r="J67" s="9" t="s">
        <v>934</v>
      </c>
      <c r="K67" s="10" t="s">
        <v>3966</v>
      </c>
      <c r="L67" s="10" t="s">
        <v>851</v>
      </c>
      <c r="M67" s="11">
        <v>10103</v>
      </c>
      <c r="N67" s="12" t="s">
        <v>3967</v>
      </c>
      <c r="O67" s="13" t="s">
        <v>3968</v>
      </c>
      <c r="P67" s="13" t="s">
        <v>2963</v>
      </c>
      <c r="Q67" s="13" t="s">
        <v>3169</v>
      </c>
      <c r="R67" s="13" t="s">
        <v>3170</v>
      </c>
      <c r="S67" s="13" t="s">
        <v>3969</v>
      </c>
      <c r="T67" s="13" t="s">
        <v>3487</v>
      </c>
      <c r="U67" s="13" t="s">
        <v>3172</v>
      </c>
      <c r="V67" s="13" t="s">
        <v>3281</v>
      </c>
      <c r="W67" s="13" t="s">
        <v>3174</v>
      </c>
      <c r="X67" s="14" t="s">
        <v>3175</v>
      </c>
      <c r="Y67" s="14" t="s">
        <v>2900</v>
      </c>
      <c r="Z67" s="14" t="s">
        <v>2865</v>
      </c>
      <c r="AA67" s="14" t="s">
        <v>2823</v>
      </c>
      <c r="AB67" s="15">
        <v>1</v>
      </c>
      <c r="AC67" s="11">
        <v>1072</v>
      </c>
      <c r="AD67" s="11">
        <v>32149.28</v>
      </c>
      <c r="AE67" s="16">
        <v>29.99</v>
      </c>
      <c r="AF67" s="17">
        <v>0.6003</v>
      </c>
      <c r="AG67" s="16">
        <v>7.49</v>
      </c>
      <c r="AH67" s="18">
        <v>4.3</v>
      </c>
      <c r="AI67" s="11">
        <v>6010</v>
      </c>
      <c r="AJ67" s="19">
        <v>0.084</v>
      </c>
      <c r="AK67" s="11">
        <v>90</v>
      </c>
      <c r="AL67" s="20"/>
      <c r="AM67" s="9" t="s">
        <v>876</v>
      </c>
      <c r="AN67" s="9" t="s">
        <v>3970</v>
      </c>
      <c r="AO67" s="21">
        <v>3908</v>
      </c>
      <c r="AP67" s="21">
        <v>4</v>
      </c>
      <c r="AQ67" s="21">
        <v>15</v>
      </c>
      <c r="AR67" s="10" t="s">
        <v>1515</v>
      </c>
      <c r="AS67" s="9" t="s">
        <v>1110</v>
      </c>
      <c r="AT67" s="10" t="s">
        <v>3971</v>
      </c>
      <c r="AU67" s="9" t="s">
        <v>1516</v>
      </c>
      <c r="AV67" s="22" t="s">
        <v>3397</v>
      </c>
      <c r="AW67" s="22" t="s">
        <v>3972</v>
      </c>
    </row>
    <row r="68" ht="24" customHeight="1" spans="1:49">
      <c r="A68" s="9" t="str">
        <f>_xlfn.DISPIMG("ID_429865CF0964435B97709C8A00F182B7",1)</f>
        <v>=DISPIMG("ID_429865CF0964435B97709C8A00F182B7",1)</v>
      </c>
      <c r="B68" s="10" t="s">
        <v>3973</v>
      </c>
      <c r="C68" s="10" t="s">
        <v>3974</v>
      </c>
      <c r="D68" s="10" t="s">
        <v>3975</v>
      </c>
      <c r="E68" s="10" t="s">
        <v>3976</v>
      </c>
      <c r="F68" s="10" t="s">
        <v>3977</v>
      </c>
      <c r="G68" s="10" t="s">
        <v>3809</v>
      </c>
      <c r="H68" s="10" t="s">
        <v>3978</v>
      </c>
      <c r="I68" s="10" t="s">
        <v>3979</v>
      </c>
      <c r="J68" s="9" t="s">
        <v>65</v>
      </c>
      <c r="K68" s="10" t="s">
        <v>3167</v>
      </c>
      <c r="L68" s="10" t="s">
        <v>851</v>
      </c>
      <c r="M68" s="11">
        <v>10169</v>
      </c>
      <c r="N68" s="12" t="s">
        <v>3168</v>
      </c>
      <c r="O68" s="13" t="s">
        <v>3980</v>
      </c>
      <c r="P68" s="13" t="s">
        <v>2832</v>
      </c>
      <c r="Q68" s="13" t="s">
        <v>3169</v>
      </c>
      <c r="R68" s="13" t="s">
        <v>3170</v>
      </c>
      <c r="S68" s="13" t="s">
        <v>3187</v>
      </c>
      <c r="T68" s="13" t="s">
        <v>3171</v>
      </c>
      <c r="U68" s="13" t="s">
        <v>3172</v>
      </c>
      <c r="V68" s="13" t="s">
        <v>3189</v>
      </c>
      <c r="W68" s="13" t="s">
        <v>3174</v>
      </c>
      <c r="X68" s="14" t="s">
        <v>3175</v>
      </c>
      <c r="Y68" s="14" t="s">
        <v>2917</v>
      </c>
      <c r="Z68" s="14" t="s">
        <v>2933</v>
      </c>
      <c r="AA68" s="14" t="s">
        <v>2979</v>
      </c>
      <c r="AB68" s="15">
        <v>1</v>
      </c>
      <c r="AC68" s="11">
        <v>867</v>
      </c>
      <c r="AD68" s="11">
        <v>25134.33</v>
      </c>
      <c r="AE68" s="16">
        <v>28.99</v>
      </c>
      <c r="AF68" s="17">
        <v>0.85</v>
      </c>
      <c r="AG68" s="27"/>
      <c r="AH68" s="18">
        <v>5</v>
      </c>
      <c r="AI68" s="11">
        <v>64</v>
      </c>
      <c r="AJ68" s="19">
        <v>0.0081</v>
      </c>
      <c r="AK68" s="11">
        <v>7</v>
      </c>
      <c r="AL68" s="20"/>
      <c r="AM68" s="9" t="s">
        <v>1267</v>
      </c>
      <c r="AN68" s="9" t="s">
        <v>3981</v>
      </c>
      <c r="AO68" s="21">
        <v>39</v>
      </c>
      <c r="AP68" s="21">
        <v>2</v>
      </c>
      <c r="AQ68" s="21">
        <v>2</v>
      </c>
      <c r="AR68" s="10" t="s">
        <v>3982</v>
      </c>
      <c r="AS68" s="9" t="s">
        <v>1288</v>
      </c>
      <c r="AT68" s="10" t="s">
        <v>3983</v>
      </c>
      <c r="AU68" s="9" t="s">
        <v>997</v>
      </c>
      <c r="AV68" s="28"/>
      <c r="AW68" s="22" t="s">
        <v>3984</v>
      </c>
    </row>
    <row r="69" ht="24" customHeight="1" spans="1:49">
      <c r="A69" s="9" t="str">
        <f>_xlfn.DISPIMG("ID_DDC8F3C8FB834FEB931D6522A665375E",1)</f>
        <v>=DISPIMG("ID_DDC8F3C8FB834FEB931D6522A665375E",1)</v>
      </c>
      <c r="B69" s="10" t="s">
        <v>3985</v>
      </c>
      <c r="C69" s="10" t="s">
        <v>3986</v>
      </c>
      <c r="D69" s="10" t="s">
        <v>3531</v>
      </c>
      <c r="E69" s="10" t="s">
        <v>3987</v>
      </c>
      <c r="F69" s="10" t="s">
        <v>3988</v>
      </c>
      <c r="G69" s="10" t="s">
        <v>3291</v>
      </c>
      <c r="H69" s="10" t="s">
        <v>3989</v>
      </c>
      <c r="I69" s="10" t="s">
        <v>3990</v>
      </c>
      <c r="J69" s="9" t="s">
        <v>934</v>
      </c>
      <c r="K69" s="10" t="s">
        <v>3167</v>
      </c>
      <c r="L69" s="10" t="s">
        <v>851</v>
      </c>
      <c r="M69" s="11">
        <v>10963</v>
      </c>
      <c r="N69" s="12" t="s">
        <v>3168</v>
      </c>
      <c r="O69" s="13" t="s">
        <v>3991</v>
      </c>
      <c r="P69" s="13" t="s">
        <v>2852</v>
      </c>
      <c r="Q69" s="13" t="s">
        <v>3216</v>
      </c>
      <c r="R69" s="13" t="s">
        <v>3416</v>
      </c>
      <c r="S69" s="13" t="s">
        <v>3417</v>
      </c>
      <c r="T69" s="13" t="s">
        <v>3203</v>
      </c>
      <c r="U69" s="13" t="s">
        <v>3188</v>
      </c>
      <c r="V69" s="13" t="s">
        <v>3189</v>
      </c>
      <c r="W69" s="13" t="s">
        <v>2896</v>
      </c>
      <c r="X69" s="14" t="s">
        <v>3445</v>
      </c>
      <c r="Y69" s="14" t="s">
        <v>2831</v>
      </c>
      <c r="Z69" s="14" t="s">
        <v>2822</v>
      </c>
      <c r="AA69" s="14" t="s">
        <v>2823</v>
      </c>
      <c r="AB69" s="15">
        <v>1</v>
      </c>
      <c r="AC69" s="11">
        <v>573</v>
      </c>
      <c r="AD69" s="11">
        <v>34374.27</v>
      </c>
      <c r="AE69" s="16">
        <v>59.99</v>
      </c>
      <c r="AF69" s="17">
        <v>0.6931</v>
      </c>
      <c r="AG69" s="16">
        <v>9.41</v>
      </c>
      <c r="AH69" s="18">
        <v>4.6</v>
      </c>
      <c r="AI69" s="11">
        <v>2595</v>
      </c>
      <c r="AJ69" s="19">
        <v>0.0454</v>
      </c>
      <c r="AK69" s="11">
        <v>26</v>
      </c>
      <c r="AL69" s="20"/>
      <c r="AM69" s="9" t="s">
        <v>854</v>
      </c>
      <c r="AN69" s="9" t="s">
        <v>3297</v>
      </c>
      <c r="AO69" s="21">
        <v>1276</v>
      </c>
      <c r="AP69" s="21">
        <v>1</v>
      </c>
      <c r="AQ69" s="21">
        <v>2</v>
      </c>
      <c r="AR69" s="10" t="s">
        <v>3992</v>
      </c>
      <c r="AS69" s="9" t="s">
        <v>1401</v>
      </c>
      <c r="AT69" s="10" t="s">
        <v>3993</v>
      </c>
      <c r="AU69" s="9" t="s">
        <v>997</v>
      </c>
      <c r="AV69" s="22" t="s">
        <v>3994</v>
      </c>
      <c r="AW69" s="22" t="s">
        <v>3995</v>
      </c>
    </row>
    <row r="70" ht="24" customHeight="1" spans="1:49">
      <c r="A70" s="9" t="str">
        <f>_xlfn.DISPIMG("ID_DCD7A980C874420BAF8EC45FED99013C",1)</f>
        <v>=DISPIMG("ID_DCD7A980C874420BAF8EC45FED99013C",1)</v>
      </c>
      <c r="B70" s="10" t="s">
        <v>3996</v>
      </c>
      <c r="C70" s="10" t="s">
        <v>3997</v>
      </c>
      <c r="D70" s="10" t="s">
        <v>3998</v>
      </c>
      <c r="E70" s="10" t="s">
        <v>3999</v>
      </c>
      <c r="F70" s="10" t="s">
        <v>4000</v>
      </c>
      <c r="G70" s="10" t="s">
        <v>3291</v>
      </c>
      <c r="H70" s="10" t="s">
        <v>4001</v>
      </c>
      <c r="I70" s="10" t="s">
        <v>4002</v>
      </c>
      <c r="J70" s="9" t="s">
        <v>934</v>
      </c>
      <c r="K70" s="10" t="s">
        <v>3167</v>
      </c>
      <c r="L70" s="10" t="s">
        <v>851</v>
      </c>
      <c r="M70" s="11">
        <v>11146</v>
      </c>
      <c r="N70" s="12" t="s">
        <v>3168</v>
      </c>
      <c r="O70" s="13" t="s">
        <v>4003</v>
      </c>
      <c r="P70" s="13" t="s">
        <v>4004</v>
      </c>
      <c r="Q70" s="13" t="s">
        <v>3169</v>
      </c>
      <c r="R70" s="13" t="s">
        <v>3170</v>
      </c>
      <c r="S70" s="13" t="s">
        <v>3404</v>
      </c>
      <c r="T70" s="13" t="s">
        <v>3171</v>
      </c>
      <c r="U70" s="13" t="s">
        <v>3188</v>
      </c>
      <c r="V70" s="13" t="s">
        <v>3189</v>
      </c>
      <c r="W70" s="13" t="s">
        <v>2896</v>
      </c>
      <c r="X70" s="14" t="s">
        <v>3269</v>
      </c>
      <c r="Y70" s="14" t="s">
        <v>2867</v>
      </c>
      <c r="Z70" s="14" t="s">
        <v>2822</v>
      </c>
      <c r="AA70" s="14" t="s">
        <v>2823</v>
      </c>
      <c r="AB70" s="15">
        <v>1</v>
      </c>
      <c r="AC70" s="11">
        <v>947</v>
      </c>
      <c r="AD70" s="11">
        <v>37870.53</v>
      </c>
      <c r="AE70" s="16">
        <v>39.99</v>
      </c>
      <c r="AF70" s="17">
        <v>0.6387</v>
      </c>
      <c r="AG70" s="16">
        <v>8.45</v>
      </c>
      <c r="AH70" s="18">
        <v>4.6</v>
      </c>
      <c r="AI70" s="11">
        <v>2251</v>
      </c>
      <c r="AJ70" s="19">
        <v>0.0327</v>
      </c>
      <c r="AK70" s="11">
        <v>31</v>
      </c>
      <c r="AL70" s="20"/>
      <c r="AM70" s="9" t="s">
        <v>1098</v>
      </c>
      <c r="AN70" s="9" t="s">
        <v>4005</v>
      </c>
      <c r="AO70" s="21">
        <v>525</v>
      </c>
      <c r="AP70" s="21">
        <v>5</v>
      </c>
      <c r="AQ70" s="21">
        <v>1</v>
      </c>
      <c r="AR70" s="10" t="s">
        <v>4006</v>
      </c>
      <c r="AS70" s="9" t="s">
        <v>1288</v>
      </c>
      <c r="AT70" s="10" t="s">
        <v>4007</v>
      </c>
      <c r="AU70" s="9" t="s">
        <v>997</v>
      </c>
      <c r="AV70" s="22" t="s">
        <v>4008</v>
      </c>
      <c r="AW70" s="22" t="s">
        <v>4009</v>
      </c>
    </row>
    <row r="71" ht="24" customHeight="1" spans="1:49">
      <c r="A71" s="9" t="str">
        <f>_xlfn.DISPIMG("ID_F6A8F7166AE2415F87D58BA0A999A28D",1)</f>
        <v>=DISPIMG("ID_F6A8F7166AE2415F87D58BA0A999A28D",1)</v>
      </c>
      <c r="B71" s="10" t="s">
        <v>4010</v>
      </c>
      <c r="C71" s="10" t="s">
        <v>4010</v>
      </c>
      <c r="D71" s="10" t="s">
        <v>65</v>
      </c>
      <c r="E71" s="10" t="s">
        <v>4011</v>
      </c>
      <c r="F71" s="10" t="s">
        <v>4012</v>
      </c>
      <c r="G71" s="10" t="s">
        <v>3199</v>
      </c>
      <c r="H71" s="10" t="s">
        <v>4013</v>
      </c>
      <c r="I71" s="10" t="s">
        <v>4014</v>
      </c>
      <c r="J71" s="9" t="s">
        <v>934</v>
      </c>
      <c r="K71" s="10" t="s">
        <v>3167</v>
      </c>
      <c r="L71" s="10" t="s">
        <v>851</v>
      </c>
      <c r="M71" s="11">
        <v>11511</v>
      </c>
      <c r="N71" s="12" t="s">
        <v>3168</v>
      </c>
      <c r="O71" s="13" t="s">
        <v>1491</v>
      </c>
      <c r="P71" s="13" t="s">
        <v>2963</v>
      </c>
      <c r="Q71" s="13" t="s">
        <v>3169</v>
      </c>
      <c r="R71" s="13" t="s">
        <v>3170</v>
      </c>
      <c r="S71" s="13" t="s">
        <v>3404</v>
      </c>
      <c r="T71" s="13" t="s">
        <v>3171</v>
      </c>
      <c r="U71" s="13" t="s">
        <v>3188</v>
      </c>
      <c r="V71" s="13" t="s">
        <v>3189</v>
      </c>
      <c r="W71" s="13" t="s">
        <v>2896</v>
      </c>
      <c r="X71" s="14" t="s">
        <v>3175</v>
      </c>
      <c r="Y71" s="14" t="s">
        <v>2883</v>
      </c>
      <c r="Z71" s="14" t="s">
        <v>2865</v>
      </c>
      <c r="AA71" s="14" t="s">
        <v>2823</v>
      </c>
      <c r="AB71" s="15">
        <v>1</v>
      </c>
      <c r="AC71" s="11">
        <v>1203</v>
      </c>
      <c r="AD71" s="11">
        <v>35199.78</v>
      </c>
      <c r="AE71" s="16">
        <v>29.26</v>
      </c>
      <c r="AF71" s="17">
        <v>0.5831</v>
      </c>
      <c r="AG71" s="16">
        <v>7.81</v>
      </c>
      <c r="AH71" s="18">
        <v>4.5</v>
      </c>
      <c r="AI71" s="11">
        <v>7998</v>
      </c>
      <c r="AJ71" s="19">
        <v>0.0424</v>
      </c>
      <c r="AK71" s="11">
        <v>51</v>
      </c>
      <c r="AL71" s="20"/>
      <c r="AM71" s="9" t="s">
        <v>854</v>
      </c>
      <c r="AN71" s="9" t="s">
        <v>4015</v>
      </c>
      <c r="AO71" s="21">
        <v>3613</v>
      </c>
      <c r="AP71" s="21">
        <v>1</v>
      </c>
      <c r="AQ71" s="21">
        <v>8</v>
      </c>
      <c r="AR71" s="10" t="s">
        <v>1515</v>
      </c>
      <c r="AS71" s="9" t="s">
        <v>65</v>
      </c>
      <c r="AT71" s="10" t="s">
        <v>65</v>
      </c>
      <c r="AU71" s="9" t="s">
        <v>1516</v>
      </c>
      <c r="AV71" s="22" t="s">
        <v>3463</v>
      </c>
      <c r="AW71" s="22" t="s">
        <v>4016</v>
      </c>
    </row>
    <row r="72" ht="24" customHeight="1" spans="1:49">
      <c r="A72" s="9" t="str">
        <f>_xlfn.DISPIMG("ID_C200B0DC97114B29B020AE3A1A184F5A",1)</f>
        <v>=DISPIMG("ID_C200B0DC97114B29B020AE3A1A184F5A",1)</v>
      </c>
      <c r="B72" s="10" t="s">
        <v>4017</v>
      </c>
      <c r="C72" s="10" t="s">
        <v>4018</v>
      </c>
      <c r="D72" s="10" t="s">
        <v>4019</v>
      </c>
      <c r="E72" s="10" t="s">
        <v>4020</v>
      </c>
      <c r="F72" s="10" t="s">
        <v>4021</v>
      </c>
      <c r="G72" s="10" t="s">
        <v>3427</v>
      </c>
      <c r="H72" s="10" t="s">
        <v>4022</v>
      </c>
      <c r="I72" s="10" t="s">
        <v>4023</v>
      </c>
      <c r="J72" s="9" t="s">
        <v>893</v>
      </c>
      <c r="K72" s="10" t="s">
        <v>3167</v>
      </c>
      <c r="L72" s="10" t="s">
        <v>851</v>
      </c>
      <c r="M72" s="11">
        <v>11865</v>
      </c>
      <c r="N72" s="12" t="s">
        <v>4024</v>
      </c>
      <c r="O72" s="13" t="s">
        <v>4025</v>
      </c>
      <c r="P72" s="13" t="s">
        <v>2963</v>
      </c>
      <c r="Q72" s="13" t="s">
        <v>3169</v>
      </c>
      <c r="R72" s="13" t="s">
        <v>3170</v>
      </c>
      <c r="S72" s="13" t="s">
        <v>3267</v>
      </c>
      <c r="T72" s="13" t="s">
        <v>3487</v>
      </c>
      <c r="U72" s="13" t="s">
        <v>3172</v>
      </c>
      <c r="V72" s="13" t="s">
        <v>3281</v>
      </c>
      <c r="W72" s="13" t="s">
        <v>3174</v>
      </c>
      <c r="X72" s="14" t="s">
        <v>3175</v>
      </c>
      <c r="Y72" s="14" t="s">
        <v>2867</v>
      </c>
      <c r="Z72" s="14" t="s">
        <v>2865</v>
      </c>
      <c r="AA72" s="14" t="s">
        <v>2823</v>
      </c>
      <c r="AB72" s="15">
        <v>1</v>
      </c>
      <c r="AC72" s="11">
        <v>792</v>
      </c>
      <c r="AD72" s="11">
        <v>22168.08</v>
      </c>
      <c r="AE72" s="16">
        <v>27.99</v>
      </c>
      <c r="AF72" s="17">
        <v>0.5824</v>
      </c>
      <c r="AG72" s="16">
        <v>7.49</v>
      </c>
      <c r="AH72" s="18">
        <v>4.2</v>
      </c>
      <c r="AI72" s="11">
        <v>13255</v>
      </c>
      <c r="AJ72" s="19">
        <v>0.4773</v>
      </c>
      <c r="AK72" s="11">
        <v>378</v>
      </c>
      <c r="AL72" s="20"/>
      <c r="AM72" s="9" t="s">
        <v>947</v>
      </c>
      <c r="AN72" s="9" t="s">
        <v>4026</v>
      </c>
      <c r="AO72" s="21">
        <v>4180</v>
      </c>
      <c r="AP72" s="21">
        <v>3</v>
      </c>
      <c r="AQ72" s="21">
        <v>9</v>
      </c>
      <c r="AR72" s="10" t="s">
        <v>1515</v>
      </c>
      <c r="AS72" s="9" t="s">
        <v>1110</v>
      </c>
      <c r="AT72" s="10" t="s">
        <v>4027</v>
      </c>
      <c r="AU72" s="9" t="s">
        <v>1516</v>
      </c>
      <c r="AV72" s="22" t="s">
        <v>3397</v>
      </c>
      <c r="AW72" s="22" t="s">
        <v>4028</v>
      </c>
    </row>
    <row r="73" ht="24" customHeight="1" spans="1:49">
      <c r="A73" s="9" t="str">
        <f>_xlfn.DISPIMG("ID_26CB874FF7D949CE86222FB3935C0F49",1)</f>
        <v>=DISPIMG("ID_26CB874FF7D949CE86222FB3935C0F49",1)</v>
      </c>
      <c r="B73" s="10" t="s">
        <v>4029</v>
      </c>
      <c r="C73" s="10" t="s">
        <v>4029</v>
      </c>
      <c r="D73" s="10" t="s">
        <v>65</v>
      </c>
      <c r="E73" s="10" t="s">
        <v>4030</v>
      </c>
      <c r="F73" s="10" t="s">
        <v>4031</v>
      </c>
      <c r="G73" s="10" t="s">
        <v>1238</v>
      </c>
      <c r="H73" s="10" t="s">
        <v>4032</v>
      </c>
      <c r="I73" s="10" t="s">
        <v>4033</v>
      </c>
      <c r="J73" s="9" t="s">
        <v>934</v>
      </c>
      <c r="K73" s="10" t="s">
        <v>3167</v>
      </c>
      <c r="L73" s="10" t="s">
        <v>851</v>
      </c>
      <c r="M73" s="11">
        <v>12130</v>
      </c>
      <c r="N73" s="12" t="s">
        <v>3168</v>
      </c>
      <c r="O73" s="13" t="s">
        <v>1482</v>
      </c>
      <c r="P73" s="13" t="s">
        <v>2852</v>
      </c>
      <c r="Q73" s="13" t="s">
        <v>3216</v>
      </c>
      <c r="R73" s="13" t="s">
        <v>3170</v>
      </c>
      <c r="S73" s="13" t="s">
        <v>3417</v>
      </c>
      <c r="T73" s="13" t="s">
        <v>3171</v>
      </c>
      <c r="U73" s="13" t="s">
        <v>3172</v>
      </c>
      <c r="V73" s="13" t="s">
        <v>3173</v>
      </c>
      <c r="W73" s="13" t="s">
        <v>2896</v>
      </c>
      <c r="X73" s="14" t="s">
        <v>3445</v>
      </c>
      <c r="Y73" s="14" t="s">
        <v>2851</v>
      </c>
      <c r="Z73" s="14" t="s">
        <v>2865</v>
      </c>
      <c r="AA73" s="14" t="s">
        <v>2823</v>
      </c>
      <c r="AB73" s="15">
        <v>1</v>
      </c>
      <c r="AC73" s="11">
        <v>735</v>
      </c>
      <c r="AD73" s="11">
        <v>44092.652</v>
      </c>
      <c r="AE73" s="16">
        <v>59.99</v>
      </c>
      <c r="AF73" s="17">
        <v>0.6178</v>
      </c>
      <c r="AG73" s="16">
        <v>13.93</v>
      </c>
      <c r="AH73" s="18">
        <v>4.3</v>
      </c>
      <c r="AI73" s="11">
        <v>3472</v>
      </c>
      <c r="AJ73" s="19">
        <v>0.0503</v>
      </c>
      <c r="AK73" s="11">
        <v>37</v>
      </c>
      <c r="AL73" s="20"/>
      <c r="AM73" s="9" t="s">
        <v>947</v>
      </c>
      <c r="AN73" s="9" t="s">
        <v>4034</v>
      </c>
      <c r="AO73" s="21">
        <v>3071</v>
      </c>
      <c r="AP73" s="21">
        <v>1</v>
      </c>
      <c r="AQ73" s="21">
        <v>8</v>
      </c>
      <c r="AR73" s="10" t="s">
        <v>1515</v>
      </c>
      <c r="AS73" s="9" t="s">
        <v>65</v>
      </c>
      <c r="AT73" s="10" t="s">
        <v>65</v>
      </c>
      <c r="AU73" s="9" t="s">
        <v>1516</v>
      </c>
      <c r="AV73" s="22" t="s">
        <v>4035</v>
      </c>
      <c r="AW73" s="22" t="s">
        <v>4036</v>
      </c>
    </row>
    <row r="74" ht="24" customHeight="1" spans="1:49">
      <c r="A74" s="9" t="str">
        <f>_xlfn.DISPIMG("ID_E2290C78860245548B41A3923EE76859",1)</f>
        <v>=DISPIMG("ID_E2290C78860245548B41A3923EE76859",1)</v>
      </c>
      <c r="B74" s="10" t="s">
        <v>4037</v>
      </c>
      <c r="C74" s="10" t="s">
        <v>4038</v>
      </c>
      <c r="D74" s="10" t="s">
        <v>4039</v>
      </c>
      <c r="E74" s="10" t="s">
        <v>4040</v>
      </c>
      <c r="F74" s="10" t="s">
        <v>4041</v>
      </c>
      <c r="G74" s="10" t="s">
        <v>1932</v>
      </c>
      <c r="H74" s="10" t="s">
        <v>4042</v>
      </c>
      <c r="I74" s="10" t="s">
        <v>4043</v>
      </c>
      <c r="J74" s="9" t="s">
        <v>65</v>
      </c>
      <c r="K74" s="10" t="s">
        <v>3167</v>
      </c>
      <c r="L74" s="10" t="s">
        <v>851</v>
      </c>
      <c r="M74" s="11">
        <v>12774</v>
      </c>
      <c r="N74" s="12" t="s">
        <v>3168</v>
      </c>
      <c r="O74" s="13" t="s">
        <v>1749</v>
      </c>
      <c r="P74" s="13" t="s">
        <v>2881</v>
      </c>
      <c r="Q74" s="13" t="s">
        <v>3216</v>
      </c>
      <c r="R74" s="13" t="s">
        <v>3170</v>
      </c>
      <c r="S74" s="13" t="s">
        <v>2921</v>
      </c>
      <c r="T74" s="13" t="s">
        <v>3171</v>
      </c>
      <c r="U74" s="13" t="s">
        <v>3188</v>
      </c>
      <c r="V74" s="13" t="s">
        <v>3869</v>
      </c>
      <c r="W74" s="13" t="s">
        <v>3174</v>
      </c>
      <c r="X74" s="14" t="s">
        <v>3218</v>
      </c>
      <c r="Y74" s="14" t="s">
        <v>2883</v>
      </c>
      <c r="Z74" s="14" t="s">
        <v>2865</v>
      </c>
      <c r="AA74" s="14" t="s">
        <v>2934</v>
      </c>
      <c r="AB74" s="15">
        <v>1</v>
      </c>
      <c r="AC74" s="11">
        <v>669</v>
      </c>
      <c r="AD74" s="11">
        <v>20739</v>
      </c>
      <c r="AE74" s="16">
        <v>31</v>
      </c>
      <c r="AF74" s="17">
        <v>0.4142</v>
      </c>
      <c r="AG74" s="16">
        <v>13.51</v>
      </c>
      <c r="AH74" s="18">
        <v>4</v>
      </c>
      <c r="AI74" s="11">
        <v>32</v>
      </c>
      <c r="AJ74" s="19">
        <v>0.0254</v>
      </c>
      <c r="AK74" s="11">
        <v>17</v>
      </c>
      <c r="AL74" s="20"/>
      <c r="AM74" s="9" t="s">
        <v>65</v>
      </c>
      <c r="AN74" s="9" t="s">
        <v>3374</v>
      </c>
      <c r="AO74" s="21">
        <v>289</v>
      </c>
      <c r="AP74" s="21">
        <v>11</v>
      </c>
      <c r="AQ74" s="21">
        <v>5</v>
      </c>
      <c r="AR74" s="10" t="s">
        <v>1515</v>
      </c>
      <c r="AS74" s="9" t="s">
        <v>65</v>
      </c>
      <c r="AT74" s="10" t="s">
        <v>65</v>
      </c>
      <c r="AU74" s="9" t="s">
        <v>1516</v>
      </c>
      <c r="AV74" s="22" t="s">
        <v>4044</v>
      </c>
      <c r="AW74" s="22" t="s">
        <v>4045</v>
      </c>
    </row>
    <row r="75" ht="24" customHeight="1" spans="1:49">
      <c r="A75" s="9" t="str">
        <f>_xlfn.DISPIMG("ID_9189C397A42A420F8D1B300F77ECE5A8",1)</f>
        <v>=DISPIMG("ID_9189C397A42A420F8D1B300F77ECE5A8",1)</v>
      </c>
      <c r="B75" s="10" t="s">
        <v>4046</v>
      </c>
      <c r="C75" s="10" t="s">
        <v>4047</v>
      </c>
      <c r="D75" s="10" t="s">
        <v>4048</v>
      </c>
      <c r="E75" s="10" t="s">
        <v>4049</v>
      </c>
      <c r="F75" s="10" t="s">
        <v>4050</v>
      </c>
      <c r="G75" s="10" t="s">
        <v>1189</v>
      </c>
      <c r="H75" s="10" t="s">
        <v>4051</v>
      </c>
      <c r="I75" s="10" t="s">
        <v>4052</v>
      </c>
      <c r="J75" s="9" t="s">
        <v>934</v>
      </c>
      <c r="K75" s="10" t="s">
        <v>3167</v>
      </c>
      <c r="L75" s="10" t="s">
        <v>851</v>
      </c>
      <c r="M75" s="11">
        <v>13085</v>
      </c>
      <c r="N75" s="12" t="s">
        <v>3168</v>
      </c>
      <c r="O75" s="13" t="s">
        <v>1607</v>
      </c>
      <c r="P75" s="13" t="s">
        <v>2852</v>
      </c>
      <c r="Q75" s="13" t="s">
        <v>3216</v>
      </c>
      <c r="R75" s="13" t="s">
        <v>3170</v>
      </c>
      <c r="S75" s="13" t="s">
        <v>2828</v>
      </c>
      <c r="T75" s="13" t="s">
        <v>3928</v>
      </c>
      <c r="U75" s="13" t="s">
        <v>3172</v>
      </c>
      <c r="V75" s="13" t="s">
        <v>4053</v>
      </c>
      <c r="W75" s="13" t="s">
        <v>2889</v>
      </c>
      <c r="X75" s="14" t="s">
        <v>3296</v>
      </c>
      <c r="Y75" s="14" t="s">
        <v>2917</v>
      </c>
      <c r="Z75" s="14" t="s">
        <v>2865</v>
      </c>
      <c r="AA75" s="14" t="s">
        <v>2868</v>
      </c>
      <c r="AB75" s="15">
        <v>1</v>
      </c>
      <c r="AC75" s="11">
        <v>715</v>
      </c>
      <c r="AD75" s="11">
        <v>32160.7</v>
      </c>
      <c r="AE75" s="16">
        <v>44.98</v>
      </c>
      <c r="AF75" s="17">
        <v>0.531</v>
      </c>
      <c r="AG75" s="16">
        <v>14.35</v>
      </c>
      <c r="AH75" s="18">
        <v>4.2</v>
      </c>
      <c r="AI75" s="11">
        <v>918</v>
      </c>
      <c r="AJ75" s="19">
        <v>0.028</v>
      </c>
      <c r="AK75" s="11">
        <v>20</v>
      </c>
      <c r="AL75" s="20"/>
      <c r="AM75" s="9" t="s">
        <v>947</v>
      </c>
      <c r="AN75" s="9" t="s">
        <v>4054</v>
      </c>
      <c r="AO75" s="21">
        <v>991</v>
      </c>
      <c r="AP75" s="21">
        <v>2</v>
      </c>
      <c r="AQ75" s="21">
        <v>5</v>
      </c>
      <c r="AR75" s="10" t="s">
        <v>1515</v>
      </c>
      <c r="AS75" s="9" t="s">
        <v>1110</v>
      </c>
      <c r="AT75" s="10" t="s">
        <v>4055</v>
      </c>
      <c r="AU75" s="9" t="s">
        <v>1516</v>
      </c>
      <c r="AV75" s="22" t="s">
        <v>4056</v>
      </c>
      <c r="AW75" s="22" t="s">
        <v>4057</v>
      </c>
    </row>
    <row r="76" ht="24" customHeight="1" spans="1:49">
      <c r="A76" s="9" t="str">
        <f>_xlfn.DISPIMG("ID_32AE932A8C244AD0921ABA858F455F9F",1)</f>
        <v>=DISPIMG("ID_32AE932A8C244AD0921ABA858F455F9F",1)</v>
      </c>
      <c r="B76" s="10" t="s">
        <v>4058</v>
      </c>
      <c r="C76" s="10" t="s">
        <v>4058</v>
      </c>
      <c r="D76" s="10" t="s">
        <v>65</v>
      </c>
      <c r="E76" s="10" t="s">
        <v>4059</v>
      </c>
      <c r="F76" s="10" t="s">
        <v>4060</v>
      </c>
      <c r="G76" s="10" t="s">
        <v>3199</v>
      </c>
      <c r="H76" s="10" t="s">
        <v>4061</v>
      </c>
      <c r="I76" s="10" t="s">
        <v>4062</v>
      </c>
      <c r="J76" s="9" t="s">
        <v>934</v>
      </c>
      <c r="K76" s="10" t="s">
        <v>3167</v>
      </c>
      <c r="L76" s="10" t="s">
        <v>851</v>
      </c>
      <c r="M76" s="11">
        <v>13163</v>
      </c>
      <c r="N76" s="12" t="s">
        <v>3168</v>
      </c>
      <c r="O76" s="13" t="s">
        <v>1781</v>
      </c>
      <c r="P76" s="13" t="s">
        <v>2852</v>
      </c>
      <c r="Q76" s="13" t="s">
        <v>3216</v>
      </c>
      <c r="R76" s="13" t="s">
        <v>3170</v>
      </c>
      <c r="S76" s="13" t="s">
        <v>2921</v>
      </c>
      <c r="T76" s="13" t="s">
        <v>3171</v>
      </c>
      <c r="U76" s="13" t="s">
        <v>3188</v>
      </c>
      <c r="V76" s="13" t="s">
        <v>3189</v>
      </c>
      <c r="W76" s="13" t="s">
        <v>2896</v>
      </c>
      <c r="X76" s="14" t="s">
        <v>3310</v>
      </c>
      <c r="Y76" s="14" t="s">
        <v>2821</v>
      </c>
      <c r="Z76" s="14" t="s">
        <v>2822</v>
      </c>
      <c r="AA76" s="14" t="s">
        <v>2823</v>
      </c>
      <c r="AB76" s="15">
        <v>1</v>
      </c>
      <c r="AC76" s="11">
        <v>394</v>
      </c>
      <c r="AD76" s="11">
        <v>17730</v>
      </c>
      <c r="AE76" s="16">
        <v>45</v>
      </c>
      <c r="AF76" s="17">
        <v>0.5311</v>
      </c>
      <c r="AG76" s="16">
        <v>14.35</v>
      </c>
      <c r="AH76" s="18">
        <v>4.6</v>
      </c>
      <c r="AI76" s="11">
        <v>3036</v>
      </c>
      <c r="AJ76" s="19">
        <v>0.1015</v>
      </c>
      <c r="AK76" s="11">
        <v>40</v>
      </c>
      <c r="AL76" s="20"/>
      <c r="AM76" s="9" t="s">
        <v>854</v>
      </c>
      <c r="AN76" s="9" t="s">
        <v>4063</v>
      </c>
      <c r="AO76" s="21">
        <v>2290</v>
      </c>
      <c r="AP76" s="21">
        <v>1</v>
      </c>
      <c r="AQ76" s="21">
        <v>19</v>
      </c>
      <c r="AR76" s="10" t="s">
        <v>1515</v>
      </c>
      <c r="AS76" s="9" t="s">
        <v>1110</v>
      </c>
      <c r="AT76" s="10" t="s">
        <v>4064</v>
      </c>
      <c r="AU76" s="9" t="s">
        <v>1516</v>
      </c>
      <c r="AV76" s="22" t="s">
        <v>4065</v>
      </c>
      <c r="AW76" s="22" t="s">
        <v>4066</v>
      </c>
    </row>
    <row r="77" ht="24" customHeight="1" spans="1:49">
      <c r="A77" s="9" t="str">
        <f>_xlfn.DISPIMG("ID_532CAEE91F2940E7AD5F5540C0E8CE3F",1)</f>
        <v>=DISPIMG("ID_532CAEE91F2940E7AD5F5540C0E8CE3F",1)</v>
      </c>
      <c r="B77" s="10" t="s">
        <v>4067</v>
      </c>
      <c r="C77" s="10" t="s">
        <v>4068</v>
      </c>
      <c r="D77" s="10" t="s">
        <v>3517</v>
      </c>
      <c r="E77" s="10" t="s">
        <v>4069</v>
      </c>
      <c r="F77" s="10" t="s">
        <v>4070</v>
      </c>
      <c r="G77" s="10" t="s">
        <v>3520</v>
      </c>
      <c r="H77" s="10" t="s">
        <v>4071</v>
      </c>
      <c r="I77" s="10" t="s">
        <v>4072</v>
      </c>
      <c r="J77" s="9" t="s">
        <v>934</v>
      </c>
      <c r="K77" s="10" t="s">
        <v>3167</v>
      </c>
      <c r="L77" s="10" t="s">
        <v>851</v>
      </c>
      <c r="M77" s="11">
        <v>13471</v>
      </c>
      <c r="N77" s="12" t="s">
        <v>3168</v>
      </c>
      <c r="O77" s="13" t="s">
        <v>4073</v>
      </c>
      <c r="P77" s="13" t="s">
        <v>2881</v>
      </c>
      <c r="Q77" s="13" t="s">
        <v>3169</v>
      </c>
      <c r="R77" s="13" t="s">
        <v>3170</v>
      </c>
      <c r="S77" s="13" t="s">
        <v>3404</v>
      </c>
      <c r="T77" s="13" t="s">
        <v>3171</v>
      </c>
      <c r="U77" s="13" t="s">
        <v>3188</v>
      </c>
      <c r="V77" s="13" t="s">
        <v>3173</v>
      </c>
      <c r="W77" s="13" t="s">
        <v>2896</v>
      </c>
      <c r="X77" s="14" t="s">
        <v>3790</v>
      </c>
      <c r="Y77" s="14" t="s">
        <v>2831</v>
      </c>
      <c r="Z77" s="14" t="s">
        <v>2822</v>
      </c>
      <c r="AA77" s="14" t="s">
        <v>2823</v>
      </c>
      <c r="AB77" s="15">
        <v>1</v>
      </c>
      <c r="AC77" s="11">
        <v>1159</v>
      </c>
      <c r="AD77" s="11">
        <v>62574.41</v>
      </c>
      <c r="AE77" s="16">
        <v>53.99</v>
      </c>
      <c r="AF77" s="17">
        <v>0.592</v>
      </c>
      <c r="AG77" s="16">
        <v>13.93</v>
      </c>
      <c r="AH77" s="18">
        <v>4.6</v>
      </c>
      <c r="AI77" s="11">
        <v>1548</v>
      </c>
      <c r="AJ77" s="19">
        <v>0.0371</v>
      </c>
      <c r="AK77" s="11">
        <v>43</v>
      </c>
      <c r="AL77" s="20"/>
      <c r="AM77" s="9" t="s">
        <v>947</v>
      </c>
      <c r="AN77" s="9" t="s">
        <v>2597</v>
      </c>
      <c r="AO77" s="21">
        <v>707</v>
      </c>
      <c r="AP77" s="21">
        <v>2</v>
      </c>
      <c r="AQ77" s="21">
        <v>2</v>
      </c>
      <c r="AR77" s="10" t="s">
        <v>3525</v>
      </c>
      <c r="AS77" s="9" t="s">
        <v>1288</v>
      </c>
      <c r="AT77" s="10" t="s">
        <v>3526</v>
      </c>
      <c r="AU77" s="9" t="s">
        <v>997</v>
      </c>
      <c r="AV77" s="22" t="s">
        <v>4074</v>
      </c>
      <c r="AW77" s="22" t="s">
        <v>4075</v>
      </c>
    </row>
    <row r="78" ht="24" customHeight="1" spans="1:49">
      <c r="A78" s="9" t="str">
        <f>_xlfn.DISPIMG("ID_19C23DA25F9D4BFABF57BB50D19890AB",1)</f>
        <v>=DISPIMG("ID_19C23DA25F9D4BFABF57BB50D19890AB",1)</v>
      </c>
      <c r="B78" s="10" t="s">
        <v>4076</v>
      </c>
      <c r="C78" s="10" t="s">
        <v>4077</v>
      </c>
      <c r="D78" s="10" t="s">
        <v>4078</v>
      </c>
      <c r="E78" s="10" t="s">
        <v>4079</v>
      </c>
      <c r="F78" s="10" t="s">
        <v>4080</v>
      </c>
      <c r="G78" s="10" t="s">
        <v>3319</v>
      </c>
      <c r="H78" s="10" t="s">
        <v>4081</v>
      </c>
      <c r="I78" s="10" t="s">
        <v>4082</v>
      </c>
      <c r="J78" s="9" t="s">
        <v>974</v>
      </c>
      <c r="K78" s="10" t="s">
        <v>3167</v>
      </c>
      <c r="L78" s="10" t="s">
        <v>851</v>
      </c>
      <c r="M78" s="11">
        <v>13538</v>
      </c>
      <c r="N78" s="12" t="s">
        <v>3168</v>
      </c>
      <c r="O78" s="13" t="s">
        <v>4083</v>
      </c>
      <c r="P78" s="13" t="s">
        <v>4084</v>
      </c>
      <c r="Q78" s="13" t="s">
        <v>3216</v>
      </c>
      <c r="R78" s="13" t="s">
        <v>3416</v>
      </c>
      <c r="S78" s="13" t="s">
        <v>2874</v>
      </c>
      <c r="T78" s="13" t="s">
        <v>3171</v>
      </c>
      <c r="U78" s="13" t="s">
        <v>3188</v>
      </c>
      <c r="V78" s="13" t="s">
        <v>3189</v>
      </c>
      <c r="W78" s="13" t="s">
        <v>2896</v>
      </c>
      <c r="X78" s="14" t="s">
        <v>3445</v>
      </c>
      <c r="Y78" s="14" t="s">
        <v>2883</v>
      </c>
      <c r="Z78" s="14" t="s">
        <v>2865</v>
      </c>
      <c r="AA78" s="14" t="s">
        <v>2940</v>
      </c>
      <c r="AB78" s="15">
        <v>1</v>
      </c>
      <c r="AC78" s="11">
        <v>498</v>
      </c>
      <c r="AD78" s="11">
        <v>28381.021</v>
      </c>
      <c r="AE78" s="16">
        <v>56.99</v>
      </c>
      <c r="AF78" s="17">
        <v>0.6933</v>
      </c>
      <c r="AG78" s="16">
        <v>8.93</v>
      </c>
      <c r="AH78" s="18">
        <v>4.5</v>
      </c>
      <c r="AI78" s="11">
        <v>257</v>
      </c>
      <c r="AJ78" s="19">
        <v>0.0562</v>
      </c>
      <c r="AK78" s="11">
        <v>28</v>
      </c>
      <c r="AL78" s="20"/>
      <c r="AM78" s="9" t="s">
        <v>1098</v>
      </c>
      <c r="AN78" s="9" t="s">
        <v>3362</v>
      </c>
      <c r="AO78" s="21">
        <v>287</v>
      </c>
      <c r="AP78" s="21">
        <v>3</v>
      </c>
      <c r="AQ78" s="21">
        <v>1</v>
      </c>
      <c r="AR78" s="10" t="s">
        <v>3327</v>
      </c>
      <c r="AS78" s="9" t="s">
        <v>1288</v>
      </c>
      <c r="AT78" s="10" t="s">
        <v>3328</v>
      </c>
      <c r="AU78" s="9" t="s">
        <v>997</v>
      </c>
      <c r="AV78" s="22" t="s">
        <v>4085</v>
      </c>
      <c r="AW78" s="22" t="s">
        <v>4086</v>
      </c>
    </row>
    <row r="79" ht="24" customHeight="1" spans="1:49">
      <c r="A79" s="9" t="str">
        <f>_xlfn.DISPIMG("ID_B878B89199FB4D7F8E90934AB295EF2D",1)</f>
        <v>=DISPIMG("ID_B878B89199FB4D7F8E90934AB295EF2D",1)</v>
      </c>
      <c r="B79" s="10" t="s">
        <v>4087</v>
      </c>
      <c r="C79" s="10" t="s">
        <v>4088</v>
      </c>
      <c r="D79" s="10" t="s">
        <v>3288</v>
      </c>
      <c r="E79" s="10" t="s">
        <v>4089</v>
      </c>
      <c r="F79" s="10" t="s">
        <v>4090</v>
      </c>
      <c r="G79" s="10" t="s">
        <v>4091</v>
      </c>
      <c r="H79" s="10" t="s">
        <v>4092</v>
      </c>
      <c r="I79" s="10" t="s">
        <v>4093</v>
      </c>
      <c r="J79" s="9" t="s">
        <v>934</v>
      </c>
      <c r="K79" s="10" t="s">
        <v>3167</v>
      </c>
      <c r="L79" s="10" t="s">
        <v>851</v>
      </c>
      <c r="M79" s="11">
        <v>13597</v>
      </c>
      <c r="N79" s="12" t="s">
        <v>3168</v>
      </c>
      <c r="O79" s="13" t="s">
        <v>4094</v>
      </c>
      <c r="P79" s="13" t="s">
        <v>3295</v>
      </c>
      <c r="Q79" s="13" t="s">
        <v>3169</v>
      </c>
      <c r="R79" s="13" t="s">
        <v>3170</v>
      </c>
      <c r="S79" s="13" t="s">
        <v>2838</v>
      </c>
      <c r="T79" s="13" t="s">
        <v>3203</v>
      </c>
      <c r="U79" s="13" t="s">
        <v>3188</v>
      </c>
      <c r="V79" s="13" t="s">
        <v>3189</v>
      </c>
      <c r="W79" s="13" t="s">
        <v>2896</v>
      </c>
      <c r="X79" s="14" t="s">
        <v>3296</v>
      </c>
      <c r="Y79" s="14" t="s">
        <v>2821</v>
      </c>
      <c r="Z79" s="14" t="s">
        <v>2822</v>
      </c>
      <c r="AA79" s="14" t="s">
        <v>2823</v>
      </c>
      <c r="AB79" s="15">
        <v>1</v>
      </c>
      <c r="AC79" s="11">
        <v>423</v>
      </c>
      <c r="AD79" s="11">
        <v>17761.771</v>
      </c>
      <c r="AE79" s="16">
        <v>41.99</v>
      </c>
      <c r="AF79" s="17">
        <v>0.6526</v>
      </c>
      <c r="AG79" s="16">
        <v>8.29</v>
      </c>
      <c r="AH79" s="18">
        <v>4.6</v>
      </c>
      <c r="AI79" s="11">
        <v>1905</v>
      </c>
      <c r="AJ79" s="19">
        <v>0.1182</v>
      </c>
      <c r="AK79" s="11">
        <v>50</v>
      </c>
      <c r="AL79" s="20"/>
      <c r="AM79" s="9" t="s">
        <v>947</v>
      </c>
      <c r="AN79" s="9" t="s">
        <v>4095</v>
      </c>
      <c r="AO79" s="21">
        <v>988</v>
      </c>
      <c r="AP79" s="21">
        <v>6</v>
      </c>
      <c r="AQ79" s="21">
        <v>2</v>
      </c>
      <c r="AR79" s="10" t="s">
        <v>4096</v>
      </c>
      <c r="AS79" s="9" t="s">
        <v>1288</v>
      </c>
      <c r="AT79" s="10" t="s">
        <v>4097</v>
      </c>
      <c r="AU79" s="9" t="s">
        <v>997</v>
      </c>
      <c r="AV79" s="22" t="s">
        <v>3342</v>
      </c>
      <c r="AW79" s="22" t="s">
        <v>3301</v>
      </c>
    </row>
    <row r="80" ht="24" customHeight="1" spans="1:49">
      <c r="A80" s="9" t="str">
        <f>_xlfn.DISPIMG("ID_4B21EB36E95B4B59AE8D974B7380304F",1)</f>
        <v>=DISPIMG("ID_4B21EB36E95B4B59AE8D974B7380304F",1)</v>
      </c>
      <c r="B80" s="10" t="s">
        <v>4098</v>
      </c>
      <c r="C80" s="10" t="s">
        <v>4099</v>
      </c>
      <c r="D80" s="10" t="s">
        <v>3196</v>
      </c>
      <c r="E80" s="10" t="s">
        <v>4100</v>
      </c>
      <c r="F80" s="10" t="s">
        <v>4101</v>
      </c>
      <c r="G80" s="10" t="s">
        <v>4102</v>
      </c>
      <c r="H80" s="10" t="s">
        <v>4103</v>
      </c>
      <c r="I80" s="10" t="s">
        <v>4104</v>
      </c>
      <c r="J80" s="9" t="s">
        <v>974</v>
      </c>
      <c r="K80" s="10" t="s">
        <v>3167</v>
      </c>
      <c r="L80" s="10" t="s">
        <v>851</v>
      </c>
      <c r="M80" s="11">
        <v>14090</v>
      </c>
      <c r="N80" s="12" t="s">
        <v>3168</v>
      </c>
      <c r="O80" s="13" t="s">
        <v>4105</v>
      </c>
      <c r="P80" s="13" t="s">
        <v>2809</v>
      </c>
      <c r="Q80" s="13" t="s">
        <v>3169</v>
      </c>
      <c r="R80" s="13" t="s">
        <v>3170</v>
      </c>
      <c r="S80" s="13" t="s">
        <v>2910</v>
      </c>
      <c r="T80" s="13" t="s">
        <v>3203</v>
      </c>
      <c r="U80" s="13" t="s">
        <v>4106</v>
      </c>
      <c r="V80" s="13" t="s">
        <v>3189</v>
      </c>
      <c r="W80" s="13" t="s">
        <v>2889</v>
      </c>
      <c r="X80" s="14" t="s">
        <v>3175</v>
      </c>
      <c r="Y80" s="14" t="s">
        <v>2917</v>
      </c>
      <c r="Z80" s="14" t="s">
        <v>2865</v>
      </c>
      <c r="AA80" s="14" t="s">
        <v>2979</v>
      </c>
      <c r="AB80" s="15">
        <v>1</v>
      </c>
      <c r="AC80" s="11">
        <v>762</v>
      </c>
      <c r="AD80" s="11">
        <v>22821.9</v>
      </c>
      <c r="AE80" s="16">
        <v>29.95</v>
      </c>
      <c r="AF80" s="17">
        <v>0.5892</v>
      </c>
      <c r="AG80" s="16">
        <v>7.81</v>
      </c>
      <c r="AH80" s="18">
        <v>4.3</v>
      </c>
      <c r="AI80" s="11">
        <v>75</v>
      </c>
      <c r="AJ80" s="19">
        <v>0.0354</v>
      </c>
      <c r="AK80" s="11">
        <v>27</v>
      </c>
      <c r="AL80" s="20"/>
      <c r="AM80" s="9" t="s">
        <v>1267</v>
      </c>
      <c r="AN80" s="9" t="s">
        <v>4107</v>
      </c>
      <c r="AO80" s="21">
        <v>108</v>
      </c>
      <c r="AP80" s="21">
        <v>3</v>
      </c>
      <c r="AQ80" s="21">
        <v>1</v>
      </c>
      <c r="AR80" s="10" t="s">
        <v>4102</v>
      </c>
      <c r="AS80" s="9" t="s">
        <v>1288</v>
      </c>
      <c r="AT80" s="10" t="s">
        <v>4108</v>
      </c>
      <c r="AU80" s="9" t="s">
        <v>997</v>
      </c>
      <c r="AV80" s="22" t="s">
        <v>4109</v>
      </c>
      <c r="AW80" s="22" t="s">
        <v>4110</v>
      </c>
    </row>
    <row r="81" ht="24" customHeight="1" spans="1:49">
      <c r="A81" s="9" t="str">
        <f>_xlfn.DISPIMG("ID_C5F279E0B76649F498C92E46547C5DB7",1)</f>
        <v>=DISPIMG("ID_C5F279E0B76649F498C92E46547C5DB7",1)</v>
      </c>
      <c r="B81" s="10" t="s">
        <v>4111</v>
      </c>
      <c r="C81" s="10" t="s">
        <v>4112</v>
      </c>
      <c r="D81" s="10" t="s">
        <v>4113</v>
      </c>
      <c r="E81" s="10" t="s">
        <v>4114</v>
      </c>
      <c r="F81" s="10" t="s">
        <v>4115</v>
      </c>
      <c r="G81" s="10" t="s">
        <v>4116</v>
      </c>
      <c r="H81" s="10" t="s">
        <v>4117</v>
      </c>
      <c r="I81" s="10" t="s">
        <v>4118</v>
      </c>
      <c r="J81" s="9" t="s">
        <v>934</v>
      </c>
      <c r="K81" s="10" t="s">
        <v>3167</v>
      </c>
      <c r="L81" s="10" t="s">
        <v>851</v>
      </c>
      <c r="M81" s="11">
        <v>14245</v>
      </c>
      <c r="N81" s="12" t="s">
        <v>3168</v>
      </c>
      <c r="O81" s="13" t="s">
        <v>1562</v>
      </c>
      <c r="P81" s="13" t="s">
        <v>2832</v>
      </c>
      <c r="Q81" s="13" t="s">
        <v>3169</v>
      </c>
      <c r="R81" s="13" t="s">
        <v>3170</v>
      </c>
      <c r="S81" s="13" t="s">
        <v>3187</v>
      </c>
      <c r="T81" s="13" t="s">
        <v>3171</v>
      </c>
      <c r="U81" s="13" t="s">
        <v>4106</v>
      </c>
      <c r="V81" s="13" t="s">
        <v>3217</v>
      </c>
      <c r="W81" s="13" t="s">
        <v>2889</v>
      </c>
      <c r="X81" s="14" t="s">
        <v>3190</v>
      </c>
      <c r="Y81" s="14" t="s">
        <v>2917</v>
      </c>
      <c r="Z81" s="14" t="s">
        <v>2865</v>
      </c>
      <c r="AA81" s="14" t="s">
        <v>2823</v>
      </c>
      <c r="AB81" s="15">
        <v>1</v>
      </c>
      <c r="AC81" s="11">
        <v>338</v>
      </c>
      <c r="AD81" s="11">
        <v>8446.62</v>
      </c>
      <c r="AE81" s="16">
        <v>24.99</v>
      </c>
      <c r="AF81" s="17">
        <v>0.5375</v>
      </c>
      <c r="AG81" s="16">
        <v>7.81</v>
      </c>
      <c r="AH81" s="18">
        <v>4.4</v>
      </c>
      <c r="AI81" s="11">
        <v>1485</v>
      </c>
      <c r="AJ81" s="19">
        <v>0.0385</v>
      </c>
      <c r="AK81" s="11">
        <v>13</v>
      </c>
      <c r="AL81" s="20"/>
      <c r="AM81" s="9" t="s">
        <v>947</v>
      </c>
      <c r="AN81" s="9" t="s">
        <v>1731</v>
      </c>
      <c r="AO81" s="21">
        <v>1520</v>
      </c>
      <c r="AP81" s="21">
        <v>2</v>
      </c>
      <c r="AQ81" s="21">
        <v>6</v>
      </c>
      <c r="AR81" s="10" t="s">
        <v>4119</v>
      </c>
      <c r="AS81" s="9" t="s">
        <v>1110</v>
      </c>
      <c r="AT81" s="10" t="s">
        <v>4120</v>
      </c>
      <c r="AU81" s="9" t="s">
        <v>997</v>
      </c>
      <c r="AV81" s="22" t="s">
        <v>3463</v>
      </c>
      <c r="AW81" s="22" t="s">
        <v>4121</v>
      </c>
    </row>
    <row r="82" ht="24" customHeight="1" spans="1:49">
      <c r="A82" s="9" t="str">
        <f>_xlfn.DISPIMG("ID_4F39359D580E4E80A7CD26B76062D7E0",1)</f>
        <v>=DISPIMG("ID_4F39359D580E4E80A7CD26B76062D7E0",1)</v>
      </c>
      <c r="B82" s="10" t="s">
        <v>4122</v>
      </c>
      <c r="C82" s="10" t="s">
        <v>4122</v>
      </c>
      <c r="D82" s="10" t="s">
        <v>65</v>
      </c>
      <c r="E82" s="10" t="s">
        <v>4123</v>
      </c>
      <c r="F82" s="10" t="s">
        <v>4124</v>
      </c>
      <c r="G82" s="10" t="s">
        <v>3199</v>
      </c>
      <c r="H82" s="10" t="s">
        <v>4125</v>
      </c>
      <c r="I82" s="10" t="s">
        <v>4126</v>
      </c>
      <c r="J82" s="9" t="s">
        <v>934</v>
      </c>
      <c r="K82" s="10" t="s">
        <v>3167</v>
      </c>
      <c r="L82" s="10" t="s">
        <v>851</v>
      </c>
      <c r="M82" s="11">
        <v>14256</v>
      </c>
      <c r="N82" s="12" t="s">
        <v>3168</v>
      </c>
      <c r="O82" s="13" t="s">
        <v>1708</v>
      </c>
      <c r="P82" s="13" t="s">
        <v>2852</v>
      </c>
      <c r="Q82" s="13" t="s">
        <v>3169</v>
      </c>
      <c r="R82" s="13" t="s">
        <v>3170</v>
      </c>
      <c r="S82" s="13" t="s">
        <v>2989</v>
      </c>
      <c r="T82" s="13" t="s">
        <v>3171</v>
      </c>
      <c r="U82" s="13" t="s">
        <v>3188</v>
      </c>
      <c r="V82" s="13" t="s">
        <v>3189</v>
      </c>
      <c r="W82" s="13" t="s">
        <v>2896</v>
      </c>
      <c r="X82" s="14" t="s">
        <v>3269</v>
      </c>
      <c r="Y82" s="14" t="s">
        <v>2883</v>
      </c>
      <c r="Z82" s="14" t="s">
        <v>2865</v>
      </c>
      <c r="AA82" s="14" t="s">
        <v>2823</v>
      </c>
      <c r="AB82" s="15">
        <v>1</v>
      </c>
      <c r="AC82" s="11">
        <v>574</v>
      </c>
      <c r="AD82" s="11">
        <v>22288.422</v>
      </c>
      <c r="AE82" s="16">
        <v>38.83</v>
      </c>
      <c r="AF82" s="17">
        <v>0.6362</v>
      </c>
      <c r="AG82" s="16">
        <v>8.3</v>
      </c>
      <c r="AH82" s="18">
        <v>4.3</v>
      </c>
      <c r="AI82" s="11">
        <v>2128</v>
      </c>
      <c r="AJ82" s="19">
        <v>0.0348</v>
      </c>
      <c r="AK82" s="11">
        <v>20</v>
      </c>
      <c r="AL82" s="20"/>
      <c r="AM82" s="9" t="s">
        <v>854</v>
      </c>
      <c r="AN82" s="9" t="s">
        <v>4127</v>
      </c>
      <c r="AO82" s="21">
        <v>3167</v>
      </c>
      <c r="AP82" s="21">
        <v>1</v>
      </c>
      <c r="AQ82" s="21">
        <v>24</v>
      </c>
      <c r="AR82" s="10" t="s">
        <v>1515</v>
      </c>
      <c r="AS82" s="9" t="s">
        <v>1110</v>
      </c>
      <c r="AT82" s="10" t="s">
        <v>4128</v>
      </c>
      <c r="AU82" s="9" t="s">
        <v>1516</v>
      </c>
      <c r="AV82" s="22" t="s">
        <v>3538</v>
      </c>
      <c r="AW82" s="22" t="s">
        <v>4129</v>
      </c>
    </row>
    <row r="83" ht="24" customHeight="1" spans="1:49">
      <c r="A83" s="9" t="str">
        <f>_xlfn.DISPIMG("ID_D48FED42E9524A8AA66EFB491E44FFFF",1)</f>
        <v>=DISPIMG("ID_D48FED42E9524A8AA66EFB491E44FFFF",1)</v>
      </c>
      <c r="B83" s="10" t="s">
        <v>4130</v>
      </c>
      <c r="C83" s="10" t="s">
        <v>4131</v>
      </c>
      <c r="D83" s="10" t="s">
        <v>4132</v>
      </c>
      <c r="E83" s="10" t="s">
        <v>4133</v>
      </c>
      <c r="F83" s="10" t="s">
        <v>4134</v>
      </c>
      <c r="G83" s="10" t="s">
        <v>4135</v>
      </c>
      <c r="H83" s="10" t="s">
        <v>4136</v>
      </c>
      <c r="I83" s="10" t="s">
        <v>4137</v>
      </c>
      <c r="J83" s="9" t="s">
        <v>934</v>
      </c>
      <c r="K83" s="10" t="s">
        <v>3167</v>
      </c>
      <c r="L83" s="10" t="s">
        <v>851</v>
      </c>
      <c r="M83" s="11">
        <v>14804</v>
      </c>
      <c r="N83" s="12" t="s">
        <v>3168</v>
      </c>
      <c r="O83" s="13" t="s">
        <v>4138</v>
      </c>
      <c r="P83" s="13" t="s">
        <v>2986</v>
      </c>
      <c r="Q83" s="13" t="s">
        <v>3216</v>
      </c>
      <c r="R83" s="13" t="s">
        <v>3170</v>
      </c>
      <c r="S83" s="13" t="s">
        <v>2828</v>
      </c>
      <c r="T83" s="13" t="s">
        <v>3203</v>
      </c>
      <c r="U83" s="13" t="s">
        <v>3188</v>
      </c>
      <c r="V83" s="13" t="s">
        <v>3189</v>
      </c>
      <c r="W83" s="13" t="s">
        <v>2896</v>
      </c>
      <c r="X83" s="14" t="s">
        <v>2820</v>
      </c>
      <c r="Y83" s="14" t="s">
        <v>2821</v>
      </c>
      <c r="Z83" s="14" t="s">
        <v>2822</v>
      </c>
      <c r="AA83" s="14" t="s">
        <v>2823</v>
      </c>
      <c r="AB83" s="15">
        <v>1</v>
      </c>
      <c r="AC83" s="11">
        <v>459</v>
      </c>
      <c r="AD83" s="11">
        <v>41287.047</v>
      </c>
      <c r="AE83" s="16">
        <v>89.95</v>
      </c>
      <c r="AF83" s="17">
        <v>0.6718</v>
      </c>
      <c r="AG83" s="16">
        <v>16.03</v>
      </c>
      <c r="AH83" s="18">
        <v>4.6</v>
      </c>
      <c r="AI83" s="11">
        <v>1410</v>
      </c>
      <c r="AJ83" s="19">
        <v>0.0675</v>
      </c>
      <c r="AK83" s="11">
        <v>31</v>
      </c>
      <c r="AL83" s="20"/>
      <c r="AM83" s="9" t="s">
        <v>1098</v>
      </c>
      <c r="AN83" s="9" t="s">
        <v>1906</v>
      </c>
      <c r="AO83" s="21">
        <v>1046</v>
      </c>
      <c r="AP83" s="21">
        <v>7</v>
      </c>
      <c r="AQ83" s="21">
        <v>2</v>
      </c>
      <c r="AR83" s="10" t="s">
        <v>4139</v>
      </c>
      <c r="AS83" s="9" t="s">
        <v>1110</v>
      </c>
      <c r="AT83" s="10" t="s">
        <v>4140</v>
      </c>
      <c r="AU83" s="9" t="s">
        <v>2728</v>
      </c>
      <c r="AV83" s="22" t="s">
        <v>3744</v>
      </c>
      <c r="AW83" s="22" t="s">
        <v>4141</v>
      </c>
    </row>
    <row r="84" ht="24" customHeight="1" spans="1:49">
      <c r="A84" s="9" t="str">
        <f>_xlfn.DISPIMG("ID_44CF05A25AC746F78242454C5BF58ABC",1)</f>
        <v>=DISPIMG("ID_44CF05A25AC746F78242454C5BF58ABC",1)</v>
      </c>
      <c r="B84" s="10" t="s">
        <v>4142</v>
      </c>
      <c r="C84" s="10" t="s">
        <v>4143</v>
      </c>
      <c r="D84" s="10" t="s">
        <v>4144</v>
      </c>
      <c r="E84" s="10" t="s">
        <v>4145</v>
      </c>
      <c r="F84" s="10" t="s">
        <v>4146</v>
      </c>
      <c r="G84" s="10" t="s">
        <v>4091</v>
      </c>
      <c r="H84" s="10" t="s">
        <v>4147</v>
      </c>
      <c r="I84" s="10" t="s">
        <v>4148</v>
      </c>
      <c r="J84" s="9" t="s">
        <v>934</v>
      </c>
      <c r="K84" s="10" t="s">
        <v>3167</v>
      </c>
      <c r="L84" s="10" t="s">
        <v>851</v>
      </c>
      <c r="M84" s="11">
        <v>15220</v>
      </c>
      <c r="N84" s="12" t="s">
        <v>3168</v>
      </c>
      <c r="O84" s="13" t="s">
        <v>4149</v>
      </c>
      <c r="P84" s="13" t="s">
        <v>2832</v>
      </c>
      <c r="Q84" s="13" t="s">
        <v>3216</v>
      </c>
      <c r="R84" s="13" t="s">
        <v>3416</v>
      </c>
      <c r="S84" s="13" t="s">
        <v>2853</v>
      </c>
      <c r="T84" s="13" t="s">
        <v>3203</v>
      </c>
      <c r="U84" s="13" t="s">
        <v>3188</v>
      </c>
      <c r="V84" s="13" t="s">
        <v>3189</v>
      </c>
      <c r="W84" s="13" t="s">
        <v>2896</v>
      </c>
      <c r="X84" s="14" t="s">
        <v>3445</v>
      </c>
      <c r="Y84" s="14" t="s">
        <v>2851</v>
      </c>
      <c r="Z84" s="14" t="s">
        <v>2822</v>
      </c>
      <c r="AA84" s="14" t="s">
        <v>2823</v>
      </c>
      <c r="AB84" s="15">
        <v>1</v>
      </c>
      <c r="AC84" s="11">
        <v>534</v>
      </c>
      <c r="AD84" s="11">
        <v>32034.66</v>
      </c>
      <c r="AE84" s="16">
        <v>59.99</v>
      </c>
      <c r="AF84" s="17">
        <v>0.6931</v>
      </c>
      <c r="AG84" s="16">
        <v>9.41</v>
      </c>
      <c r="AH84" s="18">
        <v>4.6</v>
      </c>
      <c r="AI84" s="11">
        <v>1118</v>
      </c>
      <c r="AJ84" s="19">
        <v>0.0487</v>
      </c>
      <c r="AK84" s="11">
        <v>26</v>
      </c>
      <c r="AL84" s="20"/>
      <c r="AM84" s="9" t="s">
        <v>1098</v>
      </c>
      <c r="AN84" s="9" t="s">
        <v>4150</v>
      </c>
      <c r="AO84" s="21">
        <v>798</v>
      </c>
      <c r="AP84" s="21">
        <v>3</v>
      </c>
      <c r="AQ84" s="21">
        <v>2</v>
      </c>
      <c r="AR84" s="10" t="s">
        <v>4096</v>
      </c>
      <c r="AS84" s="9" t="s">
        <v>1288</v>
      </c>
      <c r="AT84" s="10" t="s">
        <v>4097</v>
      </c>
      <c r="AU84" s="9" t="s">
        <v>997</v>
      </c>
      <c r="AV84" s="22" t="s">
        <v>4151</v>
      </c>
      <c r="AW84" s="22" t="s">
        <v>4152</v>
      </c>
    </row>
    <row r="85" ht="24" customHeight="1" spans="1:49">
      <c r="A85" s="9" t="str">
        <f>_xlfn.DISPIMG("ID_F28D68A3894A40B09C14F5BC891A639A",1)</f>
        <v>=DISPIMG("ID_F28D68A3894A40B09C14F5BC891A639A",1)</v>
      </c>
      <c r="B85" s="10" t="s">
        <v>4153</v>
      </c>
      <c r="C85" s="10" t="s">
        <v>4154</v>
      </c>
      <c r="D85" s="10" t="s">
        <v>2365</v>
      </c>
      <c r="E85" s="10" t="s">
        <v>4155</v>
      </c>
      <c r="F85" s="10" t="s">
        <v>4156</v>
      </c>
      <c r="G85" s="10" t="s">
        <v>2541</v>
      </c>
      <c r="H85" s="10" t="s">
        <v>4157</v>
      </c>
      <c r="I85" s="10" t="s">
        <v>4158</v>
      </c>
      <c r="J85" s="9" t="s">
        <v>934</v>
      </c>
      <c r="K85" s="10" t="s">
        <v>4159</v>
      </c>
      <c r="L85" s="10" t="s">
        <v>851</v>
      </c>
      <c r="M85" s="11">
        <v>15278</v>
      </c>
      <c r="N85" s="12" t="s">
        <v>3168</v>
      </c>
      <c r="O85" s="13" t="s">
        <v>1758</v>
      </c>
      <c r="P85" s="13" t="s">
        <v>2963</v>
      </c>
      <c r="Q85" s="13" t="s">
        <v>3169</v>
      </c>
      <c r="R85" s="13" t="s">
        <v>3170</v>
      </c>
      <c r="S85" s="13" t="s">
        <v>3267</v>
      </c>
      <c r="T85" s="13" t="s">
        <v>3203</v>
      </c>
      <c r="U85" s="13" t="s">
        <v>3188</v>
      </c>
      <c r="V85" s="13" t="s">
        <v>3189</v>
      </c>
      <c r="W85" s="13" t="s">
        <v>2896</v>
      </c>
      <c r="X85" s="14" t="s">
        <v>3296</v>
      </c>
      <c r="Y85" s="14" t="s">
        <v>2867</v>
      </c>
      <c r="Z85" s="14" t="s">
        <v>2822</v>
      </c>
      <c r="AA85" s="14" t="s">
        <v>2940</v>
      </c>
      <c r="AB85" s="15">
        <v>1</v>
      </c>
      <c r="AC85" s="11">
        <v>557</v>
      </c>
      <c r="AD85" s="11">
        <v>23004.1</v>
      </c>
      <c r="AE85" s="16">
        <v>41.3</v>
      </c>
      <c r="AF85" s="17">
        <v>0.6483</v>
      </c>
      <c r="AG85" s="16">
        <v>8.45</v>
      </c>
      <c r="AH85" s="18">
        <v>4.6</v>
      </c>
      <c r="AI85" s="11">
        <v>203</v>
      </c>
      <c r="AJ85" s="19">
        <v>0.0467</v>
      </c>
      <c r="AK85" s="11">
        <v>26</v>
      </c>
      <c r="AL85" s="20"/>
      <c r="AM85" s="9" t="s">
        <v>1267</v>
      </c>
      <c r="AN85" s="9" t="s">
        <v>4160</v>
      </c>
      <c r="AO85" s="21">
        <v>499</v>
      </c>
      <c r="AP85" s="21">
        <v>2</v>
      </c>
      <c r="AQ85" s="21">
        <v>9</v>
      </c>
      <c r="AR85" s="10" t="s">
        <v>1515</v>
      </c>
      <c r="AS85" s="9" t="s">
        <v>65</v>
      </c>
      <c r="AT85" s="10" t="s">
        <v>65</v>
      </c>
      <c r="AU85" s="9" t="s">
        <v>1516</v>
      </c>
      <c r="AV85" s="22" t="s">
        <v>4161</v>
      </c>
      <c r="AW85" s="22" t="s">
        <v>4162</v>
      </c>
    </row>
    <row r="86" ht="24" customHeight="1" spans="1:49">
      <c r="A86" s="9" t="str">
        <f>_xlfn.DISPIMG("ID_C919EC9DB9D2418DB8F9631392DBEF90",1)</f>
        <v>=DISPIMG("ID_C919EC9DB9D2418DB8F9631392DBEF90",1)</v>
      </c>
      <c r="B86" s="10" t="s">
        <v>4163</v>
      </c>
      <c r="C86" s="10" t="s">
        <v>4164</v>
      </c>
      <c r="D86" s="10" t="s">
        <v>1392</v>
      </c>
      <c r="E86" s="10" t="s">
        <v>4165</v>
      </c>
      <c r="F86" s="10" t="s">
        <v>4166</v>
      </c>
      <c r="G86" s="10" t="s">
        <v>4167</v>
      </c>
      <c r="H86" s="10" t="s">
        <v>4168</v>
      </c>
      <c r="I86" s="10" t="s">
        <v>4169</v>
      </c>
      <c r="J86" s="9" t="s">
        <v>934</v>
      </c>
      <c r="K86" s="10" t="s">
        <v>3167</v>
      </c>
      <c r="L86" s="10" t="s">
        <v>851</v>
      </c>
      <c r="M86" s="11">
        <v>15513</v>
      </c>
      <c r="N86" s="12" t="s">
        <v>3168</v>
      </c>
      <c r="O86" s="13" t="s">
        <v>2103</v>
      </c>
      <c r="P86" s="13" t="s">
        <v>2881</v>
      </c>
      <c r="Q86" s="13" t="s">
        <v>3169</v>
      </c>
      <c r="R86" s="13" t="s">
        <v>3170</v>
      </c>
      <c r="S86" s="13" t="s">
        <v>3267</v>
      </c>
      <c r="T86" s="13" t="s">
        <v>3203</v>
      </c>
      <c r="U86" s="13" t="s">
        <v>3188</v>
      </c>
      <c r="V86" s="13" t="s">
        <v>3189</v>
      </c>
      <c r="W86" s="13" t="s">
        <v>2896</v>
      </c>
      <c r="X86" s="14" t="s">
        <v>3269</v>
      </c>
      <c r="Y86" s="14" t="s">
        <v>2900</v>
      </c>
      <c r="Z86" s="14" t="s">
        <v>2865</v>
      </c>
      <c r="AA86" s="14" t="s">
        <v>2823</v>
      </c>
      <c r="AB86" s="15">
        <v>1</v>
      </c>
      <c r="AC86" s="11">
        <v>656</v>
      </c>
      <c r="AD86" s="11">
        <v>24265.441</v>
      </c>
      <c r="AE86" s="16">
        <v>36.99</v>
      </c>
      <c r="AF86" s="17">
        <v>0.621</v>
      </c>
      <c r="AG86" s="16">
        <v>8.47</v>
      </c>
      <c r="AH86" s="18">
        <v>4.5</v>
      </c>
      <c r="AI86" s="11">
        <v>4886</v>
      </c>
      <c r="AJ86" s="19">
        <v>0.0396</v>
      </c>
      <c r="AK86" s="11">
        <v>26</v>
      </c>
      <c r="AL86" s="20"/>
      <c r="AM86" s="9" t="s">
        <v>947</v>
      </c>
      <c r="AN86" s="9" t="s">
        <v>4170</v>
      </c>
      <c r="AO86" s="21">
        <v>1652</v>
      </c>
      <c r="AP86" s="21">
        <v>2</v>
      </c>
      <c r="AQ86" s="21">
        <v>2</v>
      </c>
      <c r="AR86" s="10" t="s">
        <v>4171</v>
      </c>
      <c r="AS86" s="9" t="s">
        <v>1401</v>
      </c>
      <c r="AT86" s="10" t="s">
        <v>4172</v>
      </c>
      <c r="AU86" s="9" t="s">
        <v>997</v>
      </c>
      <c r="AV86" s="22" t="s">
        <v>4173</v>
      </c>
      <c r="AW86" s="22" t="s">
        <v>4174</v>
      </c>
    </row>
    <row r="87" ht="24" customHeight="1" spans="1:49">
      <c r="A87" s="9" t="str">
        <f>_xlfn.DISPIMG("ID_B2B86F64FCBF48DCA5C00DD20B2CBE0E",1)</f>
        <v>=DISPIMG("ID_B2B86F64FCBF48DCA5C00DD20B2CBE0E",1)</v>
      </c>
      <c r="B87" s="10" t="s">
        <v>4175</v>
      </c>
      <c r="C87" s="10" t="s">
        <v>4175</v>
      </c>
      <c r="D87" s="10" t="s">
        <v>65</v>
      </c>
      <c r="E87" s="10" t="s">
        <v>4176</v>
      </c>
      <c r="F87" s="10" t="s">
        <v>4177</v>
      </c>
      <c r="G87" s="10" t="s">
        <v>4178</v>
      </c>
      <c r="H87" s="10" t="s">
        <v>4179</v>
      </c>
      <c r="I87" s="10" t="s">
        <v>4180</v>
      </c>
      <c r="J87" s="9" t="s">
        <v>934</v>
      </c>
      <c r="K87" s="10" t="s">
        <v>3167</v>
      </c>
      <c r="L87" s="10" t="s">
        <v>851</v>
      </c>
      <c r="M87" s="11">
        <v>15541</v>
      </c>
      <c r="N87" s="12" t="s">
        <v>3168</v>
      </c>
      <c r="O87" s="13" t="s">
        <v>4181</v>
      </c>
      <c r="P87" s="13" t="s">
        <v>2963</v>
      </c>
      <c r="Q87" s="13" t="s">
        <v>3169</v>
      </c>
      <c r="R87" s="13" t="s">
        <v>3170</v>
      </c>
      <c r="S87" s="13" t="s">
        <v>4182</v>
      </c>
      <c r="T87" s="13" t="s">
        <v>3487</v>
      </c>
      <c r="U87" s="13" t="s">
        <v>3172</v>
      </c>
      <c r="V87" s="13" t="s">
        <v>3281</v>
      </c>
      <c r="W87" s="13" t="s">
        <v>3174</v>
      </c>
      <c r="X87" s="14" t="s">
        <v>3190</v>
      </c>
      <c r="Y87" s="14" t="s">
        <v>2917</v>
      </c>
      <c r="Z87" s="14" t="s">
        <v>2865</v>
      </c>
      <c r="AA87" s="14" t="s">
        <v>2823</v>
      </c>
      <c r="AB87" s="15">
        <v>1</v>
      </c>
      <c r="AC87" s="11">
        <v>697</v>
      </c>
      <c r="AD87" s="11">
        <v>17418.03</v>
      </c>
      <c r="AE87" s="16">
        <v>24.99</v>
      </c>
      <c r="AF87" s="17">
        <v>0.5503</v>
      </c>
      <c r="AG87" s="16">
        <v>7.49</v>
      </c>
      <c r="AH87" s="18">
        <v>4.5</v>
      </c>
      <c r="AI87" s="11">
        <v>5094</v>
      </c>
      <c r="AJ87" s="19">
        <v>0.0717</v>
      </c>
      <c r="AK87" s="11">
        <v>50</v>
      </c>
      <c r="AL87" s="20"/>
      <c r="AM87" s="9" t="s">
        <v>947</v>
      </c>
      <c r="AN87" s="9" t="s">
        <v>4183</v>
      </c>
      <c r="AO87" s="21">
        <v>3021</v>
      </c>
      <c r="AP87" s="21">
        <v>1</v>
      </c>
      <c r="AQ87" s="21">
        <v>6</v>
      </c>
      <c r="AR87" s="10" t="s">
        <v>1515</v>
      </c>
      <c r="AS87" s="9" t="s">
        <v>1110</v>
      </c>
      <c r="AT87" s="10" t="s">
        <v>4184</v>
      </c>
      <c r="AU87" s="9" t="s">
        <v>1516</v>
      </c>
      <c r="AV87" s="22" t="s">
        <v>4185</v>
      </c>
      <c r="AW87" s="22" t="s">
        <v>4186</v>
      </c>
    </row>
    <row r="88" ht="24" customHeight="1" spans="1:49">
      <c r="A88" s="9" t="str">
        <f>_xlfn.DISPIMG("ID_463957ECA049465783192E7C3556FF75",1)</f>
        <v>=DISPIMG("ID_463957ECA049465783192E7C3556FF75",1)</v>
      </c>
      <c r="B88" s="10" t="s">
        <v>4187</v>
      </c>
      <c r="C88" s="10" t="s">
        <v>4188</v>
      </c>
      <c r="D88" s="10" t="s">
        <v>4048</v>
      </c>
      <c r="E88" s="10" t="s">
        <v>4189</v>
      </c>
      <c r="F88" s="10" t="s">
        <v>4190</v>
      </c>
      <c r="G88" s="10" t="s">
        <v>1069</v>
      </c>
      <c r="H88" s="10" t="s">
        <v>4191</v>
      </c>
      <c r="I88" s="10" t="s">
        <v>4192</v>
      </c>
      <c r="J88" s="9" t="s">
        <v>974</v>
      </c>
      <c r="K88" s="10" t="s">
        <v>3167</v>
      </c>
      <c r="L88" s="10" t="s">
        <v>851</v>
      </c>
      <c r="M88" s="11">
        <v>15919</v>
      </c>
      <c r="N88" s="12" t="s">
        <v>3168</v>
      </c>
      <c r="O88" s="13" t="s">
        <v>1730</v>
      </c>
      <c r="P88" s="13" t="s">
        <v>2986</v>
      </c>
      <c r="Q88" s="13" t="s">
        <v>3216</v>
      </c>
      <c r="R88" s="13" t="s">
        <v>3170</v>
      </c>
      <c r="S88" s="13" t="s">
        <v>3417</v>
      </c>
      <c r="T88" s="13" t="s">
        <v>3203</v>
      </c>
      <c r="U88" s="13" t="s">
        <v>3172</v>
      </c>
      <c r="V88" s="13" t="s">
        <v>3217</v>
      </c>
      <c r="W88" s="13" t="s">
        <v>3174</v>
      </c>
      <c r="X88" s="14" t="s">
        <v>3175</v>
      </c>
      <c r="Y88" s="14" t="s">
        <v>2821</v>
      </c>
      <c r="Z88" s="14" t="s">
        <v>2865</v>
      </c>
      <c r="AA88" s="14" t="s">
        <v>2823</v>
      </c>
      <c r="AB88" s="15">
        <v>1</v>
      </c>
      <c r="AC88" s="11">
        <v>3914</v>
      </c>
      <c r="AD88" s="11">
        <v>98476.24</v>
      </c>
      <c r="AE88" s="16">
        <v>25.16</v>
      </c>
      <c r="AF88" s="17">
        <v>0.5014</v>
      </c>
      <c r="AG88" s="16">
        <v>8.77</v>
      </c>
      <c r="AH88" s="18">
        <v>4.3</v>
      </c>
      <c r="AI88" s="11">
        <v>6510</v>
      </c>
      <c r="AJ88" s="19">
        <v>0</v>
      </c>
      <c r="AK88" s="11">
        <v>0</v>
      </c>
      <c r="AL88" s="20"/>
      <c r="AM88" s="9" t="s">
        <v>854</v>
      </c>
      <c r="AN88" s="9" t="s">
        <v>4193</v>
      </c>
      <c r="AO88" s="21">
        <v>1971</v>
      </c>
      <c r="AP88" s="21">
        <v>2</v>
      </c>
      <c r="AQ88" s="21">
        <v>9</v>
      </c>
      <c r="AR88" s="10" t="s">
        <v>1515</v>
      </c>
      <c r="AS88" s="9" t="s">
        <v>1110</v>
      </c>
      <c r="AT88" s="10" t="s">
        <v>4194</v>
      </c>
      <c r="AU88" s="9" t="s">
        <v>1516</v>
      </c>
      <c r="AV88" s="22" t="s">
        <v>3709</v>
      </c>
      <c r="AW88" s="22" t="s">
        <v>4195</v>
      </c>
    </row>
    <row r="89" ht="24" customHeight="1" spans="1:49">
      <c r="A89" s="9" t="str">
        <f>_xlfn.DISPIMG("ID_ACADB8507C9C4527B5DAA42FEC60336C",1)</f>
        <v>=DISPIMG("ID_ACADB8507C9C4527B5DAA42FEC60336C",1)</v>
      </c>
      <c r="B89" s="10" t="s">
        <v>4196</v>
      </c>
      <c r="C89" s="10" t="s">
        <v>4197</v>
      </c>
      <c r="D89" s="10" t="s">
        <v>4198</v>
      </c>
      <c r="E89" s="10" t="s">
        <v>4199</v>
      </c>
      <c r="F89" s="10" t="s">
        <v>4200</v>
      </c>
      <c r="G89" s="10" t="s">
        <v>4201</v>
      </c>
      <c r="H89" s="10" t="s">
        <v>4202</v>
      </c>
      <c r="I89" s="10" t="s">
        <v>4203</v>
      </c>
      <c r="J89" s="9" t="s">
        <v>934</v>
      </c>
      <c r="K89" s="10" t="s">
        <v>3167</v>
      </c>
      <c r="L89" s="10" t="s">
        <v>851</v>
      </c>
      <c r="M89" s="11">
        <v>15943</v>
      </c>
      <c r="N89" s="12" t="s">
        <v>3168</v>
      </c>
      <c r="O89" s="13" t="s">
        <v>4204</v>
      </c>
      <c r="P89" s="13" t="s">
        <v>2852</v>
      </c>
      <c r="Q89" s="13" t="s">
        <v>3216</v>
      </c>
      <c r="R89" s="13" t="s">
        <v>3170</v>
      </c>
      <c r="S89" s="13" t="s">
        <v>2828</v>
      </c>
      <c r="T89" s="13" t="s">
        <v>3203</v>
      </c>
      <c r="U89" s="13" t="s">
        <v>3188</v>
      </c>
      <c r="V89" s="13" t="s">
        <v>3173</v>
      </c>
      <c r="W89" s="13" t="s">
        <v>2896</v>
      </c>
      <c r="X89" s="14" t="s">
        <v>3418</v>
      </c>
      <c r="Y89" s="14" t="s">
        <v>2851</v>
      </c>
      <c r="Z89" s="14" t="s">
        <v>2865</v>
      </c>
      <c r="AA89" s="14" t="s">
        <v>2823</v>
      </c>
      <c r="AB89" s="15">
        <v>1</v>
      </c>
      <c r="AC89" s="11">
        <v>535</v>
      </c>
      <c r="AD89" s="11">
        <v>37022</v>
      </c>
      <c r="AE89" s="16">
        <v>69.2</v>
      </c>
      <c r="AF89" s="17">
        <v>0.6244</v>
      </c>
      <c r="AG89" s="16">
        <v>15.61</v>
      </c>
      <c r="AH89" s="18">
        <v>4.3</v>
      </c>
      <c r="AI89" s="11">
        <v>4755</v>
      </c>
      <c r="AJ89" s="19">
        <v>0.0224</v>
      </c>
      <c r="AK89" s="11">
        <v>12</v>
      </c>
      <c r="AL89" s="20"/>
      <c r="AM89" s="9" t="s">
        <v>854</v>
      </c>
      <c r="AN89" s="9" t="s">
        <v>4205</v>
      </c>
      <c r="AO89" s="21">
        <v>3837</v>
      </c>
      <c r="AP89" s="21">
        <v>2</v>
      </c>
      <c r="AQ89" s="21">
        <v>7</v>
      </c>
      <c r="AR89" s="10" t="s">
        <v>1515</v>
      </c>
      <c r="AS89" s="9" t="s">
        <v>65</v>
      </c>
      <c r="AT89" s="10" t="s">
        <v>65</v>
      </c>
      <c r="AU89" s="9" t="s">
        <v>1516</v>
      </c>
      <c r="AV89" s="22" t="s">
        <v>4206</v>
      </c>
      <c r="AW89" s="22" t="s">
        <v>4207</v>
      </c>
    </row>
    <row r="90" ht="24" customHeight="1" spans="1:49">
      <c r="A90" s="9" t="str">
        <f>_xlfn.DISPIMG("ID_EEA06C228F624CEFB056FC7D9E63907D",1)</f>
        <v>=DISPIMG("ID_EEA06C228F624CEFB056FC7D9E63907D",1)</v>
      </c>
      <c r="B90" s="10" t="s">
        <v>4208</v>
      </c>
      <c r="C90" s="10" t="s">
        <v>4209</v>
      </c>
      <c r="D90" s="10" t="s">
        <v>4210</v>
      </c>
      <c r="E90" s="10" t="s">
        <v>4211</v>
      </c>
      <c r="F90" s="10" t="s">
        <v>4212</v>
      </c>
      <c r="G90" s="10" t="s">
        <v>4213</v>
      </c>
      <c r="H90" s="10" t="s">
        <v>4214</v>
      </c>
      <c r="I90" s="10" t="s">
        <v>4215</v>
      </c>
      <c r="J90" s="9" t="s">
        <v>934</v>
      </c>
      <c r="K90" s="10" t="s">
        <v>3167</v>
      </c>
      <c r="L90" s="10" t="s">
        <v>851</v>
      </c>
      <c r="M90" s="11">
        <v>16113</v>
      </c>
      <c r="N90" s="12" t="s">
        <v>3168</v>
      </c>
      <c r="O90" s="13" t="s">
        <v>2134</v>
      </c>
      <c r="P90" s="13" t="s">
        <v>2852</v>
      </c>
      <c r="Q90" s="13" t="s">
        <v>3169</v>
      </c>
      <c r="R90" s="13" t="s">
        <v>3170</v>
      </c>
      <c r="S90" s="13" t="s">
        <v>2853</v>
      </c>
      <c r="T90" s="13" t="s">
        <v>4216</v>
      </c>
      <c r="U90" s="13" t="s">
        <v>3188</v>
      </c>
      <c r="V90" s="13" t="s">
        <v>3173</v>
      </c>
      <c r="W90" s="13" t="s">
        <v>2896</v>
      </c>
      <c r="X90" s="14" t="s">
        <v>3649</v>
      </c>
      <c r="Y90" s="14" t="s">
        <v>2831</v>
      </c>
      <c r="Z90" s="14" t="s">
        <v>2865</v>
      </c>
      <c r="AA90" s="14" t="s">
        <v>2884</v>
      </c>
      <c r="AB90" s="15">
        <v>1</v>
      </c>
      <c r="AC90" s="11">
        <v>732</v>
      </c>
      <c r="AD90" s="11">
        <v>54892.68</v>
      </c>
      <c r="AE90" s="16">
        <v>129</v>
      </c>
      <c r="AF90" s="17">
        <v>0.6419</v>
      </c>
      <c r="AG90" s="16">
        <v>15.61</v>
      </c>
      <c r="AH90" s="18">
        <v>4.5</v>
      </c>
      <c r="AI90" s="11">
        <v>500</v>
      </c>
      <c r="AJ90" s="19">
        <v>0.0273</v>
      </c>
      <c r="AK90" s="11">
        <v>20</v>
      </c>
      <c r="AL90" s="20"/>
      <c r="AM90" s="9" t="s">
        <v>876</v>
      </c>
      <c r="AN90" s="9" t="s">
        <v>4217</v>
      </c>
      <c r="AO90" s="21">
        <v>637</v>
      </c>
      <c r="AP90" s="21">
        <v>3</v>
      </c>
      <c r="AQ90" s="21">
        <v>14</v>
      </c>
      <c r="AR90" s="10" t="s">
        <v>1515</v>
      </c>
      <c r="AS90" s="9" t="s">
        <v>65</v>
      </c>
      <c r="AT90" s="10" t="s">
        <v>65</v>
      </c>
      <c r="AU90" s="9" t="s">
        <v>1516</v>
      </c>
      <c r="AV90" s="22" t="s">
        <v>4218</v>
      </c>
      <c r="AW90" s="22" t="s">
        <v>4219</v>
      </c>
    </row>
    <row r="91" ht="24" customHeight="1" spans="1:49">
      <c r="A91" s="9" t="str">
        <f>_xlfn.DISPIMG("ID_E386FFE506CA481DA193355F7AACA6E6",1)</f>
        <v>=DISPIMG("ID_E386FFE506CA481DA193355F7AACA6E6",1)</v>
      </c>
      <c r="B91" s="10" t="s">
        <v>4220</v>
      </c>
      <c r="C91" s="10" t="s">
        <v>4221</v>
      </c>
      <c r="D91" s="10" t="s">
        <v>4222</v>
      </c>
      <c r="E91" s="10" t="s">
        <v>4223</v>
      </c>
      <c r="F91" s="10" t="s">
        <v>4224</v>
      </c>
      <c r="G91" s="10" t="s">
        <v>4225</v>
      </c>
      <c r="H91" s="10" t="s">
        <v>4226</v>
      </c>
      <c r="I91" s="10" t="s">
        <v>4227</v>
      </c>
      <c r="J91" s="9" t="s">
        <v>974</v>
      </c>
      <c r="K91" s="10" t="s">
        <v>3167</v>
      </c>
      <c r="L91" s="10" t="s">
        <v>851</v>
      </c>
      <c r="M91" s="11">
        <v>16173</v>
      </c>
      <c r="N91" s="12" t="s">
        <v>4228</v>
      </c>
      <c r="O91" s="13" t="s">
        <v>4229</v>
      </c>
      <c r="P91" s="13" t="s">
        <v>2809</v>
      </c>
      <c r="Q91" s="13" t="s">
        <v>3169</v>
      </c>
      <c r="R91" s="13" t="s">
        <v>3323</v>
      </c>
      <c r="S91" s="13" t="s">
        <v>2910</v>
      </c>
      <c r="T91" s="13" t="s">
        <v>3171</v>
      </c>
      <c r="U91" s="13" t="s">
        <v>3152</v>
      </c>
      <c r="V91" s="13" t="s">
        <v>4230</v>
      </c>
      <c r="W91" s="13" t="s">
        <v>2896</v>
      </c>
      <c r="X91" s="14" t="s">
        <v>3649</v>
      </c>
      <c r="Y91" s="14" t="s">
        <v>2867</v>
      </c>
      <c r="Z91" s="14" t="s">
        <v>2865</v>
      </c>
      <c r="AA91" s="14" t="s">
        <v>2884</v>
      </c>
      <c r="AB91" s="15">
        <v>1</v>
      </c>
      <c r="AC91" s="11">
        <v>260</v>
      </c>
      <c r="AD91" s="11">
        <v>90987</v>
      </c>
      <c r="AE91" s="16">
        <v>349.95</v>
      </c>
      <c r="AF91" s="17">
        <v>0.8245</v>
      </c>
      <c r="AG91" s="16">
        <v>8.93</v>
      </c>
      <c r="AH91" s="18">
        <v>4.2</v>
      </c>
      <c r="AI91" s="11">
        <v>343</v>
      </c>
      <c r="AJ91" s="19">
        <v>0.0577</v>
      </c>
      <c r="AK91" s="11">
        <v>15</v>
      </c>
      <c r="AL91" s="20"/>
      <c r="AM91" s="9" t="s">
        <v>854</v>
      </c>
      <c r="AN91" s="9" t="s">
        <v>4231</v>
      </c>
      <c r="AO91" s="21">
        <v>442</v>
      </c>
      <c r="AP91" s="21">
        <v>3</v>
      </c>
      <c r="AQ91" s="21">
        <v>2</v>
      </c>
      <c r="AR91" s="10" t="s">
        <v>4232</v>
      </c>
      <c r="AS91" s="9" t="s">
        <v>1110</v>
      </c>
      <c r="AT91" s="10" t="s">
        <v>4233</v>
      </c>
      <c r="AU91" s="9" t="s">
        <v>997</v>
      </c>
      <c r="AV91" s="22" t="s">
        <v>4234</v>
      </c>
      <c r="AW91" s="22" t="s">
        <v>4235</v>
      </c>
    </row>
    <row r="92" ht="24" customHeight="1" spans="1:49">
      <c r="A92" s="9" t="str">
        <f>_xlfn.DISPIMG("ID_580C7D138A0340B4913A1821598CC5F9",1)</f>
        <v>=DISPIMG("ID_580C7D138A0340B4913A1821598CC5F9",1)</v>
      </c>
      <c r="B92" s="10" t="s">
        <v>4236</v>
      </c>
      <c r="C92" s="10" t="s">
        <v>4237</v>
      </c>
      <c r="D92" s="10" t="s">
        <v>4238</v>
      </c>
      <c r="E92" s="10" t="s">
        <v>4239</v>
      </c>
      <c r="F92" s="10" t="s">
        <v>4240</v>
      </c>
      <c r="G92" s="10" t="s">
        <v>4241</v>
      </c>
      <c r="H92" s="10" t="s">
        <v>4242</v>
      </c>
      <c r="I92" s="10" t="s">
        <v>4243</v>
      </c>
      <c r="J92" s="9" t="s">
        <v>934</v>
      </c>
      <c r="K92" s="10" t="s">
        <v>3167</v>
      </c>
      <c r="L92" s="10" t="s">
        <v>851</v>
      </c>
      <c r="M92" s="11">
        <v>16296</v>
      </c>
      <c r="N92" s="12" t="s">
        <v>3168</v>
      </c>
      <c r="O92" s="13" t="s">
        <v>1923</v>
      </c>
      <c r="P92" s="13" t="s">
        <v>2881</v>
      </c>
      <c r="Q92" s="13" t="s">
        <v>3169</v>
      </c>
      <c r="R92" s="13" t="s">
        <v>3170</v>
      </c>
      <c r="S92" s="13" t="s">
        <v>3187</v>
      </c>
      <c r="T92" s="13" t="s">
        <v>3171</v>
      </c>
      <c r="U92" s="13" t="s">
        <v>3172</v>
      </c>
      <c r="V92" s="13" t="s">
        <v>3217</v>
      </c>
      <c r="W92" s="13" t="s">
        <v>3174</v>
      </c>
      <c r="X92" s="14" t="s">
        <v>3190</v>
      </c>
      <c r="Y92" s="14" t="s">
        <v>2917</v>
      </c>
      <c r="Z92" s="14" t="s">
        <v>2822</v>
      </c>
      <c r="AA92" s="14" t="s">
        <v>2868</v>
      </c>
      <c r="AB92" s="15">
        <v>1</v>
      </c>
      <c r="AC92" s="11">
        <v>554</v>
      </c>
      <c r="AD92" s="11">
        <v>12553.64</v>
      </c>
      <c r="AE92" s="16">
        <v>22.66</v>
      </c>
      <c r="AF92" s="17">
        <v>0.5124</v>
      </c>
      <c r="AG92" s="16">
        <v>7.65</v>
      </c>
      <c r="AH92" s="18">
        <v>4.6</v>
      </c>
      <c r="AI92" s="11">
        <v>912</v>
      </c>
      <c r="AJ92" s="19">
        <v>0.0487</v>
      </c>
      <c r="AK92" s="11">
        <v>27</v>
      </c>
      <c r="AL92" s="20"/>
      <c r="AM92" s="9" t="s">
        <v>947</v>
      </c>
      <c r="AN92" s="9" t="s">
        <v>4244</v>
      </c>
      <c r="AO92" s="21">
        <v>812</v>
      </c>
      <c r="AP92" s="21">
        <v>7</v>
      </c>
      <c r="AQ92" s="21">
        <v>5</v>
      </c>
      <c r="AR92" s="10" t="s">
        <v>1515</v>
      </c>
      <c r="AS92" s="9" t="s">
        <v>65</v>
      </c>
      <c r="AT92" s="10" t="s">
        <v>65</v>
      </c>
      <c r="AU92" s="9" t="s">
        <v>1516</v>
      </c>
      <c r="AV92" s="22" t="s">
        <v>3823</v>
      </c>
      <c r="AW92" s="22" t="s">
        <v>4245</v>
      </c>
    </row>
    <row r="93" ht="24" customHeight="1" spans="1:49">
      <c r="A93" s="9" t="str">
        <f>_xlfn.DISPIMG("ID_AC8D4E57ED9546B48F2FD36C2751538D",1)</f>
        <v>=DISPIMG("ID_AC8D4E57ED9546B48F2FD36C2751538D",1)</v>
      </c>
      <c r="B93" s="10" t="s">
        <v>4246</v>
      </c>
      <c r="C93" s="10" t="s">
        <v>4247</v>
      </c>
      <c r="D93" s="10" t="s">
        <v>3288</v>
      </c>
      <c r="E93" s="10" t="s">
        <v>4248</v>
      </c>
      <c r="F93" s="10" t="s">
        <v>4249</v>
      </c>
      <c r="G93" s="10" t="s">
        <v>1152</v>
      </c>
      <c r="H93" s="10" t="s">
        <v>4250</v>
      </c>
      <c r="I93" s="10" t="s">
        <v>4251</v>
      </c>
      <c r="J93" s="9" t="s">
        <v>934</v>
      </c>
      <c r="K93" s="10" t="s">
        <v>3167</v>
      </c>
      <c r="L93" s="10" t="s">
        <v>851</v>
      </c>
      <c r="M93" s="11">
        <v>16307</v>
      </c>
      <c r="N93" s="12" t="s">
        <v>3168</v>
      </c>
      <c r="O93" s="13" t="s">
        <v>1905</v>
      </c>
      <c r="P93" s="13" t="s">
        <v>3295</v>
      </c>
      <c r="Q93" s="13" t="s">
        <v>3169</v>
      </c>
      <c r="R93" s="13" t="s">
        <v>3170</v>
      </c>
      <c r="S93" s="13" t="s">
        <v>3267</v>
      </c>
      <c r="T93" s="13" t="s">
        <v>3203</v>
      </c>
      <c r="U93" s="13" t="s">
        <v>3188</v>
      </c>
      <c r="V93" s="13" t="s">
        <v>3189</v>
      </c>
      <c r="W93" s="13" t="s">
        <v>2896</v>
      </c>
      <c r="X93" s="14" t="s">
        <v>3269</v>
      </c>
      <c r="Y93" s="14" t="s">
        <v>2831</v>
      </c>
      <c r="Z93" s="14" t="s">
        <v>2822</v>
      </c>
      <c r="AA93" s="14" t="s">
        <v>2823</v>
      </c>
      <c r="AB93" s="15">
        <v>1</v>
      </c>
      <c r="AC93" s="11">
        <v>553</v>
      </c>
      <c r="AD93" s="11">
        <v>22114.47</v>
      </c>
      <c r="AE93" s="16">
        <v>39.99</v>
      </c>
      <c r="AF93" s="17">
        <v>0.6387</v>
      </c>
      <c r="AG93" s="16">
        <v>8.45</v>
      </c>
      <c r="AH93" s="18">
        <v>4.6</v>
      </c>
      <c r="AI93" s="11">
        <v>1071</v>
      </c>
      <c r="AJ93" s="19">
        <v>0.0398</v>
      </c>
      <c r="AK93" s="11">
        <v>22</v>
      </c>
      <c r="AL93" s="20"/>
      <c r="AM93" s="9" t="s">
        <v>947</v>
      </c>
      <c r="AN93" s="9" t="s">
        <v>1213</v>
      </c>
      <c r="AO93" s="21">
        <v>688</v>
      </c>
      <c r="AP93" s="21">
        <v>1</v>
      </c>
      <c r="AQ93" s="21">
        <v>2</v>
      </c>
      <c r="AR93" s="10" t="s">
        <v>1157</v>
      </c>
      <c r="AS93" s="9" t="s">
        <v>1110</v>
      </c>
      <c r="AT93" s="10" t="s">
        <v>4252</v>
      </c>
      <c r="AU93" s="9" t="s">
        <v>997</v>
      </c>
      <c r="AV93" s="22" t="s">
        <v>4253</v>
      </c>
      <c r="AW93" s="22" t="s">
        <v>4254</v>
      </c>
    </row>
    <row r="94" ht="24" customHeight="1" spans="1:49">
      <c r="A94" s="9" t="str">
        <f>_xlfn.DISPIMG("ID_60C872D713F54B61B6574F927FCF508F",1)</f>
        <v>=DISPIMG("ID_60C872D713F54B61B6574F927FCF508F",1)</v>
      </c>
      <c r="B94" s="10" t="s">
        <v>4255</v>
      </c>
      <c r="C94" s="10" t="s">
        <v>4256</v>
      </c>
      <c r="D94" s="10" t="s">
        <v>3356</v>
      </c>
      <c r="E94" s="10" t="s">
        <v>4257</v>
      </c>
      <c r="F94" s="10" t="s">
        <v>4258</v>
      </c>
      <c r="G94" s="10" t="s">
        <v>4259</v>
      </c>
      <c r="H94" s="10" t="s">
        <v>4260</v>
      </c>
      <c r="I94" s="10" t="s">
        <v>4261</v>
      </c>
      <c r="J94" s="9" t="s">
        <v>1769</v>
      </c>
      <c r="K94" s="10" t="s">
        <v>3167</v>
      </c>
      <c r="L94" s="10" t="s">
        <v>851</v>
      </c>
      <c r="M94" s="11">
        <v>17981</v>
      </c>
      <c r="N94" s="12" t="s">
        <v>3168</v>
      </c>
      <c r="O94" s="13" t="s">
        <v>4262</v>
      </c>
      <c r="P94" s="13" t="s">
        <v>2852</v>
      </c>
      <c r="Q94" s="13" t="s">
        <v>3169</v>
      </c>
      <c r="R94" s="13" t="s">
        <v>3170</v>
      </c>
      <c r="S94" s="13" t="s">
        <v>2838</v>
      </c>
      <c r="T94" s="13" t="s">
        <v>3203</v>
      </c>
      <c r="U94" s="13" t="s">
        <v>3188</v>
      </c>
      <c r="V94" s="13" t="s">
        <v>3189</v>
      </c>
      <c r="W94" s="13" t="s">
        <v>2896</v>
      </c>
      <c r="X94" s="14" t="s">
        <v>3190</v>
      </c>
      <c r="Y94" s="14" t="s">
        <v>2883</v>
      </c>
      <c r="Z94" s="14" t="s">
        <v>2865</v>
      </c>
      <c r="AA94" s="14" t="s">
        <v>2934</v>
      </c>
      <c r="AB94" s="15">
        <v>1</v>
      </c>
      <c r="AC94" s="11">
        <v>322</v>
      </c>
      <c r="AD94" s="11">
        <v>7724.78</v>
      </c>
      <c r="AE94" s="16">
        <v>23.99</v>
      </c>
      <c r="AF94" s="17">
        <v>0.4978</v>
      </c>
      <c r="AG94" s="16">
        <v>8.45</v>
      </c>
      <c r="AH94" s="18">
        <v>4.5</v>
      </c>
      <c r="AI94" s="11">
        <v>42</v>
      </c>
      <c r="AJ94" s="19">
        <v>0.0217</v>
      </c>
      <c r="AK94" s="11">
        <v>7</v>
      </c>
      <c r="AL94" s="20"/>
      <c r="AM94" s="9" t="s">
        <v>65</v>
      </c>
      <c r="AN94" s="9" t="s">
        <v>4263</v>
      </c>
      <c r="AO94" s="21">
        <v>206</v>
      </c>
      <c r="AP94" s="21">
        <v>2</v>
      </c>
      <c r="AQ94" s="21">
        <v>1</v>
      </c>
      <c r="AR94" s="10" t="s">
        <v>4264</v>
      </c>
      <c r="AS94" s="9" t="s">
        <v>1288</v>
      </c>
      <c r="AT94" s="10" t="s">
        <v>4265</v>
      </c>
      <c r="AU94" s="9" t="s">
        <v>997</v>
      </c>
      <c r="AV94" s="22" t="s">
        <v>4266</v>
      </c>
      <c r="AW94" s="22" t="s">
        <v>4267</v>
      </c>
    </row>
    <row r="95" ht="24" customHeight="1" spans="1:49">
      <c r="A95" s="9" t="str">
        <f>_xlfn.DISPIMG("ID_B9F4A9522B964E109AEB7883D24DDC77",1)</f>
        <v>=DISPIMG("ID_B9F4A9522B964E109AEB7883D24DDC77",1)</v>
      </c>
      <c r="B95" s="10" t="s">
        <v>4268</v>
      </c>
      <c r="C95" s="10" t="s">
        <v>4269</v>
      </c>
      <c r="D95" s="10" t="s">
        <v>3210</v>
      </c>
      <c r="E95" s="10" t="s">
        <v>4270</v>
      </c>
      <c r="F95" s="10" t="s">
        <v>4271</v>
      </c>
      <c r="G95" s="10" t="s">
        <v>1069</v>
      </c>
      <c r="H95" s="10" t="s">
        <v>4272</v>
      </c>
      <c r="I95" s="10" t="s">
        <v>4273</v>
      </c>
      <c r="J95" s="9" t="s">
        <v>934</v>
      </c>
      <c r="K95" s="10" t="s">
        <v>3167</v>
      </c>
      <c r="L95" s="10" t="s">
        <v>851</v>
      </c>
      <c r="M95" s="11">
        <v>18171</v>
      </c>
      <c r="N95" s="12" t="s">
        <v>3168</v>
      </c>
      <c r="O95" s="13" t="s">
        <v>4274</v>
      </c>
      <c r="P95" s="13" t="s">
        <v>2832</v>
      </c>
      <c r="Q95" s="13" t="s">
        <v>3216</v>
      </c>
      <c r="R95" s="13" t="s">
        <v>3170</v>
      </c>
      <c r="S95" s="13" t="s">
        <v>3417</v>
      </c>
      <c r="T95" s="13" t="s">
        <v>3203</v>
      </c>
      <c r="U95" s="13" t="s">
        <v>3172</v>
      </c>
      <c r="V95" s="13" t="s">
        <v>3217</v>
      </c>
      <c r="W95" s="13" t="s">
        <v>2889</v>
      </c>
      <c r="X95" s="14" t="s">
        <v>3218</v>
      </c>
      <c r="Y95" s="14" t="s">
        <v>2867</v>
      </c>
      <c r="Z95" s="14" t="s">
        <v>2865</v>
      </c>
      <c r="AA95" s="14" t="s">
        <v>2868</v>
      </c>
      <c r="AB95" s="15">
        <v>1</v>
      </c>
      <c r="AC95" s="11">
        <v>544</v>
      </c>
      <c r="AD95" s="11">
        <v>19034.56</v>
      </c>
      <c r="AE95" s="16">
        <v>34.99</v>
      </c>
      <c r="AF95" s="17">
        <v>0.4639</v>
      </c>
      <c r="AG95" s="16">
        <v>13.51</v>
      </c>
      <c r="AH95" s="18">
        <v>4.3</v>
      </c>
      <c r="AI95" s="11">
        <v>957</v>
      </c>
      <c r="AJ95" s="19">
        <v>0.0919</v>
      </c>
      <c r="AK95" s="11">
        <v>50</v>
      </c>
      <c r="AL95" s="20"/>
      <c r="AM95" s="9" t="s">
        <v>947</v>
      </c>
      <c r="AN95" s="9" t="s">
        <v>4275</v>
      </c>
      <c r="AO95" s="21">
        <v>477</v>
      </c>
      <c r="AP95" s="21">
        <v>3</v>
      </c>
      <c r="AQ95" s="21">
        <v>6</v>
      </c>
      <c r="AR95" s="10" t="s">
        <v>1515</v>
      </c>
      <c r="AS95" s="9" t="s">
        <v>65</v>
      </c>
      <c r="AT95" s="10" t="s">
        <v>65</v>
      </c>
      <c r="AU95" s="9" t="s">
        <v>1516</v>
      </c>
      <c r="AV95" s="22" t="s">
        <v>4276</v>
      </c>
      <c r="AW95" s="22" t="s">
        <v>4277</v>
      </c>
    </row>
    <row r="96" ht="24" customHeight="1" spans="1:49">
      <c r="A96" s="9" t="str">
        <f>_xlfn.DISPIMG("ID_5FF6A55036F648F2954663D3008C22E6",1)</f>
        <v>=DISPIMG("ID_5FF6A55036F648F2954663D3008C22E6",1)</v>
      </c>
      <c r="B96" s="10" t="s">
        <v>4278</v>
      </c>
      <c r="C96" s="10" t="s">
        <v>4279</v>
      </c>
      <c r="D96" s="10" t="s">
        <v>3827</v>
      </c>
      <c r="E96" s="10" t="s">
        <v>4280</v>
      </c>
      <c r="F96" s="10" t="s">
        <v>4281</v>
      </c>
      <c r="G96" s="10" t="s">
        <v>4282</v>
      </c>
      <c r="H96" s="10" t="s">
        <v>4283</v>
      </c>
      <c r="I96" s="10" t="s">
        <v>4284</v>
      </c>
      <c r="J96" s="9" t="s">
        <v>934</v>
      </c>
      <c r="K96" s="10" t="s">
        <v>3167</v>
      </c>
      <c r="L96" s="10" t="s">
        <v>851</v>
      </c>
      <c r="M96" s="11">
        <v>18303</v>
      </c>
      <c r="N96" s="12" t="s">
        <v>3168</v>
      </c>
      <c r="O96" s="13" t="s">
        <v>2329</v>
      </c>
      <c r="P96" s="13" t="s">
        <v>2832</v>
      </c>
      <c r="Q96" s="13" t="s">
        <v>3216</v>
      </c>
      <c r="R96" s="13" t="s">
        <v>3170</v>
      </c>
      <c r="S96" s="13" t="s">
        <v>3417</v>
      </c>
      <c r="T96" s="13" t="s">
        <v>3203</v>
      </c>
      <c r="U96" s="13" t="s">
        <v>3188</v>
      </c>
      <c r="V96" s="13" t="s">
        <v>3189</v>
      </c>
      <c r="W96" s="13" t="s">
        <v>2896</v>
      </c>
      <c r="X96" s="14" t="s">
        <v>3269</v>
      </c>
      <c r="Y96" s="13" t="s">
        <v>2917</v>
      </c>
      <c r="Z96" s="14" t="s">
        <v>2822</v>
      </c>
      <c r="AA96" s="14" t="s">
        <v>2823</v>
      </c>
      <c r="AB96" s="15">
        <v>1</v>
      </c>
      <c r="AC96" s="11">
        <v>305</v>
      </c>
      <c r="AD96" s="11">
        <v>12196.95</v>
      </c>
      <c r="AE96" s="16">
        <v>39.99</v>
      </c>
      <c r="AF96" s="17">
        <v>0.6107</v>
      </c>
      <c r="AG96" s="16">
        <v>9.57</v>
      </c>
      <c r="AH96" s="18">
        <v>4.6</v>
      </c>
      <c r="AI96" s="11">
        <v>2297</v>
      </c>
      <c r="AJ96" s="19">
        <v>0.0328</v>
      </c>
      <c r="AK96" s="11">
        <v>10</v>
      </c>
      <c r="AL96" s="20"/>
      <c r="AM96" s="9" t="s">
        <v>947</v>
      </c>
      <c r="AN96" s="9" t="s">
        <v>4285</v>
      </c>
      <c r="AO96" s="21">
        <v>1725</v>
      </c>
      <c r="AP96" s="21">
        <v>2</v>
      </c>
      <c r="AQ96" s="21">
        <v>1</v>
      </c>
      <c r="AR96" s="10" t="s">
        <v>4286</v>
      </c>
      <c r="AS96" s="9" t="s">
        <v>1288</v>
      </c>
      <c r="AT96" s="10" t="s">
        <v>4287</v>
      </c>
      <c r="AU96" s="9" t="s">
        <v>997</v>
      </c>
      <c r="AV96" s="22" t="s">
        <v>4288</v>
      </c>
      <c r="AW96" s="22" t="s">
        <v>4289</v>
      </c>
    </row>
    <row r="97" ht="24" customHeight="1" spans="1:49">
      <c r="A97" s="9" t="str">
        <f>_xlfn.DISPIMG("ID_F87ACFAB5EFF4B7BAC7ACCD7AC47975A",1)</f>
        <v>=DISPIMG("ID_F87ACFAB5EFF4B7BAC7ACCD7AC47975A",1)</v>
      </c>
      <c r="B97" s="10" t="s">
        <v>4290</v>
      </c>
      <c r="C97" s="10" t="s">
        <v>4290</v>
      </c>
      <c r="D97" s="10" t="s">
        <v>65</v>
      </c>
      <c r="E97" s="10" t="s">
        <v>4291</v>
      </c>
      <c r="F97" s="10" t="s">
        <v>4292</v>
      </c>
      <c r="G97" s="10" t="s">
        <v>1843</v>
      </c>
      <c r="H97" s="10" t="s">
        <v>4293</v>
      </c>
      <c r="I97" s="10" t="s">
        <v>4294</v>
      </c>
      <c r="J97" s="9" t="s">
        <v>934</v>
      </c>
      <c r="K97" s="10" t="s">
        <v>3167</v>
      </c>
      <c r="L97" s="10" t="s">
        <v>851</v>
      </c>
      <c r="M97" s="11">
        <v>18787</v>
      </c>
      <c r="N97" s="12" t="s">
        <v>3168</v>
      </c>
      <c r="O97" s="13" t="s">
        <v>2011</v>
      </c>
      <c r="P97" s="13" t="s">
        <v>2852</v>
      </c>
      <c r="Q97" s="13" t="s">
        <v>3169</v>
      </c>
      <c r="R97" s="13" t="s">
        <v>3170</v>
      </c>
      <c r="S97" s="13" t="s">
        <v>2910</v>
      </c>
      <c r="T97" s="13" t="s">
        <v>3487</v>
      </c>
      <c r="U97" s="13" t="s">
        <v>3188</v>
      </c>
      <c r="V97" s="13" t="s">
        <v>4295</v>
      </c>
      <c r="W97" s="13" t="s">
        <v>2896</v>
      </c>
      <c r="X97" s="14" t="s">
        <v>3649</v>
      </c>
      <c r="Y97" s="14" t="s">
        <v>2821</v>
      </c>
      <c r="Z97" s="14" t="s">
        <v>2865</v>
      </c>
      <c r="AA97" s="14" t="s">
        <v>2823</v>
      </c>
      <c r="AB97" s="695">
        <v>1</v>
      </c>
      <c r="AC97" s="11">
        <v>679</v>
      </c>
      <c r="AD97" s="11">
        <v>91760.06</v>
      </c>
      <c r="AE97" s="16">
        <v>134.58</v>
      </c>
      <c r="AF97" s="17">
        <v>0.7594</v>
      </c>
      <c r="AG97" s="16">
        <v>12.25</v>
      </c>
      <c r="AH97" s="18">
        <v>4.5</v>
      </c>
      <c r="AI97" s="11">
        <v>2782</v>
      </c>
      <c r="AJ97" s="19">
        <v>0.0368</v>
      </c>
      <c r="AK97" s="11">
        <v>25</v>
      </c>
      <c r="AL97" s="20"/>
      <c r="AM97" s="9" t="s">
        <v>1098</v>
      </c>
      <c r="AN97" s="9" t="s">
        <v>3247</v>
      </c>
      <c r="AO97" s="21">
        <v>7235</v>
      </c>
      <c r="AP97" s="21">
        <v>1</v>
      </c>
      <c r="AQ97" s="21">
        <v>30</v>
      </c>
      <c r="AR97" s="10" t="s">
        <v>4296</v>
      </c>
      <c r="AS97" s="9" t="s">
        <v>1110</v>
      </c>
      <c r="AT97" s="10" t="s">
        <v>4297</v>
      </c>
      <c r="AU97" s="9" t="s">
        <v>997</v>
      </c>
      <c r="AV97" s="22" t="s">
        <v>3178</v>
      </c>
      <c r="AW97" s="22" t="s">
        <v>4298</v>
      </c>
    </row>
    <row r="98" ht="24" customHeight="1" spans="1:49">
      <c r="A98" s="9" t="s">
        <v>65</v>
      </c>
      <c r="B98" s="10" t="s">
        <v>4299</v>
      </c>
      <c r="C98" s="10" t="s">
        <v>4300</v>
      </c>
      <c r="D98" s="10" t="s">
        <v>4301</v>
      </c>
      <c r="E98" s="10" t="s">
        <v>4302</v>
      </c>
      <c r="F98" s="10" t="s">
        <v>4303</v>
      </c>
      <c r="G98" s="10" t="s">
        <v>1247</v>
      </c>
      <c r="H98" s="10" t="s">
        <v>4304</v>
      </c>
      <c r="I98" s="10" t="s">
        <v>4305</v>
      </c>
      <c r="J98" s="9" t="s">
        <v>934</v>
      </c>
      <c r="K98" s="10" t="s">
        <v>3167</v>
      </c>
      <c r="L98" s="10" t="s">
        <v>851</v>
      </c>
      <c r="M98" s="11">
        <v>18972</v>
      </c>
      <c r="N98" s="12" t="s">
        <v>3168</v>
      </c>
      <c r="O98" s="13" t="s">
        <v>2165</v>
      </c>
      <c r="P98" s="13" t="s">
        <v>2852</v>
      </c>
      <c r="Q98" s="13" t="s">
        <v>3216</v>
      </c>
      <c r="R98" s="13" t="s">
        <v>3170</v>
      </c>
      <c r="S98" s="13" t="s">
        <v>2828</v>
      </c>
      <c r="T98" s="13" t="s">
        <v>3203</v>
      </c>
      <c r="U98" s="13" t="s">
        <v>3188</v>
      </c>
      <c r="V98" s="13" t="s">
        <v>3189</v>
      </c>
      <c r="W98" s="13" t="s">
        <v>2896</v>
      </c>
      <c r="X98" s="14" t="s">
        <v>3445</v>
      </c>
      <c r="Y98" s="14" t="s">
        <v>2917</v>
      </c>
      <c r="Z98" s="14" t="s">
        <v>2865</v>
      </c>
      <c r="AA98" s="14" t="s">
        <v>2940</v>
      </c>
      <c r="AB98" s="696">
        <v>1</v>
      </c>
      <c r="AC98" s="11">
        <v>691</v>
      </c>
      <c r="AD98" s="11">
        <v>41453.09</v>
      </c>
      <c r="AE98" s="16">
        <v>59.99</v>
      </c>
      <c r="AF98" s="17">
        <v>0.6248</v>
      </c>
      <c r="AG98" s="16">
        <v>13.51</v>
      </c>
      <c r="AH98" s="18">
        <v>4.5</v>
      </c>
      <c r="AI98" s="11">
        <v>175</v>
      </c>
      <c r="AJ98" s="19">
        <v>0</v>
      </c>
      <c r="AK98" s="11">
        <v>0</v>
      </c>
      <c r="AL98" s="20"/>
      <c r="AM98" s="9" t="s">
        <v>1098</v>
      </c>
      <c r="AN98" s="9" t="s">
        <v>4306</v>
      </c>
      <c r="AO98" s="21">
        <v>129</v>
      </c>
      <c r="AP98" s="21">
        <v>2</v>
      </c>
      <c r="AQ98" s="21">
        <v>3</v>
      </c>
      <c r="AR98" s="10" t="s">
        <v>2212</v>
      </c>
      <c r="AS98" s="9" t="s">
        <v>1288</v>
      </c>
      <c r="AT98" s="10" t="s">
        <v>4307</v>
      </c>
      <c r="AU98" s="9" t="s">
        <v>997</v>
      </c>
      <c r="AV98" s="22" t="s">
        <v>4308</v>
      </c>
      <c r="AW98" s="22" t="s">
        <v>4309</v>
      </c>
    </row>
    <row r="99" ht="24" customHeight="1" spans="1:49">
      <c r="A99" s="9" t="s">
        <v>65</v>
      </c>
      <c r="B99" s="10" t="s">
        <v>4310</v>
      </c>
      <c r="C99" s="10" t="s">
        <v>4311</v>
      </c>
      <c r="D99" s="10" t="s">
        <v>4312</v>
      </c>
      <c r="E99" s="10" t="s">
        <v>4313</v>
      </c>
      <c r="F99" s="10" t="s">
        <v>4314</v>
      </c>
      <c r="G99" s="10" t="s">
        <v>4315</v>
      </c>
      <c r="H99" s="10" t="s">
        <v>4316</v>
      </c>
      <c r="I99" s="10" t="s">
        <v>4317</v>
      </c>
      <c r="J99" s="9" t="s">
        <v>934</v>
      </c>
      <c r="K99" s="10" t="s">
        <v>3167</v>
      </c>
      <c r="L99" s="10" t="s">
        <v>851</v>
      </c>
      <c r="M99" s="11">
        <v>19065</v>
      </c>
      <c r="N99" s="12" t="s">
        <v>3168</v>
      </c>
      <c r="O99" s="13" t="s">
        <v>2194</v>
      </c>
      <c r="P99" s="13" t="s">
        <v>2809</v>
      </c>
      <c r="Q99" s="13" t="s">
        <v>3216</v>
      </c>
      <c r="R99" s="13" t="s">
        <v>3170</v>
      </c>
      <c r="S99" s="13" t="s">
        <v>4318</v>
      </c>
      <c r="T99" s="13" t="s">
        <v>3171</v>
      </c>
      <c r="U99" s="13" t="s">
        <v>3188</v>
      </c>
      <c r="V99" s="13" t="s">
        <v>3955</v>
      </c>
      <c r="W99" s="13" t="s">
        <v>2896</v>
      </c>
      <c r="X99" s="14" t="s">
        <v>3649</v>
      </c>
      <c r="Y99" s="14" t="s">
        <v>2821</v>
      </c>
      <c r="Z99" s="14" t="s">
        <v>2865</v>
      </c>
      <c r="AA99" s="14" t="s">
        <v>2911</v>
      </c>
      <c r="AB99" s="696">
        <v>1</v>
      </c>
      <c r="AC99" s="11">
        <v>601</v>
      </c>
      <c r="AD99" s="11">
        <v>102139.945</v>
      </c>
      <c r="AE99" s="16">
        <v>169.95</v>
      </c>
      <c r="AF99" s="17">
        <v>0.768</v>
      </c>
      <c r="AG99" s="16">
        <v>13.93</v>
      </c>
      <c r="AH99" s="18">
        <v>4.3</v>
      </c>
      <c r="AI99" s="11">
        <v>684</v>
      </c>
      <c r="AJ99" s="19">
        <v>0.0399</v>
      </c>
      <c r="AK99" s="11">
        <v>24</v>
      </c>
      <c r="AL99" s="20"/>
      <c r="AM99" s="9" t="s">
        <v>1098</v>
      </c>
      <c r="AN99" s="9" t="s">
        <v>4319</v>
      </c>
      <c r="AO99" s="21">
        <v>805</v>
      </c>
      <c r="AP99" s="21">
        <v>11</v>
      </c>
      <c r="AQ99" s="21">
        <v>14</v>
      </c>
      <c r="AR99" s="10" t="s">
        <v>1515</v>
      </c>
      <c r="AS99" s="9" t="s">
        <v>1110</v>
      </c>
      <c r="AT99" s="10" t="s">
        <v>4320</v>
      </c>
      <c r="AU99" s="9" t="s">
        <v>1516</v>
      </c>
      <c r="AV99" s="22" t="s">
        <v>4321</v>
      </c>
      <c r="AW99" s="22" t="s">
        <v>4322</v>
      </c>
    </row>
    <row r="100" ht="24" customHeight="1" spans="1:49">
      <c r="A100" s="9" t="s">
        <v>65</v>
      </c>
      <c r="B100" s="10" t="s">
        <v>4323</v>
      </c>
      <c r="C100" s="10" t="s">
        <v>4324</v>
      </c>
      <c r="D100" s="10" t="s">
        <v>3584</v>
      </c>
      <c r="E100" s="10" t="s">
        <v>4325</v>
      </c>
      <c r="F100" s="10" t="s">
        <v>4326</v>
      </c>
      <c r="G100" s="10" t="s">
        <v>1631</v>
      </c>
      <c r="H100" s="10" t="s">
        <v>4327</v>
      </c>
      <c r="I100" s="10" t="s">
        <v>4328</v>
      </c>
      <c r="J100" s="9" t="s">
        <v>974</v>
      </c>
      <c r="K100" s="10" t="s">
        <v>3167</v>
      </c>
      <c r="L100" s="10" t="s">
        <v>851</v>
      </c>
      <c r="M100" s="11">
        <v>20300</v>
      </c>
      <c r="N100" s="12" t="s">
        <v>3168</v>
      </c>
      <c r="O100" s="13" t="s">
        <v>4329</v>
      </c>
      <c r="P100" s="13" t="s">
        <v>2852</v>
      </c>
      <c r="Q100" s="13" t="s">
        <v>3169</v>
      </c>
      <c r="R100" s="13" t="s">
        <v>3170</v>
      </c>
      <c r="S100" s="13" t="s">
        <v>2838</v>
      </c>
      <c r="T100" s="13" t="s">
        <v>3203</v>
      </c>
      <c r="U100" s="13" t="s">
        <v>3188</v>
      </c>
      <c r="V100" s="13" t="s">
        <v>3189</v>
      </c>
      <c r="W100" s="13" t="s">
        <v>2896</v>
      </c>
      <c r="X100" s="14" t="s">
        <v>3310</v>
      </c>
      <c r="Y100" s="14" t="s">
        <v>2917</v>
      </c>
      <c r="Z100" s="14" t="s">
        <v>2865</v>
      </c>
      <c r="AA100" s="14" t="s">
        <v>2911</v>
      </c>
      <c r="AB100" s="696">
        <v>1</v>
      </c>
      <c r="AC100" s="11">
        <v>94</v>
      </c>
      <c r="AD100" s="11">
        <v>4699.06</v>
      </c>
      <c r="AE100" s="16">
        <v>49.99</v>
      </c>
      <c r="AF100" s="17">
        <v>0.6842</v>
      </c>
      <c r="AG100" s="16">
        <v>8.29</v>
      </c>
      <c r="AH100" s="18">
        <v>4.5</v>
      </c>
      <c r="AI100" s="11">
        <v>782</v>
      </c>
      <c r="AJ100" s="19">
        <v>0.0213</v>
      </c>
      <c r="AK100" s="11">
        <v>2</v>
      </c>
      <c r="AL100" s="20"/>
      <c r="AM100" s="9" t="s">
        <v>947</v>
      </c>
      <c r="AN100" s="9" t="s">
        <v>1386</v>
      </c>
      <c r="AO100" s="21">
        <v>164</v>
      </c>
      <c r="AP100" s="21">
        <v>1</v>
      </c>
      <c r="AQ100" s="21">
        <v>6</v>
      </c>
      <c r="AR100" s="10" t="s">
        <v>4330</v>
      </c>
      <c r="AS100" s="9" t="s">
        <v>1401</v>
      </c>
      <c r="AT100" s="10" t="s">
        <v>4331</v>
      </c>
      <c r="AU100" s="9" t="s">
        <v>997</v>
      </c>
      <c r="AV100" s="22" t="s">
        <v>4332</v>
      </c>
      <c r="AW100" s="22" t="s">
        <v>4333</v>
      </c>
    </row>
    <row r="101" ht="24" customHeight="1" spans="1:49">
      <c r="A101" s="9" t="s">
        <v>65</v>
      </c>
      <c r="B101" s="10" t="s">
        <v>4334</v>
      </c>
      <c r="C101" s="10" t="s">
        <v>4334</v>
      </c>
      <c r="D101" s="10" t="s">
        <v>65</v>
      </c>
      <c r="E101" s="10" t="s">
        <v>4335</v>
      </c>
      <c r="F101" s="10" t="s">
        <v>4336</v>
      </c>
      <c r="G101" s="10" t="s">
        <v>4337</v>
      </c>
      <c r="H101" s="10" t="s">
        <v>4338</v>
      </c>
      <c r="I101" s="10" t="s">
        <v>4339</v>
      </c>
      <c r="J101" s="9" t="s">
        <v>934</v>
      </c>
      <c r="K101" s="10" t="s">
        <v>3167</v>
      </c>
      <c r="L101" s="10" t="s">
        <v>851</v>
      </c>
      <c r="M101" s="11">
        <v>20482</v>
      </c>
      <c r="N101" s="12" t="s">
        <v>3168</v>
      </c>
      <c r="O101" s="13" t="s">
        <v>2256</v>
      </c>
      <c r="P101" s="13" t="s">
        <v>4340</v>
      </c>
      <c r="Q101" s="13" t="s">
        <v>3169</v>
      </c>
      <c r="R101" s="13" t="s">
        <v>3170</v>
      </c>
      <c r="S101" s="13" t="s">
        <v>3267</v>
      </c>
      <c r="T101" s="13" t="s">
        <v>3203</v>
      </c>
      <c r="U101" s="13" t="s">
        <v>3188</v>
      </c>
      <c r="V101" s="13" t="s">
        <v>3189</v>
      </c>
      <c r="W101" s="13" t="s">
        <v>2896</v>
      </c>
      <c r="X101" s="14" t="s">
        <v>3269</v>
      </c>
      <c r="Y101" s="14" t="s">
        <v>2821</v>
      </c>
      <c r="Z101" s="14" t="s">
        <v>2822</v>
      </c>
      <c r="AA101" s="14" t="s">
        <v>2868</v>
      </c>
      <c r="AB101" s="696">
        <v>1</v>
      </c>
      <c r="AC101" s="11">
        <v>419</v>
      </c>
      <c r="AD101" s="11">
        <v>16751.62</v>
      </c>
      <c r="AE101" s="16">
        <v>39.98</v>
      </c>
      <c r="AF101" s="17">
        <v>0.6466</v>
      </c>
      <c r="AG101" s="16">
        <v>8.13</v>
      </c>
      <c r="AH101" s="18">
        <v>4.6</v>
      </c>
      <c r="AI101" s="11">
        <v>854</v>
      </c>
      <c r="AJ101" s="19">
        <v>0.0453</v>
      </c>
      <c r="AK101" s="11">
        <v>19</v>
      </c>
      <c r="AL101" s="20"/>
      <c r="AM101" s="9" t="s">
        <v>947</v>
      </c>
      <c r="AN101" s="9" t="s">
        <v>4341</v>
      </c>
      <c r="AO101" s="21">
        <v>888</v>
      </c>
      <c r="AP101" s="21">
        <v>1</v>
      </c>
      <c r="AQ101" s="21">
        <v>1</v>
      </c>
      <c r="AR101" s="10" t="s">
        <v>4342</v>
      </c>
      <c r="AS101" s="9" t="s">
        <v>1288</v>
      </c>
      <c r="AT101" s="10" t="s">
        <v>4343</v>
      </c>
      <c r="AU101" s="9" t="s">
        <v>997</v>
      </c>
      <c r="AV101" s="22" t="s">
        <v>4344</v>
      </c>
      <c r="AW101" s="22" t="s">
        <v>4345</v>
      </c>
    </row>
    <row r="102" ht="14.25" spans="1:49">
      <c r="P102" s="13"/>
      <c r="Q102" s="13"/>
      <c r="R102" s="13"/>
      <c r="S102" s="13"/>
      <c r="T102" s="13"/>
      <c r="U102" s="13"/>
      <c r="V102" s="13"/>
      <c r="W102" s="13"/>
      <c r="X102" s="14"/>
      <c r="Y102" s="13"/>
    </row>
    <row r="103" ht="14.25" spans="1:49">
      <c r="P103" s="13"/>
      <c r="Q103" s="13"/>
      <c r="R103" s="13"/>
      <c r="S103" s="13"/>
      <c r="T103" s="13"/>
      <c r="U103" s="13"/>
      <c r="V103" s="13"/>
      <c r="W103" s="13"/>
      <c r="X103" s="14"/>
      <c r="Y103" s="13"/>
    </row>
  </sheetData>
  <dataValidations count="4">
    <dataValidation type="list" allowBlank="1" showInputMessage="1" showErrorMessage="1" sqref="X2:X101">
      <formula1>"0~5usd,5~10sd,10~15usd,15~20usd,20~25usd,25~30usd,30~35usd,35~40usd,40~45usd,45~50usd,50~55usd,55~60usd,60~65usd,65~70usd,70~80usd,80~90usd,90~100usd,≥100usd以上"</formula1>
    </dataValidation>
    <dataValidation type="list" allowBlank="1" showInputMessage="1" showErrorMessage="1" sqref="Y2:Y101">
      <formula1>"半年,半年-1年,1年~1年半,1年半~2年,2年~2年半,2年半~3年,≥3年以上"</formula1>
    </dataValidation>
    <dataValidation type="list" allowBlank="1" showInputMessage="1" showErrorMessage="1" sqref="Z2:Z101">
      <formula1>"0~1,1~2,2~3,3~4,4~4.2,4.2~4.5,4.5~4.8,4.8~5"</formula1>
    </dataValidation>
    <dataValidation type="list" allowBlank="1" showInputMessage="1" showErrorMessage="1" sqref="AA2:AA101">
      <formula1>"0-50,50-100,100-300,300-500,500-800,800-1000,≥1000"</formula1>
    </dataValidation>
  </dataValidations>
  <hyperlinks>
    <hyperlink ref="E92" r:id="rId2" display="https://www.amazon.com/dp/B08PQ693HQ?psc=1" tooltip="https://www.amazon.com/dp/B08PQ693HQ?psc=1"/>
    <hyperlink ref="F91" r:id="rId3" display="https://images-na.ssl-images-amazon.com/images/I/41t57YssGAL._AC_US600_.jpg" tooltip="https://images-na.ssl-images-amazon.com/images/I/41t57YssGAL._AC_US600_.jpg"/>
    <hyperlink ref="E91" r:id="rId4" display="https://www.amazon.com/dp/B09298DT37?psc=1" tooltip="https://www.amazon.com/dp/B09298DT37?psc=1"/>
    <hyperlink ref="F90" r:id="rId5" display="https://m.media-amazon.com/images/I/41UBU7UON+L._AC_US600_.jpg" tooltip="https://m.media-amazon.com/images/I/41UBU7UON+L._AC_US600_.jpg"/>
    <hyperlink ref="E90" r:id="rId6" display="https://www.amazon.com/dp/B0964CN2XN?psc=1" tooltip="https://www.amazon.com/dp/B0964CN2XN?psc=1"/>
    <hyperlink ref="F89" r:id="rId7" display="https://images-na.ssl-images-amazon.com/images/I/41WjBCxGEiL._AC_US600_.jpg" tooltip="https://images-na.ssl-images-amazon.com/images/I/41WjBCxGEiL._AC_US600_.jpg"/>
    <hyperlink ref="E89" r:id="rId8" display="https://www.amazon.com/dp/B0083VCY16?psc=1" tooltip="https://www.amazon.com/dp/B0083VCY16?psc=1"/>
    <hyperlink ref="F88" r:id="rId9" display="https://images-na.ssl-images-amazon.com/images/I/31M94eDASbL._AC_US600_.jpg" tooltip="https://images-na.ssl-images-amazon.com/images/I/31M94eDASbL._AC_US600_.jpg"/>
    <hyperlink ref="E88" r:id="rId10" display="https://www.amazon.com/dp/B0763ZK56Q?psc=1" tooltip="https://www.amazon.com/dp/B0763ZK56Q?psc=1"/>
    <hyperlink ref="F87" r:id="rId11" display="https://images-na.ssl-images-amazon.com/images/I/518y+C6UAdL._AC_US600_.jpg" tooltip="https://images-na.ssl-images-amazon.com/images/I/518y+C6UAdL._AC_US600_.jpg"/>
    <hyperlink ref="E87" r:id="rId12" display="https://www.amazon.com/dp/B00PQZVKGW?psc=1" tooltip="https://www.amazon.com/dp/B00PQZVKGW?psc=1"/>
    <hyperlink ref="F86" r:id="rId13" display="https://images-na.ssl-images-amazon.com/images/I/41qDdqQ3qvL._AC_US600_.jpg" tooltip="https://images-na.ssl-images-amazon.com/images/I/41qDdqQ3qvL._AC_US600_.jpg"/>
    <hyperlink ref="E86" r:id="rId14" display="https://www.amazon.com/dp/B07G4SMDMD?psc=1" tooltip="https://www.amazon.com/dp/B07G4SMDMD?psc=1"/>
    <hyperlink ref="F85" r:id="rId15" display="https://m.media-amazon.com/images/I/41Vd8RJiaZL._AC_US600_.jpg" tooltip="https://m.media-amazon.com/images/I/41Vd8RJiaZL._AC_US600_.jpg"/>
    <hyperlink ref="E85" r:id="rId16" display="https://www.amazon.com/dp/B09JBTCDPS?psc=1" tooltip="https://www.amazon.com/dp/B09JBTCDPS?psc=1"/>
    <hyperlink ref="F84" r:id="rId17" display="https://images-na.ssl-images-amazon.com/images/I/41KyHhLTobL._AC_US600_.jpg" tooltip="https://images-na.ssl-images-amazon.com/images/I/41KyHhLTobL._AC_US600_.jpg"/>
    <hyperlink ref="E84" r:id="rId18" display="https://www.amazon.com/dp/B08QYVWZ2G?psc=1" tooltip="https://www.amazon.com/dp/B08QYVWZ2G?psc=1"/>
    <hyperlink ref="F83" r:id="rId19" display="https://m.media-amazon.com/images/I/41y-KW18W1L._AC_US600_.jpg" tooltip="https://m.media-amazon.com/images/I/41y-KW18W1L._AC_US600_.jpg"/>
    <hyperlink ref="E83" r:id="rId20" display="https://www.amazon.com/dp/B0876235F1?psc=1" tooltip="https://www.amazon.com/dp/B0876235F1?psc=1"/>
    <hyperlink ref="F82" r:id="rId21" display="https://images-na.ssl-images-amazon.com/images/I/51qUQ-jOkqL._AC_US600_.jpg" tooltip="https://images-na.ssl-images-amazon.com/images/I/51qUQ-jOkqL._AC_US600_.jpg"/>
    <hyperlink ref="E82" r:id="rId22" display="https://www.amazon.com/dp/B00LU2HVAO?psc=1" tooltip="https://www.amazon.com/dp/B00LU2HVAO?psc=1"/>
    <hyperlink ref="F81" r:id="rId23" display="https://m.media-amazon.com/images/I/41PCsRnvAkL._AC_US600_.jpg" tooltip="https://m.media-amazon.com/images/I/41PCsRnvAkL._AC_US600_.jpg"/>
    <hyperlink ref="E81" r:id="rId24" display="https://www.amazon.com/dp/B07MKPZDLL?psc=1" tooltip="https://www.amazon.com/dp/B07MKPZDLL?psc=1"/>
    <hyperlink ref="F80" r:id="rId25" display="https://m.media-amazon.com/images/I/31638Y9DYdL._AC_US600_.jpg" tooltip="https://m.media-amazon.com/images/I/31638Y9DYdL._AC_US600_.jpg"/>
    <hyperlink ref="E80" r:id="rId26" display="https://www.amazon.com/dp/B0BBM6P11W?psc=1" tooltip="https://www.amazon.com/dp/B0BBM6P11W?psc=1"/>
    <hyperlink ref="F79" r:id="rId27" display="https://images-na.ssl-images-amazon.com/images/I/41IMPI5RI4L._AC_US600_.jpg" tooltip="https://images-na.ssl-images-amazon.com/images/I/41IMPI5RI4L._AC_US600_.jpg"/>
    <hyperlink ref="E79" r:id="rId28" display="https://www.amazon.com/dp/B0867ZZ9JM?psc=1" tooltip="https://www.amazon.com/dp/B0867ZZ9JM?psc=1"/>
    <hyperlink ref="F78" r:id="rId29" display="https://images-na.ssl-images-amazon.com/images/I/41-z7En1hoL._AC_US600_.jpg" tooltip="https://images-na.ssl-images-amazon.com/images/I/41-z7En1hoL._AC_US600_.jpg"/>
    <hyperlink ref="E78" r:id="rId30" display="https://www.amazon.com/dp/B0B17QWY2Z?psc=1" tooltip="https://www.amazon.com/dp/B0B17QWY2Z?psc=1"/>
    <hyperlink ref="F77" r:id="rId31" display="https://images-na.ssl-images-amazon.com/images/I/31HJLnazaAL._AC_US600_.jpg" tooltip="https://images-na.ssl-images-amazon.com/images/I/31HJLnazaAL._AC_US600_.jpg"/>
    <hyperlink ref="E77" r:id="rId32" display="https://www.amazon.com/dp/B08ZH2S854?psc=1" tooltip="https://www.amazon.com/dp/B08ZH2S854?psc=1"/>
    <hyperlink ref="F76" r:id="rId33" display="https://images-na.ssl-images-amazon.com/images/I/41N9FPsKdJL._AC_US600_.jpg" tooltip="https://images-na.ssl-images-amazon.com/images/I/41N9FPsKdJL._AC_US600_.jpg"/>
    <hyperlink ref="E76" r:id="rId34" display="https://www.amazon.com/dp/B01MQK2DA6?psc=1" tooltip="https://www.amazon.com/dp/B01MQK2DA6?psc=1"/>
    <hyperlink ref="F75" r:id="rId35" display="https://images-na.ssl-images-amazon.com/images/I/41w5VFSI4nL._AC_US600_.jpg" tooltip="https://images-na.ssl-images-amazon.com/images/I/41w5VFSI4nL._AC_US600_.jpg"/>
    <hyperlink ref="E75" r:id="rId36" display="https://www.amazon.com/dp/B089TYDR5H?psc=1" tooltip="https://www.amazon.com/dp/B089TYDR5H?psc=1"/>
    <hyperlink ref="F74" r:id="rId37" display="https://m.media-amazon.com/images/I/41NR0-peAmL._AC_US600_.jpg" tooltip="https://m.media-amazon.com/images/I/41NR0-peAmL._AC_US600_.jpg"/>
    <hyperlink ref="E74" r:id="rId38" display="https://www.amazon.com/dp/B0B136TCBC?psc=1" tooltip="https://www.amazon.com/dp/B0B136TCBC?psc=1"/>
    <hyperlink ref="F73" r:id="rId39" display="https://images-na.ssl-images-amazon.com/images/I/41pDv5qfRnL._AC_US600_.jpg" tooltip="https://images-na.ssl-images-amazon.com/images/I/41pDv5qfRnL._AC_US600_.jpg"/>
    <hyperlink ref="E73" r:id="rId40" display="https://www.amazon.com/dp/B00NZIQLMU?psc=1" tooltip="https://www.amazon.com/dp/B00NZIQLMU?psc=1"/>
    <hyperlink ref="F72" r:id="rId41" display="https://images-na.ssl-images-amazon.com/images/I/41SWD5k1Y-L._AC_US600_.jpg" tooltip="https://images-na.ssl-images-amazon.com/images/I/41SWD5k1Y-L._AC_US600_.jpg"/>
    <hyperlink ref="E72" r:id="rId42" display="https://www.amazon.com/dp/B005Q8X6IO?psc=1" tooltip="https://www.amazon.com/dp/B005Q8X6IO?psc=1"/>
    <hyperlink ref="F71" r:id="rId43" display="https://images-na.ssl-images-amazon.com/images/I/41rbk5VOMnL._AC_US600_.jpg" tooltip="https://images-na.ssl-images-amazon.com/images/I/41rbk5VOMnL._AC_US600_.jpg"/>
    <hyperlink ref="E71" r:id="rId44" display="https://www.amazon.com/dp/B00CHJDJJQ?psc=1" tooltip="https://www.amazon.com/dp/B00CHJDJJQ?psc=1"/>
    <hyperlink ref="F70" r:id="rId45" display="https://m.media-amazon.com/images/I/41IjQGFXr-L._AC_US600_.jpg" tooltip="https://m.media-amazon.com/images/I/41IjQGFXr-L._AC_US600_.jpg"/>
    <hyperlink ref="E70" r:id="rId46" display="https://www.amazon.com/dp/B09GJN5Y6D?psc=1" tooltip="https://www.amazon.com/dp/B09GJN5Y6D?psc=1"/>
    <hyperlink ref="F69" r:id="rId47" display="https://images-na.ssl-images-amazon.com/images/I/51tVPJMmT1L._AC_US600_.jpg" tooltip="https://images-na.ssl-images-amazon.com/images/I/51tVPJMmT1L._AC_US600_.jpg"/>
    <hyperlink ref="E69" r:id="rId48" display="https://www.amazon.com/dp/B07X5YMJ3L?psc=1" tooltip="https://www.amazon.com/dp/B07X5YMJ3L?psc=1"/>
    <hyperlink ref="F68" r:id="rId49" display="https://images-na.ssl-images-amazon.com/images/I/412tLrBcGwL._AC_US600_.jpg" tooltip="https://images-na.ssl-images-amazon.com/images/I/412tLrBcGwL._AC_US600_.jpg"/>
    <hyperlink ref="E68" r:id="rId50" display="https://www.amazon.com/dp/B0BSF3MW2N?psc=1" tooltip="https://www.amazon.com/dp/B0BSF3MW2N?psc=1"/>
    <hyperlink ref="F67" r:id="rId51" display="https://images-na.ssl-images-amazon.com/images/I/51gilacc4kL._AC_US600_.jpg" tooltip="https://images-na.ssl-images-amazon.com/images/I/51gilacc4kL._AC_US600_.jpg"/>
    <hyperlink ref="E67" r:id="rId52" display="https://www.amazon.com/dp/B008JC8QKM?psc=1" tooltip="https://www.amazon.com/dp/B008JC8QKM?psc=1"/>
    <hyperlink ref="F66" r:id="rId53" display="https://images-na.ssl-images-amazon.com/images/I/41FoH5vBCOL._AC_US600_.jpg" tooltip="https://images-na.ssl-images-amazon.com/images/I/41FoH5vBCOL._AC_US600_.jpg"/>
    <hyperlink ref="E66" r:id="rId54" display="https://www.amazon.com/dp/B011SJYTI0?psc=1" tooltip="https://www.amazon.com/dp/B011SJYTI0?psc=1"/>
    <hyperlink ref="F65" r:id="rId55" display="https://m.media-amazon.com/images/I/411BmHzH5EL._AC_US600_.jpg" tooltip="https://m.media-amazon.com/images/I/411BmHzH5EL._AC_US600_.jpg"/>
    <hyperlink ref="E65" r:id="rId56" display="https://www.amazon.com/dp/B07Q6P68X6?psc=1" tooltip="https://www.amazon.com/dp/B07Q6P68X6?psc=1"/>
    <hyperlink ref="F64" r:id="rId57" display="https://images-na.ssl-images-amazon.com/images/I/41Ml8W-lTGL._AC_US600_.jpg" tooltip="https://images-na.ssl-images-amazon.com/images/I/41Ml8W-lTGL._AC_US600_.jpg"/>
    <hyperlink ref="E64" r:id="rId58" display="https://www.amazon.com/dp/B0B71HVGLF?psc=1" tooltip="https://www.amazon.com/dp/B0B71HVGLF?psc=1"/>
    <hyperlink ref="F63" r:id="rId59" display="https://images-na.ssl-images-amazon.com/images/I/41CG6D6HY2L._AC_US600_.jpg" tooltip="https://images-na.ssl-images-amazon.com/images/I/41CG6D6HY2L._AC_US600_.jpg"/>
    <hyperlink ref="E63" r:id="rId60" display="https://www.amazon.com/dp/B08P9GQ68Y?psc=1" tooltip="https://www.amazon.com/dp/B08P9GQ68Y?psc=1"/>
    <hyperlink ref="F62" r:id="rId61" display="https://images-na.ssl-images-amazon.com/images/I/41yXpW8LruL._AC_US600_.jpg" tooltip="https://images-na.ssl-images-amazon.com/images/I/41yXpW8LruL._AC_US600_.jpg"/>
    <hyperlink ref="E62" r:id="rId62" display="https://www.amazon.com/dp/B07SW6SLKB?psc=1" tooltip="https://www.amazon.com/dp/B07SW6SLKB?psc=1"/>
    <hyperlink ref="F61" r:id="rId63" display="https://m.media-amazon.com/images/I/41V+eLE3LVL._AC_US600_.jpg" tooltip="https://m.media-amazon.com/images/I/41V+eLE3LVL._AC_US600_.jpg"/>
    <hyperlink ref="E61" r:id="rId64" display="https://www.amazon.com/dp/B09MF3J8FS?psc=1" tooltip="https://www.amazon.com/dp/B09MF3J8FS?psc=1"/>
    <hyperlink ref="F60" r:id="rId65" display="https://images-na.ssl-images-amazon.com/images/I/41JkjpmAezL._AC_US600_.jpg" tooltip="https://images-na.ssl-images-amazon.com/images/I/41JkjpmAezL._AC_US600_.jpg"/>
    <hyperlink ref="E60" r:id="rId66" display="https://www.amazon.com/dp/B0147ERKTS?psc=1" tooltip="https://www.amazon.com/dp/B0147ERKTS?psc=1"/>
    <hyperlink ref="F59" r:id="rId67" display="https://m.media-amazon.com/images/I/41Y9gaa4VML._AC_US600_.jpg" tooltip="https://m.media-amazon.com/images/I/41Y9gaa4VML._AC_US600_.jpg"/>
    <hyperlink ref="E59" r:id="rId68" display="https://www.amazon.com/dp/B095PD3K7K?psc=1" tooltip="https://www.amazon.com/dp/B095PD3K7K?psc=1"/>
    <hyperlink ref="F58" r:id="rId69" display="https://m.media-amazon.com/images/I/41QurPB1CeL._AC_US600_.jpg" tooltip="https://m.media-amazon.com/images/I/41QurPB1CeL._AC_US600_.jpg"/>
    <hyperlink ref="E58" r:id="rId70" display="https://www.amazon.com/dp/B088C4QJF9?psc=1" tooltip="https://www.amazon.com/dp/B088C4QJF9?psc=1"/>
    <hyperlink ref="F57" r:id="rId71" display="https://images-na.ssl-images-amazon.com/images/I/41xJ4U4MAzL._AC_US600_.jpg" tooltip="https://images-na.ssl-images-amazon.com/images/I/41xJ4U4MAzL._AC_US600_.jpg"/>
    <hyperlink ref="E57" r:id="rId72" display="https://www.amazon.com/dp/B08RC642SF?psc=1" tooltip="https://www.amazon.com/dp/B08RC642SF?psc=1"/>
    <hyperlink ref="F56" r:id="rId73" display="https://images-na.ssl-images-amazon.com/images/I/41u4AEUcFvL._AC_US600_.jpg" tooltip="https://images-na.ssl-images-amazon.com/images/I/41u4AEUcFvL._AC_US600_.jpg"/>
    <hyperlink ref="E56" r:id="rId74" display="https://www.amazon.com/dp/B08FVDX8N8?psc=1" tooltip="https://www.amazon.com/dp/B08FVDX8N8?psc=1"/>
    <hyperlink ref="F55" r:id="rId75" display="https://images-na.ssl-images-amazon.com/images/I/41SgOx0anmL._AC_US600_.jpg" tooltip="https://images-na.ssl-images-amazon.com/images/I/41SgOx0anmL._AC_US600_.jpg"/>
    <hyperlink ref="E55" r:id="rId76" display="https://www.amazon.com/dp/B09G8JFDP9?psc=1" tooltip="https://www.amazon.com/dp/B09G8JFDP9?psc=1"/>
    <hyperlink ref="F54" r:id="rId77" display="https://m.media-amazon.com/images/I/41gwkxg4GIL._AC_US600_.jpg" tooltip="https://m.media-amazon.com/images/I/41gwkxg4GIL._AC_US600_.jpg"/>
    <hyperlink ref="E54" r:id="rId78" display="https://www.amazon.com/dp/B0BLGJ7N49?psc=1" tooltip="https://www.amazon.com/dp/B0BLGJ7N49?psc=1"/>
    <hyperlink ref="F53" r:id="rId79" display="https://m.media-amazon.com/images/I/31zo+bdZqtL._AC_US600_.jpg" tooltip="https://m.media-amazon.com/images/I/31zo+bdZqtL._AC_US600_.jpg"/>
    <hyperlink ref="E53" r:id="rId80" display="https://www.amazon.com/dp/B0987M1RSX?psc=1" tooltip="https://www.amazon.com/dp/B0987M1RSX?psc=1"/>
    <hyperlink ref="F52" r:id="rId81" display="https://images-na.ssl-images-amazon.com/images/I/412XWxi+edL._AC_US600_.jpg" tooltip="https://images-na.ssl-images-amazon.com/images/I/412XWxi+edL._AC_US600_.jpg"/>
    <hyperlink ref="E52" r:id="rId82" display="https://www.amazon.com/dp/B01B846UZ0?psc=1" tooltip="https://www.amazon.com/dp/B01B846UZ0?psc=1"/>
    <hyperlink ref="F51" r:id="rId83" display="https://m.media-amazon.com/images/I/41jUk8eGkeL._AC_US600_.jpg" tooltip="https://m.media-amazon.com/images/I/41jUk8eGkeL._AC_US600_.jpg"/>
    <hyperlink ref="E51" r:id="rId84" display="https://www.amazon.com/dp/B095KWNXGN?psc=1" tooltip="https://www.amazon.com/dp/B095KWNXGN?psc=1"/>
    <hyperlink ref="F50" r:id="rId85" display="https://images-na.ssl-images-amazon.com/images/I/41KoJzKK3OL._AC_US600_.jpg" tooltip="https://images-na.ssl-images-amazon.com/images/I/41KoJzKK3OL._AC_US600_.jpg"/>
    <hyperlink ref="E50" r:id="rId86" display="https://www.amazon.com/dp/B0BJ71YSX5?psc=1" tooltip="https://www.amazon.com/dp/B0BJ71YSX5?psc=1"/>
    <hyperlink ref="F49" r:id="rId87" display="https://images-na.ssl-images-amazon.com/images/I/41agIDvSpZL._AC_US600_.jpg" tooltip="https://images-na.ssl-images-amazon.com/images/I/41agIDvSpZL._AC_US600_.jpg"/>
    <hyperlink ref="E49" r:id="rId88" display="https://www.amazon.com/dp/B009L1VUA8?psc=1" tooltip="https://www.amazon.com/dp/B009L1VUA8?psc=1"/>
    <hyperlink ref="F48" r:id="rId89" display="https://images-na.ssl-images-amazon.com/images/I/511SAOH4lRL._AC_US600_.jpg" tooltip="https://images-na.ssl-images-amazon.com/images/I/511SAOH4lRL._AC_US600_.jpg"/>
    <hyperlink ref="E48" r:id="rId90" display="https://www.amazon.com/dp/B09QPRJGN7?psc=1" tooltip="https://www.amazon.com/dp/B09QPRJGN7?psc=1"/>
    <hyperlink ref="F47" r:id="rId91" display="https://images-na.ssl-images-amazon.com/images/I/41AyG8olNeL._AC_US600_.jpg" tooltip="https://images-na.ssl-images-amazon.com/images/I/41AyG8olNeL._AC_US600_.jpg"/>
    <hyperlink ref="E47" r:id="rId92" display="https://www.amazon.com/dp/B07RT8LLSP?psc=1" tooltip="https://www.amazon.com/dp/B07RT8LLSP?psc=1"/>
    <hyperlink ref="F46" r:id="rId93" display="https://m.media-amazon.com/images/I/51cn9FEQESL._AC_US600_.jpg" tooltip="https://m.media-amazon.com/images/I/51cn9FEQESL._AC_US600_.jpg"/>
    <hyperlink ref="E46" r:id="rId94" display="https://www.amazon.com/dp/B09ZVQ4SBP?psc=1" tooltip="https://www.amazon.com/dp/B09ZVQ4SBP?psc=1"/>
    <hyperlink ref="F45" r:id="rId95" display="https://m.media-amazon.com/images/I/41RAj8pFNcL._AC_US600_.jpg" tooltip="https://m.media-amazon.com/images/I/41RAj8pFNcL._AC_US600_.jpg"/>
    <hyperlink ref="E45" r:id="rId96" display="https://www.amazon.com/dp/B08MBL1QNK?psc=1" tooltip="https://www.amazon.com/dp/B08MBL1QNK?psc=1"/>
    <hyperlink ref="F44" r:id="rId97" display="https://m.media-amazon.com/images/I/41JrksesF2L._AC_US600_.jpg" tooltip="https://m.media-amazon.com/images/I/41JrksesF2L._AC_US600_.jpg"/>
    <hyperlink ref="E44" r:id="rId98" display="https://www.amazon.com/dp/B09HMW5DHV?psc=1" tooltip="https://www.amazon.com/dp/B09HMW5DHV?psc=1"/>
    <hyperlink ref="F43" r:id="rId99" display="https://m.media-amazon.com/images/I/41sIpqlC1LL._AC_US600_.jpg" tooltip="https://m.media-amazon.com/images/I/41sIpqlC1LL._AC_US600_.jpg"/>
    <hyperlink ref="E43" r:id="rId100" display="https://www.amazon.com/dp/B09XM6JFBD?psc=1" tooltip="https://www.amazon.com/dp/B09XM6JFBD?psc=1"/>
    <hyperlink ref="F42" r:id="rId101" display="https://images-na.ssl-images-amazon.com/images/I/41miFuP8rIL._AC_US600_.jpg" tooltip="https://images-na.ssl-images-amazon.com/images/I/41miFuP8rIL._AC_US600_.jpg"/>
    <hyperlink ref="E42" r:id="rId102" display="https://www.amazon.com/dp/B0B7JBX9YH?psc=1" tooltip="https://www.amazon.com/dp/B0B7JBX9YH?psc=1"/>
    <hyperlink ref="F41" r:id="rId103" display="https://images-na.ssl-images-amazon.com/images/I/41OX9FgpENL._AC_US600_.jpg" tooltip="https://images-na.ssl-images-amazon.com/images/I/41OX9FgpENL._AC_US600_.jpg"/>
    <hyperlink ref="E41" r:id="rId104" display="https://www.amazon.com/dp/B0007Y17WO?psc=1" tooltip="https://www.amazon.com/dp/B0007Y17WO?psc=1"/>
    <hyperlink ref="F40" r:id="rId105" display="https://images-na.ssl-images-amazon.com/images/I/31DVFkbON7L._AC_US600_.jpg" tooltip="https://images-na.ssl-images-amazon.com/images/I/31DVFkbON7L._AC_US600_.jpg"/>
    <hyperlink ref="E40" r:id="rId106" display="https://www.amazon.com/dp/B08QZYYR27?psc=1" tooltip="https://www.amazon.com/dp/B08QZYYR27?psc=1"/>
    <hyperlink ref="F39" r:id="rId107" display="https://m.media-amazon.com/images/I/41x84iPcyDL._AC_US600_.jpg" tooltip="https://m.media-amazon.com/images/I/41x84iPcyDL._AC_US600_.jpg"/>
    <hyperlink ref="E39" r:id="rId108" display="https://www.amazon.com/dp/B0BFJYZC55?psc=1" tooltip="https://www.amazon.com/dp/B0BFJYZC55?psc=1"/>
    <hyperlink ref="F38" r:id="rId109" display="https://images-na.ssl-images-amazon.com/images/I/413GF2DGAqL._AC_US600_.jpg" tooltip="https://images-na.ssl-images-amazon.com/images/I/413GF2DGAqL._AC_US600_.jpg"/>
    <hyperlink ref="E38" r:id="rId110" display="https://www.amazon.com/dp/B088Z25SK6?psc=1" tooltip="https://www.amazon.com/dp/B088Z25SK6?psc=1"/>
    <hyperlink ref="F37" r:id="rId111" display="https://m.media-amazon.com/images/I/31SujMPHC7L._AC_US600_.jpg" tooltip="https://m.media-amazon.com/images/I/31SujMPHC7L._AC_US600_.jpg"/>
    <hyperlink ref="E37" r:id="rId112" display="https://www.amazon.com/dp/B00ZGCKXUO?psc=1" tooltip="https://www.amazon.com/dp/B00ZGCKXUO?psc=1"/>
    <hyperlink ref="F36" r:id="rId113" display="https://images-na.ssl-images-amazon.com/images/I/51Un55CSMhL._AC_US600_.jpg" tooltip="https://images-na.ssl-images-amazon.com/images/I/51Un55CSMhL._AC_US600_.jpg"/>
    <hyperlink ref="E36" r:id="rId114" display="https://www.amazon.com/dp/B09W2G36RF?psc=1" tooltip="https://www.amazon.com/dp/B09W2G36RF?psc=1"/>
    <hyperlink ref="F35" r:id="rId115" display="https://images-na.ssl-images-amazon.com/images/I/41MToYfpoAL._AC_US600_.jpg" tooltip="https://images-na.ssl-images-amazon.com/images/I/41MToYfpoAL._AC_US600_.jpg"/>
    <hyperlink ref="E35" r:id="rId116" display="https://www.amazon.com/dp/B09ZKPM7XV?psc=1" tooltip="https://www.amazon.com/dp/B09ZKPM7XV?psc=1"/>
    <hyperlink ref="F34" r:id="rId117" display="https://m.media-amazon.com/images/I/41o0drpzDPL._AC_US600_.jpg" tooltip="https://m.media-amazon.com/images/I/41o0drpzDPL._AC_US600_.jpg"/>
    <hyperlink ref="E34" r:id="rId118" display="https://www.amazon.com/dp/B08ZDGNLW8?psc=1" tooltip="https://www.amazon.com/dp/B08ZDGNLW8?psc=1"/>
    <hyperlink ref="F33" r:id="rId119" display="https://m.media-amazon.com/images/I/41ChqSj1ITL._AC_US600_.jpg" tooltip="https://m.media-amazon.com/images/I/41ChqSj1ITL._AC_US600_.jpg"/>
    <hyperlink ref="E33" r:id="rId120" display="https://www.amazon.com/dp/B08PK2J94Y?psc=1" tooltip="https://www.amazon.com/dp/B08PK2J94Y?psc=1"/>
    <hyperlink ref="F32" r:id="rId121" display="https://images-na.ssl-images-amazon.com/images/I/413JL-C9COL._AC_US600_.jpg" tooltip="https://images-na.ssl-images-amazon.com/images/I/413JL-C9COL._AC_US600_.jpg"/>
    <hyperlink ref="E32" r:id="rId122" display="https://www.amazon.com/dp/B09V7SZK2X?psc=1" tooltip="https://www.amazon.com/dp/B09V7SZK2X?psc=1"/>
    <hyperlink ref="F31" r:id="rId123" display="https://images-na.ssl-images-amazon.com/images/I/41cUhmlrHuL._AC_US600_.jpg" tooltip="https://images-na.ssl-images-amazon.com/images/I/41cUhmlrHuL._AC_US600_.jpg"/>
    <hyperlink ref="E31" r:id="rId124" display="https://www.amazon.com/dp/B0B218XGDV?psc=1" tooltip="https://www.amazon.com/dp/B0B218XGDV?psc=1"/>
    <hyperlink ref="F30" r:id="rId125" display="https://images-na.ssl-images-amazon.com/images/I/41AVxlbG47L._AC_US600_.jpg" tooltip="https://images-na.ssl-images-amazon.com/images/I/41AVxlbG47L._AC_US600_.jpg"/>
    <hyperlink ref="E30" r:id="rId126" display="https://www.amazon.com/dp/B07QS9NM28?psc=1" tooltip="https://www.amazon.com/dp/B07QS9NM28?psc=1"/>
    <hyperlink ref="F29" r:id="rId127" display="https://images-na.ssl-images-amazon.com/images/I/412gMdDA0YL._AC_US600_.jpg" tooltip="https://images-na.ssl-images-amazon.com/images/I/412gMdDA0YL._AC_US600_.jpg"/>
    <hyperlink ref="E29" r:id="rId128" display="https://www.amazon.com/dp/B07S2VVHLF?psc=1" tooltip="https://www.amazon.com/dp/B07S2VVHLF?psc=1"/>
    <hyperlink ref="F28" r:id="rId129" display="https://images-na.ssl-images-amazon.com/images/I/31WZFas133L._AC_US600_.jpg" tooltip="https://images-na.ssl-images-amazon.com/images/I/31WZFas133L._AC_US600_.jpg"/>
    <hyperlink ref="E28" r:id="rId130" display="https://www.amazon.com/dp/B00COMHBT0?psc=1" tooltip="https://www.amazon.com/dp/B00COMHBT0?psc=1"/>
    <hyperlink ref="F27" r:id="rId131" display="https://images-na.ssl-images-amazon.com/images/I/415TX8+SyES._AC_US600_.jpg" tooltip="https://images-na.ssl-images-amazon.com/images/I/415TX8+SyES._AC_US600_.jpg"/>
    <hyperlink ref="E27" r:id="rId132" display="https://www.amazon.com/dp/B07KPP932D?psc=1" tooltip="https://www.amazon.com/dp/B07KPP932D?psc=1"/>
    <hyperlink ref="F26" r:id="rId133" display="https://m.media-amazon.com/images/I/41al6p5fMrL._AC_US600_.jpg" tooltip="https://m.media-amazon.com/images/I/41al6p5fMrL._AC_US600_.jpg"/>
    <hyperlink ref="E26" r:id="rId134" display="https://www.amazon.com/dp/B007P204UM?psc=1" tooltip="https://www.amazon.com/dp/B007P204UM?psc=1"/>
    <hyperlink ref="F25" r:id="rId135" display="https://images-na.ssl-images-amazon.com/images/I/41yAn1ncNnL._AC_US600_.jpg" tooltip="https://images-na.ssl-images-amazon.com/images/I/41yAn1ncNnL._AC_US600_.jpg"/>
    <hyperlink ref="E25" r:id="rId136" display="https://www.amazon.com/dp/B0B48B7PN5?psc=1" tooltip="https://www.amazon.com/dp/B0B48B7PN5?psc=1"/>
    <hyperlink ref="F24" r:id="rId137" display="https://images-na.ssl-images-amazon.com/images/I/41+LnwdCj5L._AC_US600_.jpg" tooltip="https://images-na.ssl-images-amazon.com/images/I/41+LnwdCj5L._AC_US600_.jpg"/>
    <hyperlink ref="E24" r:id="rId138" display="https://www.amazon.com/dp/B07Y1GZ38K?psc=1" tooltip="https://www.amazon.com/dp/B07Y1GZ38K?psc=1"/>
    <hyperlink ref="F23" r:id="rId139" display="https://images-na.ssl-images-amazon.com/images/I/41JV20XZHRL._AC_US600_.jpg" tooltip="https://images-na.ssl-images-amazon.com/images/I/41JV20XZHRL._AC_US600_.jpg"/>
    <hyperlink ref="E23" r:id="rId140" display="https://www.amazon.com/dp/B09KBQPRNZ?psc=1" tooltip="https://www.amazon.com/dp/B09KBQPRNZ?psc=1"/>
    <hyperlink ref="F22" r:id="rId141" display="https://images-na.ssl-images-amazon.com/images/I/311Pt2KCf6L._AC_US600_.jpg" tooltip="https://images-na.ssl-images-amazon.com/images/I/311Pt2KCf6L._AC_US600_.jpg"/>
    <hyperlink ref="E22" r:id="rId142" display="https://www.amazon.com/dp/B09X1XTZHQ?psc=1" tooltip="https://www.amazon.com/dp/B09X1XTZHQ?psc=1"/>
    <hyperlink ref="F21" r:id="rId143" display="https://images-na.ssl-images-amazon.com/images/I/41t+hjWbevL._AC_US600_.jpg" tooltip="https://images-na.ssl-images-amazon.com/images/I/41t+hjWbevL._AC_US600_.jpg"/>
    <hyperlink ref="E21" r:id="rId144" display="https://www.amazon.com/dp/B092VSV6XY?psc=1" tooltip="https://www.amazon.com/dp/B092VSV6XY?psc=1"/>
    <hyperlink ref="F20" r:id="rId145" display="https://images-na.ssl-images-amazon.com/images/I/31GP+5VqgqL._AC_US600_.jpg" tooltip="https://images-na.ssl-images-amazon.com/images/I/31GP+5VqgqL._AC_US600_.jpg"/>
    <hyperlink ref="E20" r:id="rId146" display="https://www.amazon.com/dp/B07D7R61JH?psc=1" tooltip="https://www.amazon.com/dp/B07D7R61JH?psc=1"/>
    <hyperlink ref="F19" r:id="rId147" display="https://images-na.ssl-images-amazon.com/images/I/41ZJxciLQ+L._AC_US600_.jpg" tooltip="https://images-na.ssl-images-amazon.com/images/I/41ZJxciLQ+L._AC_US600_.jpg"/>
    <hyperlink ref="E19" r:id="rId148" display="https://www.amazon.com/dp/B00NMWRK2E?psc=1" tooltip="https://www.amazon.com/dp/B00NMWRK2E?psc=1"/>
    <hyperlink ref="F18" r:id="rId149" display="https://images-na.ssl-images-amazon.com/images/I/415Nsr+uxEL._AC_US600_.jpg" tooltip="https://images-na.ssl-images-amazon.com/images/I/415Nsr+uxEL._AC_US600_.jpg"/>
    <hyperlink ref="E18" r:id="rId150" display="https://www.amazon.com/dp/B002GHBSCO?psc=1" tooltip="https://www.amazon.com/dp/B002GHBSCO?psc=1"/>
    <hyperlink ref="F17" r:id="rId151" display="https://m.media-amazon.com/images/I/31raOLNwuXL._AC_US600_.jpg" tooltip="https://m.media-amazon.com/images/I/31raOLNwuXL._AC_US600_.jpg"/>
    <hyperlink ref="E17" r:id="rId152" display="https://www.amazon.com/dp/B0B135NQQZ?psc=1" tooltip="https://www.amazon.com/dp/B0B135NQQZ?psc=1"/>
    <hyperlink ref="F16" r:id="rId153" display="https://images-na.ssl-images-amazon.com/images/I/21fcj-tX47L._AC_US600_.jpg" tooltip="https://images-na.ssl-images-amazon.com/images/I/21fcj-tX47L._AC_US600_.jpg"/>
    <hyperlink ref="E16" r:id="rId154" display="https://www.amazon.com/dp/B0B194RTV2?psc=1" tooltip="https://www.amazon.com/dp/B0B194RTV2?psc=1"/>
    <hyperlink ref="F15" r:id="rId155" display="https://images-na.ssl-images-amazon.com/images/I/41jFQwLud+L._AC_US600_.jpg" tooltip="https://images-na.ssl-images-amazon.com/images/I/41jFQwLud+L._AC_US600_.jpg"/>
    <hyperlink ref="E15" r:id="rId156" display="https://www.amazon.com/dp/B08FBLRGNS?psc=1" tooltip="https://www.amazon.com/dp/B08FBLRGNS?psc=1"/>
    <hyperlink ref="F14" r:id="rId157" display="https://images-na.ssl-images-amazon.com/images/I/41nb9dc1wcL._AC_US600_.jpg" tooltip="https://images-na.ssl-images-amazon.com/images/I/41nb9dc1wcL._AC_US600_.jpg"/>
    <hyperlink ref="E14" r:id="rId158" display="https://www.amazon.com/dp/B08CKBDQJJ?psc=1" tooltip="https://www.amazon.com/dp/B08CKBDQJJ?psc=1"/>
    <hyperlink ref="F13" r:id="rId159" display="https://images-na.ssl-images-amazon.com/images/I/41P0kGAUyhL._AC_US600_.jpg" tooltip="https://images-na.ssl-images-amazon.com/images/I/41P0kGAUyhL._AC_US600_.jpg"/>
    <hyperlink ref="E13" r:id="rId160" display="https://www.amazon.com/dp/B09HMK8K4Q?psc=1" tooltip="https://www.amazon.com/dp/B09HMK8K4Q?psc=1"/>
    <hyperlink ref="F12" r:id="rId161" display="https://images-na.ssl-images-amazon.com/images/I/41tEuXDwjJS._AC_US600_.jpg" tooltip="https://images-na.ssl-images-amazon.com/images/I/41tEuXDwjJS._AC_US600_.jpg"/>
    <hyperlink ref="E12" r:id="rId162" display="https://www.amazon.com/dp/B08NWGNQPS?psc=1" tooltip="https://www.amazon.com/dp/B08NWGNQPS?psc=1"/>
    <hyperlink ref="F11" r:id="rId163" display="https://images-na.ssl-images-amazon.com/images/I/41Q4I7O0fIL._AC_US600_.jpg" tooltip="https://images-na.ssl-images-amazon.com/images/I/41Q4I7O0fIL._AC_US600_.jpg"/>
    <hyperlink ref="E11" r:id="rId164" display="https://www.amazon.com/dp/B07WZT4HB1?psc=1" tooltip="https://www.amazon.com/dp/B07WZT4HB1?psc=1"/>
    <hyperlink ref="F10" r:id="rId165" display="https://images-na.ssl-images-amazon.com/images/I/31pTDtIU7iL._AC_US600_.jpg" tooltip="https://images-na.ssl-images-amazon.com/images/I/31pTDtIU7iL._AC_US600_.jpg"/>
    <hyperlink ref="E10" r:id="rId166" display="https://www.amazon.com/dp/B00N8XFFDI?psc=1" tooltip="https://www.amazon.com/dp/B00N8XFFDI?psc=1"/>
    <hyperlink ref="F9" r:id="rId167" display="https://images-na.ssl-images-amazon.com/images/I/41nKg2uirVL._AC_US600_.jpg" tooltip="https://images-na.ssl-images-amazon.com/images/I/41nKg2uirVL._AC_US600_.jpg"/>
    <hyperlink ref="E9" r:id="rId168" display="https://www.amazon.com/dp/B07B4Z7N9H?psc=1" tooltip="https://www.amazon.com/dp/B07B4Z7N9H?psc=1"/>
    <hyperlink ref="F8" r:id="rId169" display="https://images-na.ssl-images-amazon.com/images/I/51ggMDXxx5L._AC_US600_.jpg" tooltip="https://images-na.ssl-images-amazon.com/images/I/51ggMDXxx5L._AC_US600_.jpg"/>
    <hyperlink ref="E8" r:id="rId170" display="https://www.amazon.com/dp/B072P11H8L?psc=1" tooltip="https://www.amazon.com/dp/B072P11H8L?psc=1"/>
    <hyperlink ref="F7" r:id="rId171" display="https://images-na.ssl-images-amazon.com/images/I/41KYn3ISrjL._AC_US600_.jpg" tooltip="https://images-na.ssl-images-amazon.com/images/I/41KYn3ISrjL._AC_US600_.jpg"/>
    <hyperlink ref="E7" r:id="rId172" display="https://www.amazon.com/dp/B0000A1ZN1?psc=1" tooltip="https://www.amazon.com/dp/B0000A1ZN1?psc=1"/>
    <hyperlink ref="F6" r:id="rId173" display="https://m.media-amazon.com/images/I/51kc-16ephL._AC_US600_.jpg" tooltip="https://m.media-amazon.com/images/I/51kc-16ephL._AC_US600_.jpg"/>
    <hyperlink ref="E6" r:id="rId174" display="https://www.amazon.com/dp/B0BFG48CHY?psc=1" tooltip="https://www.amazon.com/dp/B0BFG48CHY?psc=1"/>
    <hyperlink ref="F5" r:id="rId175" display="https://images-na.ssl-images-amazon.com/images/I/51xA5VopoTL._AC_US600_.jpg" tooltip="https://images-na.ssl-images-amazon.com/images/I/51xA5VopoTL._AC_US600_.jpg"/>
    <hyperlink ref="E5" r:id="rId176" display="https://www.amazon.com/dp/B07HYW76FK?psc=1" tooltip="https://www.amazon.com/dp/B07HYW76FK?psc=1"/>
    <hyperlink ref="F4" r:id="rId177" display="https://images-na.ssl-images-amazon.com/images/I/41lRfRszd+L._AC_US600_.jpg" tooltip="https://images-na.ssl-images-amazon.com/images/I/41lRfRszd+L._AC_US600_.jpg"/>
    <hyperlink ref="E4" r:id="rId178" display="https://www.amazon.com/dp/B002CVTT4S?psc=1" tooltip="https://www.amazon.com/dp/B002CVTT4S?psc=1"/>
    <hyperlink ref="F3" r:id="rId179" display="https://images-na.ssl-images-amazon.com/images/I/41OhWCFOswL._AC_US600_.jpg" tooltip="https://images-na.ssl-images-amazon.com/images/I/41OhWCFOswL._AC_US600_.jpg"/>
    <hyperlink ref="E3" r:id="rId180" display="https://www.amazon.com/dp/B01KZ729F6?psc=1" tooltip="https://www.amazon.com/dp/B01KZ729F6?psc=1"/>
    <hyperlink ref="F2" r:id="rId181" display="https://images-na.ssl-images-amazon.com/images/I/314lREl4xhL._AC_US600_.jpg" tooltip="https://images-na.ssl-images-amazon.com/images/I/314lREl4xhL._AC_US600_.jpg"/>
    <hyperlink ref="E2" r:id="rId182" display="https://www.amazon.com/dp/B009GQ034C?psc=1" tooltip="https://www.amazon.com/dp/B009GQ034C?psc=1"/>
    <hyperlink ref="F92" r:id="rId183" display="https://images-na.ssl-images-amazon.com/images/I/41jg9pofJhL._AC_US600_.jpg" tooltip="https://images-na.ssl-images-amazon.com/images/I/41jg9pofJhL._AC_US600_.jpg"/>
    <hyperlink ref="E93" r:id="rId184" display="https://www.amazon.com/dp/B08RMT399S?psc=1" tooltip="https://www.amazon.com/dp/B08RMT399S?psc=1"/>
    <hyperlink ref="F93" r:id="rId185" display="https://images-na.ssl-images-amazon.com/images/I/41FWowc-2aL._AC_US600_.jpg" tooltip="https://images-na.ssl-images-amazon.com/images/I/41FWowc-2aL._AC_US600_.jpg"/>
    <hyperlink ref="E94" r:id="rId186" display="https://www.amazon.com/dp/B0B8CCG5KF?psc=1" tooltip="https://www.amazon.com/dp/B0B8CCG5KF?psc=1"/>
    <hyperlink ref="F94" r:id="rId187" display="https://images-na.ssl-images-amazon.com/images/I/41CTIOPuXeL._AC_US600_.jpg" tooltip="https://images-na.ssl-images-amazon.com/images/I/41CTIOPuXeL._AC_US600_.jpg"/>
    <hyperlink ref="E95" r:id="rId188" display="https://www.amazon.com/dp/B09L3HGZLS?psc=1" tooltip="https://www.amazon.com/dp/B09L3HGZLS?psc=1"/>
    <hyperlink ref="F95" r:id="rId189" display="https://images-na.ssl-images-amazon.com/images/I/51fjvS1mjCL._AC_US600_.jpg" tooltip="https://images-na.ssl-images-amazon.com/images/I/51fjvS1mjCL._AC_US600_.jpg"/>
    <hyperlink ref="E96" r:id="rId190" display="https://www.amazon.com/dp/B07D38Q9N7?psc=1" tooltip="https://www.amazon.com/dp/B07D38Q9N7?psc=1"/>
    <hyperlink ref="F96" r:id="rId191" display="https://images-na.ssl-images-amazon.com/images/I/41UVr9ilUVL._AC_US600_.jpg" tooltip="https://images-na.ssl-images-amazon.com/images/I/41UVr9ilUVL._AC_US600_.jpg"/>
    <hyperlink ref="E97" r:id="rId192" display="https://www.amazon.com/dp/B00140SC64?psc=1" tooltip="https://www.amazon.com/dp/B00140SC64?psc=1"/>
    <hyperlink ref="F97" r:id="rId193" display="https://images-na.ssl-images-amazon.com/images/I/31cNU6IsXzL._AC_US600_.jpg" tooltip="https://images-na.ssl-images-amazon.com/images/I/31cNU6IsXzL._AC_US600_.jpg"/>
    <hyperlink ref="E98" r:id="rId194" display="https://www.amazon.com/dp/B0BJKVK3F8?psc=1" tooltip="https://www.amazon.com/dp/B0BJKVK3F8?psc=1"/>
    <hyperlink ref="F98" r:id="rId195" display="https://images-na.ssl-images-amazon.com/images/I/51CSYZOz7gL._AC_US600_.jpg" tooltip="https://images-na.ssl-images-amazon.com/images/I/51CSYZOz7gL._AC_US600_.jpg"/>
    <hyperlink ref="E99" r:id="rId196" display="https://www.amazon.com/dp/B08NCG29SH?psc=1" tooltip="https://www.amazon.com/dp/B08NCG29SH?psc=1"/>
    <hyperlink ref="F99" r:id="rId197" display="https://images-na.ssl-images-amazon.com/images/I/41TIZyF69yL._AC_US600_.jpg" tooltip="https://images-na.ssl-images-amazon.com/images/I/41TIZyF69yL._AC_US600_.jpg"/>
    <hyperlink ref="E100" r:id="rId198" display="https://www.amazon.com/dp/B0BF3X44WR?psc=1" tooltip="https://www.amazon.com/dp/B0BF3X44WR?psc=1"/>
    <hyperlink ref="F100" r:id="rId199" display="https://m.media-amazon.com/images/I/41miFuP8rIL._AC_US600_.jpg" tooltip="https://m.media-amazon.com/images/I/41miFuP8rIL._AC_US600_.jpg"/>
    <hyperlink ref="E101" r:id="rId200" display="https://www.amazon.com/dp/B08JHZPB5S?psc=1" tooltip="https://www.amazon.com/dp/B08JHZPB5S?psc=1"/>
    <hyperlink ref="F101" r:id="rId201" display="https://images-na.ssl-images-amazon.com/images/I/41k1tziGoAS._AC_US600_.jpg" tooltip="https://images-na.ssl-images-amazon.com/images/I/41k1tziGoAS._AC_US600_.jpg"/>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6"/>
  <sheetViews>
    <sheetView tabSelected="1" zoomScale="70" zoomScaleNormal="70" workbookViewId="0">
      <pane xSplit="2" ySplit="8" topLeftCell="C9" activePane="bottomRight" state="frozen"/>
      <selection/>
      <selection pane="topRight"/>
      <selection pane="bottomLeft"/>
      <selection pane="bottomRight" activeCell="I6" sqref="I6"/>
    </sheetView>
  </sheetViews>
  <sheetFormatPr defaultColWidth="9" defaultRowHeight="13.5"/>
  <cols>
    <col min="1" max="1" width="13.5083333333333" style="141" customWidth="1"/>
    <col min="2" max="2" width="13.5083333333333" style="630" customWidth="1"/>
    <col min="3" max="3" width="25.625" style="141" customWidth="1"/>
    <col min="4" max="4" width="27.9333333333333" style="141" customWidth="1"/>
    <col min="5" max="15" width="25.625" style="141" customWidth="1"/>
    <col min="16" max="17" width="25.625" style="141" hidden="1" customWidth="1"/>
    <col min="18" max="18" width="7.15" style="141" hidden="1" customWidth="1"/>
    <col min="21" max="21" width="12.625"/>
  </cols>
  <sheetData>
    <row r="1" ht="41" customHeight="1" spans="1:18">
      <c r="A1" s="631" t="s">
        <v>4346</v>
      </c>
      <c r="B1" s="108"/>
      <c r="C1" s="108"/>
      <c r="D1" s="108"/>
      <c r="E1" s="108"/>
      <c r="F1" s="108"/>
      <c r="G1" s="108"/>
      <c r="H1" s="108"/>
      <c r="I1" s="108"/>
      <c r="J1" s="108"/>
      <c r="K1" s="108"/>
      <c r="L1" s="108"/>
      <c r="M1" s="108"/>
      <c r="N1" s="632"/>
      <c r="O1" s="633"/>
      <c r="P1" s="633"/>
      <c r="Q1" s="108"/>
      <c r="R1" s="108"/>
    </row>
    <row r="2" s="627" customFormat="1" ht="30" customHeight="1" spans="1:18">
      <c r="A2" s="634" t="s">
        <v>4347</v>
      </c>
      <c r="B2" s="635"/>
      <c r="C2" s="636" t="s">
        <v>2812</v>
      </c>
      <c r="D2" s="637"/>
      <c r="E2" s="637"/>
      <c r="F2" s="637"/>
      <c r="G2" s="637"/>
      <c r="H2" s="637"/>
      <c r="I2" s="637"/>
      <c r="J2" s="637"/>
      <c r="K2" s="637"/>
      <c r="L2" s="637"/>
      <c r="M2" s="638"/>
      <c r="N2" s="639" t="s">
        <v>2855</v>
      </c>
      <c r="O2" s="639"/>
      <c r="P2" s="640"/>
      <c r="Q2" s="641"/>
      <c r="R2" s="641"/>
    </row>
    <row r="3" s="627" customFormat="1" ht="30" customHeight="1" spans="1:18">
      <c r="A3" s="642"/>
      <c r="B3" s="643"/>
      <c r="C3" s="644" t="s">
        <v>4348</v>
      </c>
      <c r="D3" s="645"/>
      <c r="E3" s="646" t="s">
        <v>4349</v>
      </c>
      <c r="F3" s="647" t="s">
        <v>2847</v>
      </c>
      <c r="G3" s="648"/>
      <c r="H3" s="649" t="s">
        <v>4350</v>
      </c>
      <c r="I3" s="649"/>
      <c r="J3" s="649"/>
      <c r="K3" s="639" t="s">
        <v>4351</v>
      </c>
      <c r="L3" s="650" t="s">
        <v>2872</v>
      </c>
      <c r="M3" s="639" t="s">
        <v>4352</v>
      </c>
      <c r="N3" s="650" t="s">
        <v>4352</v>
      </c>
      <c r="O3" s="650" t="s">
        <v>4353</v>
      </c>
      <c r="P3" s="640"/>
      <c r="Q3" s="641" t="s">
        <v>4354</v>
      </c>
      <c r="R3" s="641"/>
    </row>
    <row r="4" s="628" customFormat="1" ht="33" customHeight="1" spans="1:18">
      <c r="A4" s="651" t="s">
        <v>3046</v>
      </c>
      <c r="B4" s="651"/>
      <c r="C4" s="651">
        <v>1</v>
      </c>
      <c r="D4" s="651">
        <v>2</v>
      </c>
      <c r="E4" s="652">
        <v>4</v>
      </c>
      <c r="F4" s="652">
        <v>5</v>
      </c>
      <c r="G4" s="652">
        <v>6</v>
      </c>
      <c r="H4" s="652">
        <v>7</v>
      </c>
      <c r="I4" s="652">
        <v>8</v>
      </c>
      <c r="J4" s="652">
        <v>9</v>
      </c>
      <c r="K4" s="651">
        <v>10</v>
      </c>
      <c r="L4" s="651">
        <v>11</v>
      </c>
      <c r="M4" s="651">
        <v>12</v>
      </c>
      <c r="N4" s="651">
        <v>13</v>
      </c>
      <c r="O4" s="651">
        <v>14</v>
      </c>
      <c r="P4" s="651">
        <v>13</v>
      </c>
      <c r="Q4" s="651">
        <v>14</v>
      </c>
      <c r="R4" s="651">
        <v>15</v>
      </c>
    </row>
    <row r="5" ht="15" spans="1:18">
      <c r="A5" s="653" t="s">
        <v>4355</v>
      </c>
      <c r="B5" s="654"/>
      <c r="C5" s="654"/>
      <c r="D5" s="654"/>
      <c r="E5" s="654"/>
      <c r="F5" s="654"/>
      <c r="G5" s="654"/>
      <c r="H5" s="654"/>
      <c r="I5" s="654"/>
      <c r="J5" s="654"/>
      <c r="K5" s="654"/>
      <c r="L5" s="654"/>
      <c r="M5" s="654"/>
      <c r="N5" s="655"/>
      <c r="O5" s="654"/>
      <c r="P5" s="655"/>
      <c r="Q5" s="654"/>
      <c r="R5" s="655"/>
    </row>
    <row r="6" ht="16.5" spans="1:18">
      <c r="A6" s="656" t="s">
        <v>810</v>
      </c>
      <c r="B6" s="656"/>
      <c r="C6" s="82" t="s">
        <v>70</v>
      </c>
      <c r="D6" s="82" t="s">
        <v>986</v>
      </c>
      <c r="E6" s="82" t="s">
        <v>3314</v>
      </c>
      <c r="F6" s="82" t="s">
        <v>72</v>
      </c>
      <c r="G6" s="82" t="s">
        <v>232</v>
      </c>
      <c r="H6" s="82" t="s">
        <v>4356</v>
      </c>
      <c r="I6" s="82" t="s">
        <v>312</v>
      </c>
      <c r="J6" s="82" t="s">
        <v>951</v>
      </c>
      <c r="K6" s="82" t="s">
        <v>1299</v>
      </c>
      <c r="L6" s="82" t="s">
        <v>193</v>
      </c>
      <c r="M6" s="82" t="s">
        <v>1056</v>
      </c>
      <c r="N6" s="82" t="s">
        <v>304</v>
      </c>
      <c r="O6" s="82" t="s">
        <v>772</v>
      </c>
      <c r="P6" s="82"/>
      <c r="Q6" s="82"/>
      <c r="R6" s="82"/>
    </row>
    <row r="7" ht="32" customHeight="1" spans="1:18">
      <c r="A7" s="656" t="s">
        <v>4357</v>
      </c>
      <c r="B7" s="656"/>
      <c r="C7" s="657" t="s">
        <v>4358</v>
      </c>
      <c r="D7" s="658" t="s">
        <v>4359</v>
      </c>
      <c r="E7" s="657" t="s">
        <v>4360</v>
      </c>
      <c r="F7" s="657" t="s">
        <v>4361</v>
      </c>
      <c r="G7" s="658" t="s">
        <v>4362</v>
      </c>
      <c r="H7" s="657" t="s">
        <v>4363</v>
      </c>
      <c r="I7" s="657" t="s">
        <v>4364</v>
      </c>
      <c r="J7" s="657" t="s">
        <v>4365</v>
      </c>
      <c r="K7" s="657" t="s">
        <v>4366</v>
      </c>
      <c r="L7" s="658" t="s">
        <v>4367</v>
      </c>
      <c r="M7" s="657" t="s">
        <v>4368</v>
      </c>
      <c r="N7" s="658" t="s">
        <v>4369</v>
      </c>
      <c r="O7" s="657" t="s">
        <v>4370</v>
      </c>
      <c r="P7" s="658"/>
      <c r="Q7" s="658"/>
      <c r="R7" s="657"/>
    </row>
    <row r="8" ht="94" customHeight="1" spans="1:18">
      <c r="A8" s="656" t="s">
        <v>809</v>
      </c>
      <c r="B8" s="656"/>
      <c r="C8" s="657" t="str">
        <f>_xlfn.DISPIMG("ID_4C77D6E0B2FA45BB9DEBE60648DA1DE9",1)</f>
        <v>=DISPIMG("ID_4C77D6E0B2FA45BB9DEBE60648DA1DE9",1)</v>
      </c>
      <c r="D8" s="82" t="str">
        <f>_xlfn.DISPIMG("ID_0B7D6ECDF05E4525B67FD8FC0471FA62",1)</f>
        <v>=DISPIMG("ID_0B7D6ECDF05E4525B67FD8FC0471FA62",1)</v>
      </c>
      <c r="E8" s="82" t="str">
        <f>_xlfn.DISPIMG("ID_FD308A9E953A4DCEBEB6730A4725021B",1)</f>
        <v>=DISPIMG("ID_FD308A9E953A4DCEBEB6730A4725021B",1)</v>
      </c>
      <c r="F8" s="82" t="str">
        <f>_xlfn.DISPIMG("ID_828B074FBDBE4EBB80306B61D6845B77",1)</f>
        <v>=DISPIMG("ID_828B074FBDBE4EBB80306B61D6845B77",1)</v>
      </c>
      <c r="G8" s="82" t="str">
        <f>_xlfn.DISPIMG("ID_AF674C3D3A0F4A9C9A51B6CA2F26BA48",1)</f>
        <v>=DISPIMG("ID_AF674C3D3A0F4A9C9A51B6CA2F26BA48",1)</v>
      </c>
      <c r="H8" s="82" t="str">
        <f>_xlfn.DISPIMG("ID_46F96DADA62E4B5CB860BDFED7B24586",1)</f>
        <v>=DISPIMG("ID_46F96DADA62E4B5CB860BDFED7B24586",1)</v>
      </c>
      <c r="I8" s="82" t="str">
        <f>_xlfn.DISPIMG("ID_884F98CC892A4CE6ABDBA140550374CF",1)</f>
        <v>=DISPIMG("ID_884F98CC892A4CE6ABDBA140550374CF",1)</v>
      </c>
      <c r="J8" s="82" t="str">
        <f>_xlfn.DISPIMG("ID_A187F7DB71E04A73A7C5BA003F87B3FB",1)</f>
        <v>=DISPIMG("ID_A187F7DB71E04A73A7C5BA003F87B3FB",1)</v>
      </c>
      <c r="K8" s="82" t="str">
        <f>_xlfn.DISPIMG("ID_02370C474E81415580E625047449E9E8",1)</f>
        <v>=DISPIMG("ID_02370C474E81415580E625047449E9E8",1)</v>
      </c>
      <c r="L8" s="82" t="str">
        <f>_xlfn.DISPIMG("ID_B4E45121E0324934A6D82CC61900D2FF",1)</f>
        <v>=DISPIMG("ID_B4E45121E0324934A6D82CC61900D2FF",1)</v>
      </c>
      <c r="M8" s="82" t="str">
        <f>_xlfn.DISPIMG("ID_FE55F2C7044F48A2936B5E364B0333F1",1)</f>
        <v>=DISPIMG("ID_FE55F2C7044F48A2936B5E364B0333F1",1)</v>
      </c>
      <c r="N8" s="82" t="str">
        <f>_xlfn.DISPIMG("ID_9CD56A2EBBBA4FC389F33E7845C76BC1",1)</f>
        <v>=DISPIMG("ID_9CD56A2EBBBA4FC389F33E7845C76BC1",1)</v>
      </c>
      <c r="O8" s="82" t="str">
        <f>_xlfn.DISPIMG("ID_32489B1415AC43EB9EA453F32FAE8061",1)</f>
        <v>=DISPIMG("ID_32489B1415AC43EB9EA453F32FAE8061",1)</v>
      </c>
      <c r="P8" s="82"/>
      <c r="Q8" s="82"/>
      <c r="R8" s="82"/>
    </row>
    <row r="9" ht="16.5" spans="1:18">
      <c r="A9" s="656" t="s">
        <v>815</v>
      </c>
      <c r="B9" s="656"/>
      <c r="C9" s="659" t="s">
        <v>846</v>
      </c>
      <c r="D9" s="82" t="s">
        <v>991</v>
      </c>
      <c r="E9" s="80" t="s">
        <v>861</v>
      </c>
      <c r="F9" s="82" t="s">
        <v>861</v>
      </c>
      <c r="G9" s="82" t="s">
        <v>1173</v>
      </c>
      <c r="H9" s="82" t="s">
        <v>4371</v>
      </c>
      <c r="I9" s="82" t="s">
        <v>4371</v>
      </c>
      <c r="J9" s="82" t="s">
        <v>4372</v>
      </c>
      <c r="K9" s="80" t="s">
        <v>4373</v>
      </c>
      <c r="L9" s="82" t="s">
        <v>4374</v>
      </c>
      <c r="M9" s="80" t="s">
        <v>4375</v>
      </c>
      <c r="N9" s="82" t="s">
        <v>4376</v>
      </c>
      <c r="O9" s="82" t="s">
        <v>4376</v>
      </c>
      <c r="P9" s="82"/>
      <c r="Q9" s="82"/>
      <c r="R9" s="82"/>
    </row>
    <row r="10" ht="16.5" spans="1:18">
      <c r="A10" s="656" t="s">
        <v>4377</v>
      </c>
      <c r="B10" s="656"/>
      <c r="C10" s="82" t="s">
        <v>4378</v>
      </c>
      <c r="D10" s="82" t="s">
        <v>996</v>
      </c>
      <c r="E10" s="82" t="s">
        <v>4378</v>
      </c>
      <c r="F10" s="82" t="s">
        <v>4378</v>
      </c>
      <c r="G10" s="82" t="s">
        <v>867</v>
      </c>
      <c r="H10" s="82" t="s">
        <v>4379</v>
      </c>
      <c r="I10" s="82" t="s">
        <v>4379</v>
      </c>
      <c r="J10" s="82" t="s">
        <v>4379</v>
      </c>
      <c r="K10" s="82" t="s">
        <v>3080</v>
      </c>
      <c r="L10" s="82" t="s">
        <v>4379</v>
      </c>
      <c r="M10" s="82" t="s">
        <v>4380</v>
      </c>
      <c r="N10" s="82" t="s">
        <v>4380</v>
      </c>
      <c r="O10" s="82" t="s">
        <v>4380</v>
      </c>
      <c r="P10" s="82"/>
      <c r="Q10" s="82"/>
      <c r="R10" s="82"/>
    </row>
    <row r="11" ht="16.5" spans="1:18">
      <c r="A11" s="660" t="s">
        <v>4381</v>
      </c>
      <c r="B11" s="661"/>
      <c r="C11" s="82" t="s">
        <v>3052</v>
      </c>
      <c r="D11" s="82" t="s">
        <v>3070</v>
      </c>
      <c r="E11" s="82" t="s">
        <v>3052</v>
      </c>
      <c r="F11" s="82" t="s">
        <v>3052</v>
      </c>
      <c r="G11" s="82" t="s">
        <v>3052</v>
      </c>
      <c r="H11" s="82" t="s">
        <v>3052</v>
      </c>
      <c r="I11" s="82" t="s">
        <v>3052</v>
      </c>
      <c r="J11" s="82" t="s">
        <v>3052</v>
      </c>
      <c r="K11" s="82" t="s">
        <v>3070</v>
      </c>
      <c r="L11" s="82" t="s">
        <v>3052</v>
      </c>
      <c r="M11" s="82" t="s">
        <v>3052</v>
      </c>
      <c r="N11" s="82" t="s">
        <v>3052</v>
      </c>
      <c r="O11" s="82" t="s">
        <v>3052</v>
      </c>
      <c r="P11" s="82"/>
      <c r="Q11" s="82"/>
      <c r="R11" s="82"/>
    </row>
    <row r="12" ht="16.5" spans="1:18">
      <c r="A12" s="660" t="s">
        <v>839</v>
      </c>
      <c r="B12" s="661"/>
      <c r="C12" s="82" t="s">
        <v>4382</v>
      </c>
      <c r="D12" s="82" t="s">
        <v>4382</v>
      </c>
      <c r="E12" s="82" t="s">
        <v>4382</v>
      </c>
      <c r="F12" s="82" t="s">
        <v>4382</v>
      </c>
      <c r="G12" s="82" t="s">
        <v>4383</v>
      </c>
      <c r="H12" s="82" t="s">
        <v>4384</v>
      </c>
      <c r="I12" s="82" t="s">
        <v>4383</v>
      </c>
      <c r="J12" s="82" t="s">
        <v>4382</v>
      </c>
      <c r="K12" s="82" t="s">
        <v>4382</v>
      </c>
      <c r="L12" s="82" t="s">
        <v>4382</v>
      </c>
      <c r="M12" s="82" t="s">
        <v>4383</v>
      </c>
      <c r="N12" s="82" t="s">
        <v>4382</v>
      </c>
      <c r="O12" s="82" t="s">
        <v>4382</v>
      </c>
      <c r="P12" s="82"/>
      <c r="Q12" s="82"/>
      <c r="R12" s="82"/>
    </row>
    <row r="13" ht="16.5" spans="1:18">
      <c r="A13" s="660" t="s">
        <v>4385</v>
      </c>
      <c r="B13" s="661"/>
      <c r="C13" s="662" t="s">
        <v>4386</v>
      </c>
      <c r="D13" s="662" t="s">
        <v>4387</v>
      </c>
      <c r="E13" s="662" t="s">
        <v>4388</v>
      </c>
      <c r="F13" s="662" t="s">
        <v>4388</v>
      </c>
      <c r="G13" s="662" t="s">
        <v>867</v>
      </c>
      <c r="H13" s="662" t="s">
        <v>867</v>
      </c>
      <c r="I13" s="662" t="s">
        <v>867</v>
      </c>
      <c r="J13" s="662" t="s">
        <v>4389</v>
      </c>
      <c r="K13" s="662" t="s">
        <v>4390</v>
      </c>
      <c r="L13" s="662" t="s">
        <v>4391</v>
      </c>
      <c r="M13" s="662" t="s">
        <v>4392</v>
      </c>
      <c r="N13" s="662" t="s">
        <v>4386</v>
      </c>
      <c r="O13" s="662" t="s">
        <v>4386</v>
      </c>
      <c r="P13" s="662"/>
      <c r="Q13" s="82"/>
      <c r="R13" s="82"/>
    </row>
    <row r="14" ht="16.5" spans="1:18">
      <c r="A14" s="656" t="s">
        <v>4393</v>
      </c>
      <c r="B14" s="656"/>
      <c r="C14" s="82">
        <v>27</v>
      </c>
      <c r="D14" s="82">
        <v>1589</v>
      </c>
      <c r="E14" s="82">
        <v>296</v>
      </c>
      <c r="F14" s="82">
        <v>732</v>
      </c>
      <c r="G14" s="82">
        <v>942</v>
      </c>
      <c r="H14" s="82">
        <v>337</v>
      </c>
      <c r="I14" s="82">
        <v>545</v>
      </c>
      <c r="J14" s="82">
        <v>2041</v>
      </c>
      <c r="K14" s="82">
        <v>3421</v>
      </c>
      <c r="L14" s="82">
        <v>4910</v>
      </c>
      <c r="M14" s="82">
        <v>3456</v>
      </c>
      <c r="N14" s="82">
        <v>296</v>
      </c>
      <c r="O14" s="82">
        <v>484</v>
      </c>
      <c r="P14" s="82"/>
      <c r="Q14" s="82"/>
      <c r="R14" s="82"/>
    </row>
    <row r="15" ht="16.5" spans="1:18">
      <c r="A15" s="656" t="s">
        <v>4394</v>
      </c>
      <c r="B15" s="656"/>
      <c r="C15" s="82">
        <v>1</v>
      </c>
      <c r="D15" s="82">
        <v>7</v>
      </c>
      <c r="E15" s="82">
        <v>4</v>
      </c>
      <c r="F15" s="82">
        <v>9</v>
      </c>
      <c r="G15" s="82">
        <v>13</v>
      </c>
      <c r="H15" s="82">
        <v>4</v>
      </c>
      <c r="I15" s="82">
        <v>10</v>
      </c>
      <c r="J15" s="82">
        <v>20</v>
      </c>
      <c r="K15" s="82">
        <v>32</v>
      </c>
      <c r="L15" s="82">
        <v>9</v>
      </c>
      <c r="M15" s="82">
        <v>32</v>
      </c>
      <c r="N15" s="82">
        <v>3</v>
      </c>
      <c r="O15" s="82">
        <v>8</v>
      </c>
      <c r="P15" s="82"/>
      <c r="Q15" s="82"/>
      <c r="R15" s="82"/>
    </row>
    <row r="16" ht="16.5" spans="1:18">
      <c r="A16" s="656" t="s">
        <v>834</v>
      </c>
      <c r="B16" s="656"/>
      <c r="C16" s="83">
        <v>41863</v>
      </c>
      <c r="D16" s="83">
        <v>43259</v>
      </c>
      <c r="E16" s="83">
        <v>42968</v>
      </c>
      <c r="F16" s="83">
        <v>42515</v>
      </c>
      <c r="G16" s="83">
        <v>41584</v>
      </c>
      <c r="H16" s="83">
        <v>42251</v>
      </c>
      <c r="I16" s="83">
        <v>42889</v>
      </c>
      <c r="J16" s="83">
        <v>43067</v>
      </c>
      <c r="K16" s="83">
        <v>41913</v>
      </c>
      <c r="L16" s="83">
        <v>41541</v>
      </c>
      <c r="M16" s="83">
        <v>42601</v>
      </c>
      <c r="N16" s="83">
        <v>42613</v>
      </c>
      <c r="O16" s="83">
        <v>42945</v>
      </c>
      <c r="P16" s="83"/>
      <c r="Q16" s="83"/>
      <c r="R16" s="83"/>
    </row>
    <row r="17" s="629" customFormat="1" ht="16.5" spans="1:18">
      <c r="A17" s="663" t="s">
        <v>835</v>
      </c>
      <c r="B17" s="664"/>
      <c r="C17" s="88">
        <f ca="1" t="shared" ref="C17:O17" si="0">TODAY()-C16+1</f>
        <v>2951</v>
      </c>
      <c r="D17" s="88">
        <f ca="1" t="shared" si="0"/>
        <v>1555</v>
      </c>
      <c r="E17" s="88">
        <f ca="1" t="shared" si="0"/>
        <v>1846</v>
      </c>
      <c r="F17" s="88">
        <f ca="1" t="shared" si="0"/>
        <v>2299</v>
      </c>
      <c r="G17" s="88">
        <f ca="1" t="shared" si="0"/>
        <v>3230</v>
      </c>
      <c r="H17" s="88">
        <f ca="1" t="shared" si="0"/>
        <v>2563</v>
      </c>
      <c r="I17" s="88">
        <f ca="1" t="shared" si="0"/>
        <v>1925</v>
      </c>
      <c r="J17" s="88">
        <f ca="1" t="shared" si="0"/>
        <v>1747</v>
      </c>
      <c r="K17" s="88">
        <f ca="1" t="shared" si="0"/>
        <v>2901</v>
      </c>
      <c r="L17" s="88">
        <f ca="1" t="shared" si="0"/>
        <v>3273</v>
      </c>
      <c r="M17" s="88">
        <f ca="1" t="shared" si="0"/>
        <v>2213</v>
      </c>
      <c r="N17" s="88">
        <f ca="1" t="shared" si="0"/>
        <v>2201</v>
      </c>
      <c r="O17" s="88">
        <f ca="1" t="shared" si="0"/>
        <v>1869</v>
      </c>
      <c r="P17" s="88"/>
      <c r="Q17" s="88"/>
      <c r="R17" s="88"/>
    </row>
    <row r="18" ht="16.5" spans="1:18">
      <c r="A18" s="656" t="s">
        <v>4395</v>
      </c>
      <c r="B18" s="656"/>
      <c r="C18" s="665">
        <v>139.88</v>
      </c>
      <c r="D18" s="665">
        <v>99.99</v>
      </c>
      <c r="E18" s="665">
        <v>119.99</v>
      </c>
      <c r="F18" s="665">
        <v>174.99</v>
      </c>
      <c r="G18" s="665">
        <v>113.04</v>
      </c>
      <c r="H18" s="665">
        <v>157.83</v>
      </c>
      <c r="I18" s="665">
        <v>139.99</v>
      </c>
      <c r="J18" s="665">
        <v>89.62</v>
      </c>
      <c r="K18" s="665">
        <v>89.99</v>
      </c>
      <c r="L18" s="665">
        <v>109.99</v>
      </c>
      <c r="M18" s="665">
        <v>149.99</v>
      </c>
      <c r="N18" s="665">
        <v>199.99</v>
      </c>
      <c r="O18" s="665">
        <v>229.99</v>
      </c>
      <c r="P18" s="665"/>
      <c r="Q18" s="665"/>
      <c r="R18" s="665"/>
    </row>
    <row r="19" ht="16.5" spans="1:18">
      <c r="A19" s="656" t="s">
        <v>4396</v>
      </c>
      <c r="B19" s="656"/>
      <c r="C19" s="665">
        <v>66</v>
      </c>
      <c r="D19" s="665">
        <v>63.99</v>
      </c>
      <c r="E19" s="665">
        <v>79.98</v>
      </c>
      <c r="F19" s="665">
        <v>83.99</v>
      </c>
      <c r="G19" s="665">
        <v>49.99</v>
      </c>
      <c r="H19" s="665">
        <v>74.95</v>
      </c>
      <c r="I19" s="665">
        <v>89</v>
      </c>
      <c r="J19" s="665">
        <v>46.7</v>
      </c>
      <c r="K19" s="665">
        <v>67.99</v>
      </c>
      <c r="L19" s="665">
        <v>59.99</v>
      </c>
      <c r="M19" s="665">
        <v>49.99</v>
      </c>
      <c r="N19" s="665">
        <v>99.99</v>
      </c>
      <c r="O19" s="665">
        <v>129.99</v>
      </c>
      <c r="P19" s="665"/>
      <c r="Q19" s="665"/>
      <c r="R19" s="665"/>
    </row>
    <row r="20" ht="16.5" spans="1:18">
      <c r="A20" s="656" t="s">
        <v>4397</v>
      </c>
      <c r="B20" s="656"/>
      <c r="C20" s="666">
        <v>99.99</v>
      </c>
      <c r="D20" s="666">
        <v>79.99</v>
      </c>
      <c r="E20" s="666">
        <v>99.99</v>
      </c>
      <c r="F20" s="666">
        <v>129.99</v>
      </c>
      <c r="G20" s="666">
        <v>61.61</v>
      </c>
      <c r="H20" s="666">
        <v>127.99</v>
      </c>
      <c r="I20" s="666">
        <v>139.95</v>
      </c>
      <c r="J20" s="666">
        <v>63.43</v>
      </c>
      <c r="K20" s="666">
        <v>79.99</v>
      </c>
      <c r="L20" s="666">
        <v>88.09</v>
      </c>
      <c r="M20" s="81">
        <v>99.99</v>
      </c>
      <c r="N20" s="81">
        <v>159.99</v>
      </c>
      <c r="O20" s="81">
        <v>179.99</v>
      </c>
      <c r="P20" s="81"/>
      <c r="Q20" s="81"/>
      <c r="R20" s="81"/>
    </row>
    <row r="21" ht="57" customHeight="1" spans="1:18">
      <c r="A21" s="656" t="s">
        <v>4398</v>
      </c>
      <c r="B21" s="656"/>
      <c r="C21" s="85" t="str">
        <f>_xlfn.DISPIMG("ID_CE6F81752F184B498B4885FC89A94E2A",1)</f>
        <v>=DISPIMG("ID_CE6F81752F184B498B4885FC89A94E2A",1)</v>
      </c>
      <c r="D21" s="85" t="str">
        <f>_xlfn.DISPIMG("ID_C81EAC2A2D0C4E8A9262806A407C47EE",1)</f>
        <v>=DISPIMG("ID_C81EAC2A2D0C4E8A9262806A407C47EE",1)</v>
      </c>
      <c r="E21" s="85" t="str">
        <f>_xlfn.DISPIMG("ID_F34DBA05364E4B689242D477BCCAF6FC",1)</f>
        <v>=DISPIMG("ID_F34DBA05364E4B689242D477BCCAF6FC",1)</v>
      </c>
      <c r="F21" s="85" t="str">
        <f>_xlfn.DISPIMG("ID_D3CC4096FC03473893E8B1897151732E",1)</f>
        <v>=DISPIMG("ID_D3CC4096FC03473893E8B1897151732E",1)</v>
      </c>
      <c r="G21" s="85" t="str">
        <f>_xlfn.DISPIMG("ID_6A2E678E39324F47BEB1B3757F6520A8",1)</f>
        <v>=DISPIMG("ID_6A2E678E39324F47BEB1B3757F6520A8",1)</v>
      </c>
      <c r="H21" s="85" t="str">
        <f>_xlfn.DISPIMG("ID_648DB963FA7B4625AD25BE4145E66833",1)</f>
        <v>=DISPIMG("ID_648DB963FA7B4625AD25BE4145E66833",1)</v>
      </c>
      <c r="I21" s="85" t="str">
        <f>_xlfn.DISPIMG("ID_DEFA036F13AF4B5291C4B9F71B9AC210",1)</f>
        <v>=DISPIMG("ID_DEFA036F13AF4B5291C4B9F71B9AC210",1)</v>
      </c>
      <c r="J21" s="85" t="str">
        <f>_xlfn.DISPIMG("ID_E85A45DD65D74D5F9EE75FA564B2DB12",1)</f>
        <v>=DISPIMG("ID_E85A45DD65D74D5F9EE75FA564B2DB12",1)</v>
      </c>
      <c r="K21" s="85" t="str">
        <f>_xlfn.DISPIMG("ID_702FD2F1EB8D4024B4681CB4BAE3B1A2",1)</f>
        <v>=DISPIMG("ID_702FD2F1EB8D4024B4681CB4BAE3B1A2",1)</v>
      </c>
      <c r="L21" s="85" t="str">
        <f>_xlfn.DISPIMG("ID_E974B194E9574061B468622F5B8F9071",1)</f>
        <v>=DISPIMG("ID_E974B194E9574061B468622F5B8F9071",1)</v>
      </c>
      <c r="M21" s="85" t="str">
        <f>_xlfn.DISPIMG("ID_28025AA5038945DDA01BE2439B31B73D",1)</f>
        <v>=DISPIMG("ID_28025AA5038945DDA01BE2439B31B73D",1)</v>
      </c>
      <c r="N21" s="85" t="str">
        <f>_xlfn.DISPIMG("ID_1E144C3F973B45CA92E95BB8CDC0C32B",1)</f>
        <v>=DISPIMG("ID_1E144C3F973B45CA92E95BB8CDC0C32B",1)</v>
      </c>
      <c r="O21" s="85" t="str">
        <f>_xlfn.DISPIMG("ID_79DC19433BAF49FDB1BD665E4AB68967",1)</f>
        <v>=DISPIMG("ID_79DC19433BAF49FDB1BD665E4AB68967",1)</v>
      </c>
      <c r="P21" s="85"/>
      <c r="Q21" s="85"/>
      <c r="R21" s="85"/>
    </row>
    <row r="22" ht="16.5" spans="1:18">
      <c r="A22" s="667" t="s">
        <v>4399</v>
      </c>
      <c r="B22" s="668"/>
      <c r="C22" s="669">
        <v>8.5</v>
      </c>
      <c r="D22" s="118">
        <v>35</v>
      </c>
      <c r="E22" s="118">
        <v>10.7</v>
      </c>
      <c r="F22" s="118">
        <v>11.78</v>
      </c>
      <c r="G22" s="118">
        <v>12.5</v>
      </c>
      <c r="H22" s="118">
        <v>12.36</v>
      </c>
      <c r="I22" s="118">
        <v>12.8</v>
      </c>
      <c r="J22" s="118">
        <v>13.58</v>
      </c>
      <c r="K22" s="118">
        <v>12.99</v>
      </c>
      <c r="L22" s="118">
        <v>9</v>
      </c>
      <c r="M22" s="118">
        <v>12.75</v>
      </c>
      <c r="N22" s="118">
        <v>13.86</v>
      </c>
      <c r="O22" s="118">
        <v>13.9</v>
      </c>
      <c r="P22" s="118"/>
      <c r="Q22" s="118"/>
      <c r="R22" s="118"/>
    </row>
    <row r="23" ht="16.5" spans="1:18">
      <c r="A23" s="667" t="s">
        <v>4400</v>
      </c>
      <c r="B23" s="668"/>
      <c r="C23" s="670">
        <v>12.1</v>
      </c>
      <c r="D23" s="118">
        <v>32</v>
      </c>
      <c r="E23" s="118">
        <v>10.8</v>
      </c>
      <c r="F23" s="118">
        <v>13.87</v>
      </c>
      <c r="G23" s="118">
        <v>13.5</v>
      </c>
      <c r="H23" s="118">
        <v>14.92</v>
      </c>
      <c r="I23" s="118">
        <v>11.8</v>
      </c>
      <c r="J23" s="118">
        <v>11.54</v>
      </c>
      <c r="K23" s="118">
        <v>14.56</v>
      </c>
      <c r="L23" s="118">
        <v>9</v>
      </c>
      <c r="M23" s="118">
        <v>13.5</v>
      </c>
      <c r="N23" s="118">
        <v>15.63</v>
      </c>
      <c r="O23" s="118">
        <v>17.1</v>
      </c>
      <c r="P23" s="118"/>
      <c r="Q23" s="118"/>
      <c r="R23" s="118"/>
    </row>
    <row r="24" ht="16.5" spans="1:18">
      <c r="A24" s="667" t="s">
        <v>4401</v>
      </c>
      <c r="B24" s="668"/>
      <c r="C24" s="670">
        <v>11</v>
      </c>
      <c r="D24" s="118">
        <v>32</v>
      </c>
      <c r="E24" s="118">
        <v>11.9</v>
      </c>
      <c r="F24" s="118">
        <v>12</v>
      </c>
      <c r="G24" s="118">
        <v>11.5</v>
      </c>
      <c r="H24" s="118">
        <v>12.83</v>
      </c>
      <c r="I24" s="118">
        <v>14.9</v>
      </c>
      <c r="J24" s="118">
        <v>13.2</v>
      </c>
      <c r="K24" s="118">
        <v>11.02</v>
      </c>
      <c r="L24" s="118">
        <v>12.5</v>
      </c>
      <c r="M24" s="118">
        <v>10</v>
      </c>
      <c r="N24" s="118">
        <v>12.4</v>
      </c>
      <c r="O24" s="118">
        <v>12.8</v>
      </c>
      <c r="P24" s="118"/>
      <c r="Q24" s="118"/>
      <c r="R24" s="118"/>
    </row>
    <row r="25" ht="16.5" spans="1:18">
      <c r="A25" s="671" t="s">
        <v>4402</v>
      </c>
      <c r="B25" s="672"/>
      <c r="C25" s="670">
        <f t="shared" ref="C25:M25" si="1">C22*2.54</f>
        <v>21.59</v>
      </c>
      <c r="D25" s="670">
        <f t="shared" si="1"/>
        <v>88.9</v>
      </c>
      <c r="E25" s="670">
        <f t="shared" si="1"/>
        <v>27.178</v>
      </c>
      <c r="F25" s="670">
        <f t="shared" si="1"/>
        <v>29.9212</v>
      </c>
      <c r="G25" s="670">
        <f t="shared" si="1"/>
        <v>31.75</v>
      </c>
      <c r="H25" s="670">
        <f t="shared" si="1"/>
        <v>31.3944</v>
      </c>
      <c r="I25" s="670">
        <f t="shared" si="1"/>
        <v>32.512</v>
      </c>
      <c r="J25" s="670">
        <f t="shared" si="1"/>
        <v>34.4932</v>
      </c>
      <c r="K25" s="670">
        <f t="shared" si="1"/>
        <v>32.9946</v>
      </c>
      <c r="L25" s="670">
        <f t="shared" si="1"/>
        <v>22.86</v>
      </c>
      <c r="M25" s="670">
        <f t="shared" si="1"/>
        <v>32.385</v>
      </c>
      <c r="N25" s="670">
        <f t="shared" ref="K25:R25" si="2">N22*2.54</f>
        <v>35.2044</v>
      </c>
      <c r="O25" s="670">
        <f t="shared" si="2"/>
        <v>35.306</v>
      </c>
      <c r="P25" s="670">
        <f t="shared" si="2"/>
        <v>0</v>
      </c>
      <c r="Q25" s="670">
        <f t="shared" si="2"/>
        <v>0</v>
      </c>
      <c r="R25" s="670">
        <f t="shared" si="2"/>
        <v>0</v>
      </c>
    </row>
    <row r="26" ht="16.5" spans="1:18">
      <c r="A26" s="671" t="s">
        <v>4403</v>
      </c>
      <c r="B26" s="672"/>
      <c r="C26" s="670">
        <f t="shared" ref="C26:M26" si="3">C23*2.54</f>
        <v>30.734</v>
      </c>
      <c r="D26" s="670">
        <f t="shared" si="3"/>
        <v>81.28</v>
      </c>
      <c r="E26" s="670">
        <f t="shared" si="3"/>
        <v>27.432</v>
      </c>
      <c r="F26" s="670">
        <f t="shared" si="3"/>
        <v>35.2298</v>
      </c>
      <c r="G26" s="670">
        <f t="shared" si="3"/>
        <v>34.29</v>
      </c>
      <c r="H26" s="670">
        <f t="shared" si="3"/>
        <v>37.8968</v>
      </c>
      <c r="I26" s="670">
        <f t="shared" si="3"/>
        <v>29.972</v>
      </c>
      <c r="J26" s="670">
        <f t="shared" si="3"/>
        <v>29.3116</v>
      </c>
      <c r="K26" s="670">
        <f t="shared" si="3"/>
        <v>36.9824</v>
      </c>
      <c r="L26" s="670">
        <f t="shared" si="3"/>
        <v>22.86</v>
      </c>
      <c r="M26" s="670">
        <f t="shared" si="3"/>
        <v>34.29</v>
      </c>
      <c r="N26" s="670">
        <f t="shared" ref="K26:R26" si="4">N23*2.54</f>
        <v>39.7002</v>
      </c>
      <c r="O26" s="670">
        <f t="shared" si="4"/>
        <v>43.434</v>
      </c>
      <c r="P26" s="670">
        <f t="shared" si="4"/>
        <v>0</v>
      </c>
      <c r="Q26" s="670">
        <f t="shared" si="4"/>
        <v>0</v>
      </c>
      <c r="R26" s="670">
        <f t="shared" si="4"/>
        <v>0</v>
      </c>
    </row>
    <row r="27" ht="16.5" spans="1:18">
      <c r="A27" s="671" t="s">
        <v>4404</v>
      </c>
      <c r="B27" s="672"/>
      <c r="C27" s="670">
        <f t="shared" ref="C27:M27" si="5">C24*2.54</f>
        <v>27.94</v>
      </c>
      <c r="D27" s="670">
        <f t="shared" si="5"/>
        <v>81.28</v>
      </c>
      <c r="E27" s="670">
        <f t="shared" si="5"/>
        <v>30.226</v>
      </c>
      <c r="F27" s="670">
        <f t="shared" si="5"/>
        <v>30.48</v>
      </c>
      <c r="G27" s="670">
        <f t="shared" si="5"/>
        <v>29.21</v>
      </c>
      <c r="H27" s="670">
        <f t="shared" si="5"/>
        <v>32.5882</v>
      </c>
      <c r="I27" s="670">
        <f t="shared" si="5"/>
        <v>37.846</v>
      </c>
      <c r="J27" s="670">
        <f t="shared" si="5"/>
        <v>33.528</v>
      </c>
      <c r="K27" s="670">
        <f t="shared" si="5"/>
        <v>27.9908</v>
      </c>
      <c r="L27" s="670">
        <f t="shared" si="5"/>
        <v>31.75</v>
      </c>
      <c r="M27" s="670">
        <f t="shared" si="5"/>
        <v>25.4</v>
      </c>
      <c r="N27" s="670">
        <f t="shared" ref="K27:R27" si="6">N24*2.54</f>
        <v>31.496</v>
      </c>
      <c r="O27" s="670">
        <f t="shared" si="6"/>
        <v>32.512</v>
      </c>
      <c r="P27" s="670">
        <f t="shared" si="6"/>
        <v>0</v>
      </c>
      <c r="Q27" s="670">
        <f t="shared" si="6"/>
        <v>0</v>
      </c>
      <c r="R27" s="670">
        <f t="shared" si="6"/>
        <v>0</v>
      </c>
    </row>
    <row r="28" ht="16.5" spans="1:18">
      <c r="A28" s="660" t="s">
        <v>4405</v>
      </c>
      <c r="B28" s="661"/>
      <c r="C28" s="82">
        <v>10.58</v>
      </c>
      <c r="D28" s="82">
        <v>9</v>
      </c>
      <c r="E28" s="82">
        <v>12</v>
      </c>
      <c r="F28" s="82">
        <v>12.3</v>
      </c>
      <c r="G28" s="82">
        <v>12</v>
      </c>
      <c r="H28" s="82">
        <v>15.77</v>
      </c>
      <c r="I28" s="82">
        <v>14.63</v>
      </c>
      <c r="J28" s="82">
        <v>8.81</v>
      </c>
      <c r="K28" s="82">
        <v>10</v>
      </c>
      <c r="L28" s="82">
        <v>14.6</v>
      </c>
      <c r="M28" s="82">
        <v>12.8</v>
      </c>
      <c r="N28" s="82">
        <v>17.86</v>
      </c>
      <c r="O28" s="82">
        <v>19.8</v>
      </c>
      <c r="P28" s="82"/>
      <c r="Q28" s="82"/>
      <c r="R28" s="82"/>
    </row>
    <row r="29" ht="16.5" spans="1:18">
      <c r="A29" s="660" t="s">
        <v>4406</v>
      </c>
      <c r="B29" s="661"/>
      <c r="C29" s="673">
        <f>C28*0.4535924</f>
        <v>4.799007592</v>
      </c>
      <c r="D29" s="673">
        <f t="shared" ref="D29:O29" si="7">D28*0.454</f>
        <v>4.086</v>
      </c>
      <c r="E29" s="673">
        <f t="shared" si="7"/>
        <v>5.448</v>
      </c>
      <c r="F29" s="673">
        <f t="shared" si="7"/>
        <v>5.5842</v>
      </c>
      <c r="G29" s="673">
        <f t="shared" si="7"/>
        <v>5.448</v>
      </c>
      <c r="H29" s="673">
        <f t="shared" si="7"/>
        <v>7.15958</v>
      </c>
      <c r="I29" s="673">
        <f t="shared" si="7"/>
        <v>6.64202</v>
      </c>
      <c r="J29" s="673">
        <f t="shared" si="7"/>
        <v>3.99974</v>
      </c>
      <c r="K29" s="673">
        <f t="shared" si="7"/>
        <v>4.54</v>
      </c>
      <c r="L29" s="673">
        <f t="shared" si="7"/>
        <v>6.6284</v>
      </c>
      <c r="M29" s="673">
        <f t="shared" si="7"/>
        <v>5.8112</v>
      </c>
      <c r="N29" s="673">
        <f t="shared" si="7"/>
        <v>8.10844</v>
      </c>
      <c r="O29" s="673">
        <f t="shared" si="7"/>
        <v>8.9892</v>
      </c>
      <c r="P29" s="673">
        <f>P28*0.028</f>
        <v>0</v>
      </c>
      <c r="Q29" s="673">
        <f>Q28*0.454</f>
        <v>0</v>
      </c>
      <c r="R29" s="673">
        <f>R28*0.028</f>
        <v>0</v>
      </c>
    </row>
    <row r="30" ht="16.5" spans="1:18">
      <c r="A30" s="656" t="s">
        <v>4407</v>
      </c>
      <c r="B30" s="656"/>
      <c r="C30" s="673">
        <f t="shared" ref="C30:R30" si="8">C29+0.2</f>
        <v>4.999007592</v>
      </c>
      <c r="D30" s="673">
        <f t="shared" si="8"/>
        <v>4.286</v>
      </c>
      <c r="E30" s="673">
        <f t="shared" si="8"/>
        <v>5.648</v>
      </c>
      <c r="F30" s="673">
        <f t="shared" si="8"/>
        <v>5.7842</v>
      </c>
      <c r="G30" s="673">
        <f t="shared" si="8"/>
        <v>5.648</v>
      </c>
      <c r="H30" s="673">
        <f t="shared" si="8"/>
        <v>7.35958</v>
      </c>
      <c r="I30" s="673">
        <f t="shared" si="8"/>
        <v>6.84202</v>
      </c>
      <c r="J30" s="673">
        <f t="shared" si="8"/>
        <v>4.19974</v>
      </c>
      <c r="K30" s="673">
        <f t="shared" si="8"/>
        <v>4.74</v>
      </c>
      <c r="L30" s="673">
        <f t="shared" si="8"/>
        <v>6.8284</v>
      </c>
      <c r="M30" s="673">
        <f t="shared" si="8"/>
        <v>6.0112</v>
      </c>
      <c r="N30" s="673">
        <f t="shared" si="8"/>
        <v>8.30844</v>
      </c>
      <c r="O30" s="673">
        <f t="shared" si="8"/>
        <v>9.1892</v>
      </c>
      <c r="P30" s="673">
        <f t="shared" si="8"/>
        <v>0.2</v>
      </c>
      <c r="Q30" s="673">
        <f t="shared" si="8"/>
        <v>0.2</v>
      </c>
      <c r="R30" s="673">
        <f t="shared" si="8"/>
        <v>0.2</v>
      </c>
    </row>
    <row r="31" ht="16.5" spans="1:18">
      <c r="A31" s="656" t="s">
        <v>3020</v>
      </c>
      <c r="B31" s="656"/>
      <c r="C31" s="674">
        <v>32371</v>
      </c>
      <c r="D31" s="674">
        <v>4127</v>
      </c>
      <c r="E31" s="674">
        <v>19689</v>
      </c>
      <c r="F31" s="674">
        <v>14884</v>
      </c>
      <c r="G31" s="674">
        <v>3318</v>
      </c>
      <c r="H31" s="674">
        <v>12346</v>
      </c>
      <c r="I31" s="674">
        <v>10262</v>
      </c>
      <c r="J31" s="674">
        <v>9059</v>
      </c>
      <c r="K31" s="674">
        <v>2178</v>
      </c>
      <c r="L31" s="674">
        <v>4078</v>
      </c>
      <c r="M31" s="674">
        <v>2714</v>
      </c>
      <c r="N31" s="674">
        <v>6074</v>
      </c>
      <c r="O31" s="674">
        <v>9070</v>
      </c>
      <c r="P31" s="85">
        <v>3360</v>
      </c>
      <c r="Q31" s="85">
        <v>26862</v>
      </c>
      <c r="R31" s="85">
        <v>3762</v>
      </c>
    </row>
    <row r="32" ht="16.5" spans="1:18">
      <c r="A32" s="656" t="s">
        <v>4408</v>
      </c>
      <c r="B32" s="656"/>
      <c r="C32" s="675">
        <f t="shared" ref="C32:R32" si="9">C31/30</f>
        <v>1079.03333333333</v>
      </c>
      <c r="D32" s="675">
        <f t="shared" si="9"/>
        <v>137.566666666667</v>
      </c>
      <c r="E32" s="675">
        <f t="shared" si="9"/>
        <v>656.3</v>
      </c>
      <c r="F32" s="675">
        <f t="shared" si="9"/>
        <v>496.133333333333</v>
      </c>
      <c r="G32" s="675">
        <f t="shared" si="9"/>
        <v>110.6</v>
      </c>
      <c r="H32" s="675">
        <f t="shared" si="9"/>
        <v>411.533333333333</v>
      </c>
      <c r="I32" s="675">
        <f t="shared" si="9"/>
        <v>342.066666666667</v>
      </c>
      <c r="J32" s="675">
        <f t="shared" si="9"/>
        <v>301.966666666667</v>
      </c>
      <c r="K32" s="675">
        <f t="shared" si="9"/>
        <v>72.6</v>
      </c>
      <c r="L32" s="675">
        <f t="shared" si="9"/>
        <v>135.933333333333</v>
      </c>
      <c r="M32" s="675">
        <f t="shared" si="9"/>
        <v>90.4666666666667</v>
      </c>
      <c r="N32" s="675">
        <f t="shared" si="9"/>
        <v>202.466666666667</v>
      </c>
      <c r="O32" s="675">
        <f t="shared" si="9"/>
        <v>302.333333333333</v>
      </c>
      <c r="P32" s="676">
        <f t="shared" si="9"/>
        <v>112</v>
      </c>
      <c r="Q32" s="676">
        <f t="shared" si="9"/>
        <v>895.4</v>
      </c>
      <c r="R32" s="676">
        <f t="shared" si="9"/>
        <v>125.4</v>
      </c>
    </row>
    <row r="33" ht="16.5" spans="1:18">
      <c r="A33" s="660" t="s">
        <v>4409</v>
      </c>
      <c r="B33" s="661"/>
      <c r="C33" s="665">
        <f t="shared" ref="C33:M33" si="10">C20*C31</f>
        <v>3236776.29</v>
      </c>
      <c r="D33" s="665">
        <f t="shared" si="10"/>
        <v>330118.73</v>
      </c>
      <c r="E33" s="665">
        <f t="shared" si="10"/>
        <v>1968703.11</v>
      </c>
      <c r="F33" s="665">
        <f t="shared" si="10"/>
        <v>1934771.16</v>
      </c>
      <c r="G33" s="665">
        <f t="shared" si="10"/>
        <v>204421.98</v>
      </c>
      <c r="H33" s="665">
        <f t="shared" si="10"/>
        <v>1580164.54</v>
      </c>
      <c r="I33" s="665">
        <f t="shared" si="10"/>
        <v>1436166.9</v>
      </c>
      <c r="J33" s="665">
        <f t="shared" si="10"/>
        <v>574612.37</v>
      </c>
      <c r="K33" s="665">
        <f t="shared" si="10"/>
        <v>174218.22</v>
      </c>
      <c r="L33" s="665">
        <f t="shared" si="10"/>
        <v>359231.02</v>
      </c>
      <c r="M33" s="665">
        <f t="shared" si="10"/>
        <v>271372.86</v>
      </c>
      <c r="N33" s="665">
        <f t="shared" ref="K33:R33" si="11">N20*N31</f>
        <v>971779.26</v>
      </c>
      <c r="O33" s="665">
        <f t="shared" si="11"/>
        <v>1632509.3</v>
      </c>
      <c r="P33" s="665">
        <f t="shared" si="11"/>
        <v>0</v>
      </c>
      <c r="Q33" s="665">
        <f t="shared" si="11"/>
        <v>0</v>
      </c>
      <c r="R33" s="665">
        <f t="shared" si="11"/>
        <v>0</v>
      </c>
    </row>
    <row r="34" ht="16.5" spans="1:18">
      <c r="A34" s="656" t="s">
        <v>4410</v>
      </c>
      <c r="B34" s="656"/>
      <c r="C34" s="83" t="s">
        <v>4411</v>
      </c>
      <c r="D34" s="83" t="s">
        <v>4412</v>
      </c>
      <c r="E34" s="83" t="s">
        <v>4413</v>
      </c>
      <c r="F34" s="83" t="s">
        <v>4414</v>
      </c>
      <c r="G34" s="83" t="s">
        <v>4415</v>
      </c>
      <c r="H34" s="83" t="s">
        <v>4416</v>
      </c>
      <c r="I34" s="83" t="s">
        <v>4417</v>
      </c>
      <c r="J34" s="83" t="s">
        <v>4418</v>
      </c>
      <c r="K34" s="83" t="s">
        <v>4419</v>
      </c>
      <c r="L34" s="83" t="s">
        <v>4420</v>
      </c>
      <c r="M34" s="83" t="s">
        <v>4421</v>
      </c>
      <c r="N34" s="83" t="s">
        <v>4422</v>
      </c>
      <c r="O34" s="83" t="s">
        <v>4423</v>
      </c>
      <c r="P34" s="83"/>
      <c r="Q34" s="83"/>
      <c r="R34" s="83"/>
    </row>
    <row r="35" ht="16.5" spans="1:18">
      <c r="A35" s="677" t="s">
        <v>4424</v>
      </c>
      <c r="B35" s="678"/>
      <c r="C35" s="88">
        <v>2</v>
      </c>
      <c r="D35" s="88">
        <v>5</v>
      </c>
      <c r="E35" s="88">
        <v>4</v>
      </c>
      <c r="F35" s="88">
        <v>3</v>
      </c>
      <c r="G35" s="88">
        <v>2</v>
      </c>
      <c r="H35" s="88">
        <v>6</v>
      </c>
      <c r="I35" s="88">
        <v>5</v>
      </c>
      <c r="J35" s="88">
        <v>3</v>
      </c>
      <c r="K35" s="88">
        <v>3</v>
      </c>
      <c r="L35" s="88">
        <v>1</v>
      </c>
      <c r="M35" s="88">
        <v>3</v>
      </c>
      <c r="N35" s="88">
        <v>2</v>
      </c>
      <c r="O35" s="88">
        <v>2</v>
      </c>
      <c r="P35" s="88"/>
      <c r="Q35" s="88"/>
      <c r="R35" s="88"/>
    </row>
    <row r="36" ht="16.5" spans="1:18">
      <c r="A36" s="656" t="s">
        <v>4425</v>
      </c>
      <c r="B36" s="656"/>
      <c r="C36" s="665">
        <v>18.55</v>
      </c>
      <c r="D36" s="665">
        <v>16.87</v>
      </c>
      <c r="E36" s="665">
        <v>18.55</v>
      </c>
      <c r="F36" s="665">
        <v>18.97</v>
      </c>
      <c r="G36" s="665">
        <v>22.75</v>
      </c>
      <c r="H36" s="665">
        <v>21.07</v>
      </c>
      <c r="I36" s="665">
        <v>19.81</v>
      </c>
      <c r="J36" s="665">
        <v>17.71</v>
      </c>
      <c r="K36" s="665">
        <v>20.65</v>
      </c>
      <c r="L36" s="665">
        <v>20.23</v>
      </c>
      <c r="M36" s="665">
        <v>20.65</v>
      </c>
      <c r="N36" s="665">
        <v>22.33</v>
      </c>
      <c r="O36" s="665">
        <v>26.11</v>
      </c>
      <c r="P36" s="665"/>
      <c r="Q36" s="665"/>
      <c r="R36" s="665"/>
    </row>
    <row r="37" ht="16.5" spans="1:18">
      <c r="A37" s="656" t="s">
        <v>4426</v>
      </c>
      <c r="B37" s="656"/>
      <c r="C37" s="82" t="s">
        <v>2809</v>
      </c>
      <c r="D37" s="82" t="s">
        <v>4427</v>
      </c>
      <c r="E37" s="82" t="s">
        <v>2824</v>
      </c>
      <c r="F37" s="82" t="s">
        <v>2809</v>
      </c>
      <c r="G37" s="82" t="s">
        <v>2809</v>
      </c>
      <c r="H37" s="82" t="s">
        <v>2832</v>
      </c>
      <c r="I37" s="82" t="s">
        <v>2809</v>
      </c>
      <c r="J37" s="82" t="s">
        <v>2809</v>
      </c>
      <c r="K37" s="82" t="s">
        <v>2986</v>
      </c>
      <c r="L37" s="82" t="s">
        <v>2809</v>
      </c>
      <c r="M37" s="82" t="s">
        <v>2852</v>
      </c>
      <c r="N37" s="82" t="s">
        <v>2824</v>
      </c>
      <c r="O37" s="82" t="s">
        <v>2824</v>
      </c>
      <c r="P37" s="82"/>
      <c r="Q37" s="82"/>
      <c r="R37" s="82"/>
    </row>
    <row r="38" ht="16.5" spans="1:18">
      <c r="A38" s="660" t="s">
        <v>4428</v>
      </c>
      <c r="B38" s="661"/>
      <c r="C38" s="82" t="s">
        <v>4429</v>
      </c>
      <c r="D38" s="82" t="s">
        <v>4429</v>
      </c>
      <c r="E38" s="679" t="s">
        <v>4430</v>
      </c>
      <c r="F38" s="679" t="s">
        <v>4431</v>
      </c>
      <c r="G38" s="82" t="s">
        <v>4429</v>
      </c>
      <c r="H38" s="82" t="s">
        <v>4432</v>
      </c>
      <c r="I38" s="82" t="s">
        <v>2846</v>
      </c>
      <c r="J38" s="82" t="s">
        <v>4429</v>
      </c>
      <c r="K38" s="82" t="s">
        <v>2819</v>
      </c>
      <c r="L38" s="82" t="s">
        <v>2846</v>
      </c>
      <c r="M38" s="82" t="s">
        <v>4432</v>
      </c>
      <c r="N38" s="82" t="s">
        <v>4433</v>
      </c>
      <c r="O38" s="82" t="s">
        <v>4433</v>
      </c>
      <c r="P38" s="82"/>
      <c r="Q38" s="82"/>
      <c r="R38" s="82"/>
    </row>
    <row r="39" ht="15" spans="1:18">
      <c r="A39" s="653" t="s">
        <v>4434</v>
      </c>
      <c r="B39" s="654"/>
      <c r="C39" s="654"/>
      <c r="D39" s="654"/>
      <c r="E39" s="654"/>
      <c r="F39" s="654"/>
      <c r="G39" s="654"/>
      <c r="H39" s="654"/>
      <c r="I39" s="654"/>
      <c r="J39" s="654"/>
      <c r="K39" s="654"/>
      <c r="L39" s="654"/>
      <c r="M39" s="654"/>
      <c r="N39" s="654"/>
      <c r="O39" s="654"/>
      <c r="P39" s="654"/>
      <c r="Q39" s="654"/>
      <c r="R39" s="655"/>
    </row>
    <row r="40" ht="16.5" spans="1:18">
      <c r="A40" s="680" t="s">
        <v>4435</v>
      </c>
      <c r="B40" s="680"/>
      <c r="C40" s="82" t="s">
        <v>4348</v>
      </c>
      <c r="D40" s="82" t="s">
        <v>4348</v>
      </c>
      <c r="E40" s="82" t="s">
        <v>4349</v>
      </c>
      <c r="F40" s="82" t="s">
        <v>2847</v>
      </c>
      <c r="G40" s="82" t="s">
        <v>2847</v>
      </c>
      <c r="H40" s="82" t="s">
        <v>4350</v>
      </c>
      <c r="I40" s="82" t="s">
        <v>4350</v>
      </c>
      <c r="J40" s="82" t="s">
        <v>4350</v>
      </c>
      <c r="K40" s="82" t="s">
        <v>4351</v>
      </c>
      <c r="L40" s="82" t="s">
        <v>2872</v>
      </c>
      <c r="M40" s="82" t="s">
        <v>4352</v>
      </c>
      <c r="N40" s="82" t="s">
        <v>4352</v>
      </c>
      <c r="O40" s="82" t="s">
        <v>4353</v>
      </c>
      <c r="P40" s="82"/>
      <c r="Q40" s="82"/>
      <c r="R40" s="82"/>
    </row>
    <row r="41" ht="16" customHeight="1" spans="1:18">
      <c r="A41" s="681" t="s">
        <v>4436</v>
      </c>
      <c r="B41" s="682"/>
      <c r="C41" s="82" t="s">
        <v>4437</v>
      </c>
      <c r="D41" s="82" t="s">
        <v>4437</v>
      </c>
      <c r="E41" s="82" t="s">
        <v>4437</v>
      </c>
      <c r="F41" s="82" t="s">
        <v>4437</v>
      </c>
      <c r="G41" s="82" t="s">
        <v>4437</v>
      </c>
      <c r="H41" s="82" t="s">
        <v>4437</v>
      </c>
      <c r="I41" s="82" t="s">
        <v>4437</v>
      </c>
      <c r="J41" s="82" t="s">
        <v>4437</v>
      </c>
      <c r="K41" s="82" t="s">
        <v>4437</v>
      </c>
      <c r="L41" s="82" t="s">
        <v>4437</v>
      </c>
      <c r="M41" s="82" t="s">
        <v>4437</v>
      </c>
      <c r="N41" s="82" t="s">
        <v>4437</v>
      </c>
      <c r="O41" s="82" t="s">
        <v>4437</v>
      </c>
      <c r="P41" s="82"/>
      <c r="Q41" s="82"/>
      <c r="R41" s="82"/>
    </row>
    <row r="42" ht="16.5" spans="1:18">
      <c r="A42" s="680" t="s">
        <v>2798</v>
      </c>
      <c r="B42" s="680"/>
      <c r="C42" s="662" t="s">
        <v>2814</v>
      </c>
      <c r="D42" s="662" t="s">
        <v>2814</v>
      </c>
      <c r="E42" s="662" t="s">
        <v>2828</v>
      </c>
      <c r="F42" s="662" t="s">
        <v>2844</v>
      </c>
      <c r="G42" s="662" t="s">
        <v>2844</v>
      </c>
      <c r="H42" s="662" t="s">
        <v>2828</v>
      </c>
      <c r="I42" s="662" t="s">
        <v>2844</v>
      </c>
      <c r="J42" s="662" t="s">
        <v>2828</v>
      </c>
      <c r="K42" s="662" t="s">
        <v>2844</v>
      </c>
      <c r="L42" s="662" t="s">
        <v>3417</v>
      </c>
      <c r="M42" s="662" t="s">
        <v>2844</v>
      </c>
      <c r="N42" s="662" t="s">
        <v>2856</v>
      </c>
      <c r="O42" s="662" t="s">
        <v>2856</v>
      </c>
      <c r="P42" s="82"/>
      <c r="Q42" s="82"/>
      <c r="R42" s="82"/>
    </row>
    <row r="43" ht="16.5" spans="1:18">
      <c r="A43" s="681" t="s">
        <v>4428</v>
      </c>
      <c r="B43" s="682"/>
      <c r="C43" s="82" t="str">
        <f t="shared" ref="C43:P43" si="12">C38</f>
        <v>不粘陶瓷+塑料</v>
      </c>
      <c r="D43" s="82" t="str">
        <f t="shared" si="12"/>
        <v>不粘陶瓷+塑料</v>
      </c>
      <c r="E43" s="82" t="str">
        <f t="shared" si="12"/>
        <v>不粘陶瓷+塑料+钢化玻璃</v>
      </c>
      <c r="F43" s="82" t="str">
        <f t="shared" si="12"/>
        <v>铝+塑料+不锈钢+不粘陶瓷</v>
      </c>
      <c r="G43" s="82" t="str">
        <f t="shared" si="12"/>
        <v>不粘陶瓷+塑料</v>
      </c>
      <c r="H43" s="82" t="str">
        <f t="shared" si="12"/>
        <v>不沾陶瓷+不锈钢+塑料</v>
      </c>
      <c r="I43" s="82" t="str">
        <f t="shared" si="12"/>
        <v>不沾陶瓷+钢化玻璃+塑料</v>
      </c>
      <c r="J43" s="82" t="str">
        <f t="shared" si="12"/>
        <v>不粘陶瓷+塑料</v>
      </c>
      <c r="K43" s="82" t="str">
        <f t="shared" si="12"/>
        <v>不沾陶瓷+塑料</v>
      </c>
      <c r="L43" s="82" t="str">
        <f t="shared" si="12"/>
        <v>不沾陶瓷+钢化玻璃+塑料</v>
      </c>
      <c r="M43" s="82" t="str">
        <f t="shared" si="12"/>
        <v>不沾陶瓷+不锈钢+塑料</v>
      </c>
      <c r="N43" s="82" t="str">
        <f t="shared" si="12"/>
        <v>不锈钢+铝+塑料</v>
      </c>
      <c r="O43" s="82" t="str">
        <f t="shared" si="12"/>
        <v>不锈钢+铝+塑料</v>
      </c>
      <c r="P43" s="82">
        <f t="shared" si="12"/>
        <v>0</v>
      </c>
      <c r="Q43" s="82"/>
      <c r="R43" s="82"/>
    </row>
    <row r="44" ht="16.5" spans="1:18">
      <c r="A44" s="680" t="s">
        <v>4426</v>
      </c>
      <c r="B44" s="680"/>
      <c r="C44" s="82" t="str">
        <f t="shared" ref="C44:P44" si="13">C37</f>
        <v>黑色</v>
      </c>
      <c r="D44" s="82" t="str">
        <f t="shared" si="13"/>
        <v>鼠尾草绿</v>
      </c>
      <c r="E44" s="82" t="str">
        <f t="shared" si="13"/>
        <v>灰色</v>
      </c>
      <c r="F44" s="82" t="str">
        <f t="shared" si="13"/>
        <v>黑色</v>
      </c>
      <c r="G44" s="82" t="str">
        <f t="shared" si="13"/>
        <v>黑色</v>
      </c>
      <c r="H44" s="82" t="str">
        <f t="shared" si="13"/>
        <v>银配黑</v>
      </c>
      <c r="I44" s="82" t="str">
        <f t="shared" si="13"/>
        <v>黑色</v>
      </c>
      <c r="J44" s="82" t="str">
        <f t="shared" si="13"/>
        <v>黑色</v>
      </c>
      <c r="K44" s="82" t="str">
        <f t="shared" si="13"/>
        <v>白色</v>
      </c>
      <c r="L44" s="82" t="str">
        <f t="shared" si="13"/>
        <v>黑色</v>
      </c>
      <c r="M44" s="82" t="str">
        <f t="shared" si="13"/>
        <v>银色</v>
      </c>
      <c r="N44" s="82" t="str">
        <f t="shared" si="13"/>
        <v>灰色</v>
      </c>
      <c r="O44" s="82" t="str">
        <f t="shared" si="13"/>
        <v>灰色</v>
      </c>
      <c r="P44" s="82">
        <f t="shared" si="13"/>
        <v>0</v>
      </c>
      <c r="Q44" s="82"/>
      <c r="R44" s="82"/>
    </row>
    <row r="45" ht="16.5" spans="1:18">
      <c r="A45" s="680" t="s">
        <v>4438</v>
      </c>
      <c r="B45" s="680"/>
      <c r="C45" s="82" t="s">
        <v>2813</v>
      </c>
      <c r="D45" s="82" t="s">
        <v>2827</v>
      </c>
      <c r="E45" s="82" t="s">
        <v>2827</v>
      </c>
      <c r="F45" s="82" t="s">
        <v>2849</v>
      </c>
      <c r="G45" s="82" t="s">
        <v>2878</v>
      </c>
      <c r="H45" s="82" t="s">
        <v>2843</v>
      </c>
      <c r="I45" s="82" t="s">
        <v>2843</v>
      </c>
      <c r="J45" s="82" t="s">
        <v>2849</v>
      </c>
      <c r="K45" s="82" t="s">
        <v>2849</v>
      </c>
      <c r="L45" s="82" t="s">
        <v>2894</v>
      </c>
      <c r="M45" s="82" t="s">
        <v>2813</v>
      </c>
      <c r="N45" s="82" t="s">
        <v>2843</v>
      </c>
      <c r="O45" s="82" t="s">
        <v>2843</v>
      </c>
      <c r="P45" s="82"/>
      <c r="Q45" s="82"/>
      <c r="R45" s="82"/>
    </row>
    <row r="46" ht="16.5" spans="1:18">
      <c r="A46" s="680" t="s">
        <v>4439</v>
      </c>
      <c r="B46" s="680"/>
      <c r="C46" s="662" t="s">
        <v>4440</v>
      </c>
      <c r="D46" s="662" t="s">
        <v>4441</v>
      </c>
      <c r="E46" s="662" t="s">
        <v>4442</v>
      </c>
      <c r="F46" s="662" t="s">
        <v>4443</v>
      </c>
      <c r="G46" s="662" t="s">
        <v>4444</v>
      </c>
      <c r="H46" s="662" t="s">
        <v>4445</v>
      </c>
      <c r="I46" s="662" t="s">
        <v>4446</v>
      </c>
      <c r="J46" s="662" t="s">
        <v>4445</v>
      </c>
      <c r="K46" s="662" t="s">
        <v>4445</v>
      </c>
      <c r="L46" s="662" t="s">
        <v>4447</v>
      </c>
      <c r="M46" s="662" t="s">
        <v>4440</v>
      </c>
      <c r="N46" s="662" t="s">
        <v>4440</v>
      </c>
      <c r="O46" s="662" t="s">
        <v>4448</v>
      </c>
      <c r="P46" s="662" t="s">
        <v>4449</v>
      </c>
      <c r="Q46" s="82"/>
      <c r="R46" s="82"/>
    </row>
    <row r="47" ht="16.5" spans="1:18">
      <c r="A47" s="681" t="s">
        <v>4450</v>
      </c>
      <c r="B47" s="682"/>
      <c r="C47" s="662" t="s">
        <v>4451</v>
      </c>
      <c r="D47" s="662" t="s">
        <v>4451</v>
      </c>
      <c r="E47" s="662" t="s">
        <v>4451</v>
      </c>
      <c r="F47" s="662" t="s">
        <v>4451</v>
      </c>
      <c r="G47" s="662" t="s">
        <v>4451</v>
      </c>
      <c r="H47" s="662" t="s">
        <v>4451</v>
      </c>
      <c r="I47" s="662" t="s">
        <v>4451</v>
      </c>
      <c r="J47" s="662" t="s">
        <v>4452</v>
      </c>
      <c r="K47" s="662" t="s">
        <v>4451</v>
      </c>
      <c r="L47" s="662" t="s">
        <v>4451</v>
      </c>
      <c r="M47" s="662" t="s">
        <v>4451</v>
      </c>
      <c r="N47" s="662" t="s">
        <v>4451</v>
      </c>
      <c r="O47" s="662" t="s">
        <v>4453</v>
      </c>
      <c r="P47" s="662" t="s">
        <v>4454</v>
      </c>
      <c r="Q47" s="82"/>
      <c r="R47" s="82"/>
    </row>
    <row r="48" ht="16.5" spans="1:18">
      <c r="A48" s="681" t="s">
        <v>2796</v>
      </c>
      <c r="B48" s="682"/>
      <c r="C48" s="662" t="s">
        <v>2812</v>
      </c>
      <c r="D48" s="662" t="s">
        <v>2812</v>
      </c>
      <c r="E48" s="662" t="s">
        <v>2812</v>
      </c>
      <c r="F48" s="662" t="s">
        <v>2812</v>
      </c>
      <c r="G48" s="662" t="s">
        <v>2812</v>
      </c>
      <c r="H48" s="662" t="s">
        <v>2812</v>
      </c>
      <c r="I48" s="662" t="s">
        <v>2812</v>
      </c>
      <c r="J48" s="662" t="s">
        <v>2812</v>
      </c>
      <c r="K48" s="662" t="s">
        <v>2812</v>
      </c>
      <c r="L48" s="662" t="s">
        <v>2812</v>
      </c>
      <c r="M48" s="82" t="s">
        <v>2812</v>
      </c>
      <c r="N48" s="82" t="s">
        <v>2855</v>
      </c>
      <c r="O48" s="82" t="s">
        <v>2855</v>
      </c>
      <c r="P48" s="82"/>
      <c r="Q48" s="82"/>
      <c r="R48" s="82"/>
    </row>
    <row r="49" ht="16.5" spans="1:18">
      <c r="A49" s="681" t="s">
        <v>2795</v>
      </c>
      <c r="B49" s="682"/>
      <c r="C49" s="662" t="s">
        <v>64</v>
      </c>
      <c r="D49" s="662" t="s">
        <v>64</v>
      </c>
      <c r="E49" s="662" t="s">
        <v>64</v>
      </c>
      <c r="F49" s="662" t="s">
        <v>64</v>
      </c>
      <c r="G49" s="662" t="s">
        <v>64</v>
      </c>
      <c r="H49" s="662" t="s">
        <v>64</v>
      </c>
      <c r="I49" s="662" t="s">
        <v>64</v>
      </c>
      <c r="J49" s="662" t="s">
        <v>64</v>
      </c>
      <c r="K49" s="662" t="s">
        <v>64</v>
      </c>
      <c r="L49" s="662" t="s">
        <v>64</v>
      </c>
      <c r="M49" s="662" t="s">
        <v>64</v>
      </c>
      <c r="N49" s="662" t="s">
        <v>64</v>
      </c>
      <c r="O49" s="662" t="s">
        <v>64</v>
      </c>
      <c r="P49" s="662"/>
      <c r="Q49" s="82"/>
      <c r="R49" s="82"/>
    </row>
    <row r="50" ht="16.5" spans="1:18">
      <c r="A50" s="681" t="s">
        <v>2801</v>
      </c>
      <c r="B50" s="682"/>
      <c r="C50" s="82" t="s">
        <v>2817</v>
      </c>
      <c r="D50" s="82" t="s">
        <v>2817</v>
      </c>
      <c r="E50" s="82" t="s">
        <v>2817</v>
      </c>
      <c r="F50" s="82" t="s">
        <v>2817</v>
      </c>
      <c r="G50" s="82" t="s">
        <v>2817</v>
      </c>
      <c r="H50" s="82" t="s">
        <v>2817</v>
      </c>
      <c r="I50" s="82" t="s">
        <v>2817</v>
      </c>
      <c r="J50" s="82" t="s">
        <v>2817</v>
      </c>
      <c r="K50" s="82" t="s">
        <v>2817</v>
      </c>
      <c r="L50" s="82" t="s">
        <v>2817</v>
      </c>
      <c r="M50" s="82" t="s">
        <v>2817</v>
      </c>
      <c r="N50" s="82" t="s">
        <v>2817</v>
      </c>
      <c r="O50" s="82" t="s">
        <v>2817</v>
      </c>
      <c r="P50" s="82"/>
      <c r="Q50" s="82"/>
      <c r="R50" s="82"/>
    </row>
    <row r="51" ht="16.5" spans="1:18">
      <c r="A51" s="681" t="s">
        <v>2800</v>
      </c>
      <c r="B51" s="682"/>
      <c r="C51" s="82" t="s">
        <v>2816</v>
      </c>
      <c r="D51" s="82" t="s">
        <v>2816</v>
      </c>
      <c r="E51" s="82" t="s">
        <v>2816</v>
      </c>
      <c r="F51" s="82" t="s">
        <v>2816</v>
      </c>
      <c r="G51" s="82" t="s">
        <v>2816</v>
      </c>
      <c r="H51" s="82" t="s">
        <v>2816</v>
      </c>
      <c r="I51" s="82" t="s">
        <v>2817</v>
      </c>
      <c r="J51" s="82" t="s">
        <v>2816</v>
      </c>
      <c r="K51" s="82" t="s">
        <v>2816</v>
      </c>
      <c r="L51" s="82" t="s">
        <v>2816</v>
      </c>
      <c r="M51" s="82" t="s">
        <v>2816</v>
      </c>
      <c r="N51" s="82" t="s">
        <v>2816</v>
      </c>
      <c r="O51" s="82" t="s">
        <v>2816</v>
      </c>
      <c r="P51" s="82"/>
      <c r="Q51" s="82"/>
      <c r="R51" s="82"/>
    </row>
    <row r="52" ht="16.5" spans="1:18">
      <c r="A52" s="681" t="s">
        <v>2802</v>
      </c>
      <c r="B52" s="682"/>
      <c r="C52" s="662" t="s">
        <v>2816</v>
      </c>
      <c r="D52" s="662" t="s">
        <v>2816</v>
      </c>
      <c r="E52" s="662" t="s">
        <v>2817</v>
      </c>
      <c r="F52" s="662" t="s">
        <v>2816</v>
      </c>
      <c r="G52" s="662" t="s">
        <v>2816</v>
      </c>
      <c r="H52" s="662" t="s">
        <v>2817</v>
      </c>
      <c r="I52" s="662" t="s">
        <v>2817</v>
      </c>
      <c r="J52" s="662" t="s">
        <v>2816</v>
      </c>
      <c r="K52" s="662" t="s">
        <v>2816</v>
      </c>
      <c r="L52" s="662" t="s">
        <v>2817</v>
      </c>
      <c r="M52" s="662" t="s">
        <v>2816</v>
      </c>
      <c r="N52" s="662" t="s">
        <v>2816</v>
      </c>
      <c r="O52" s="662" t="s">
        <v>2816</v>
      </c>
      <c r="P52" s="662" t="s">
        <v>2817</v>
      </c>
      <c r="Q52" s="82"/>
      <c r="R52" s="82"/>
    </row>
    <row r="53" ht="16.5" spans="1:18">
      <c r="A53" s="681" t="s">
        <v>4455</v>
      </c>
      <c r="B53" s="682"/>
      <c r="C53" s="662" t="s">
        <v>2817</v>
      </c>
      <c r="D53" s="662" t="s">
        <v>2817</v>
      </c>
      <c r="E53" s="662" t="s">
        <v>2817</v>
      </c>
      <c r="F53" s="662" t="s">
        <v>2817</v>
      </c>
      <c r="G53" s="662" t="s">
        <v>2817</v>
      </c>
      <c r="H53" s="662" t="s">
        <v>2817</v>
      </c>
      <c r="I53" s="662" t="s">
        <v>2817</v>
      </c>
      <c r="J53" s="662" t="s">
        <v>2817</v>
      </c>
      <c r="K53" s="662" t="s">
        <v>2817</v>
      </c>
      <c r="L53" s="662" t="s">
        <v>2817</v>
      </c>
      <c r="M53" s="662" t="s">
        <v>2817</v>
      </c>
      <c r="N53" s="662" t="s">
        <v>2817</v>
      </c>
      <c r="O53" s="662" t="s">
        <v>2817</v>
      </c>
      <c r="P53" s="662" t="s">
        <v>2817</v>
      </c>
      <c r="Q53" s="82"/>
      <c r="R53" s="82"/>
    </row>
    <row r="54" ht="16.5" spans="1:18">
      <c r="A54" s="681" t="s">
        <v>2803</v>
      </c>
      <c r="B54" s="682"/>
      <c r="C54" s="662" t="s">
        <v>2818</v>
      </c>
      <c r="D54" s="662" t="s">
        <v>2818</v>
      </c>
      <c r="E54" s="662" t="s">
        <v>2818</v>
      </c>
      <c r="F54" s="662" t="s">
        <v>2818</v>
      </c>
      <c r="G54" s="662" t="s">
        <v>2818</v>
      </c>
      <c r="H54" s="662" t="s">
        <v>4456</v>
      </c>
      <c r="I54" s="662" t="s">
        <v>4456</v>
      </c>
      <c r="J54" s="662" t="s">
        <v>2818</v>
      </c>
      <c r="K54" s="662" t="s">
        <v>2818</v>
      </c>
      <c r="L54" s="662" t="s">
        <v>4457</v>
      </c>
      <c r="M54" s="662" t="s">
        <v>2818</v>
      </c>
      <c r="N54" s="662" t="s">
        <v>2818</v>
      </c>
      <c r="O54" s="662" t="s">
        <v>2818</v>
      </c>
      <c r="P54" s="662" t="s">
        <v>4457</v>
      </c>
      <c r="Q54" s="82"/>
      <c r="R54" s="82"/>
    </row>
    <row r="55" ht="33" spans="1:18">
      <c r="A55" s="680" t="s">
        <v>4458</v>
      </c>
      <c r="B55" s="680"/>
      <c r="C55" s="82" t="s">
        <v>4459</v>
      </c>
      <c r="D55" s="82" t="s">
        <v>4460</v>
      </c>
      <c r="E55" s="82" t="s">
        <v>4461</v>
      </c>
      <c r="F55" s="82" t="s">
        <v>4462</v>
      </c>
      <c r="G55" s="82" t="s">
        <v>4463</v>
      </c>
      <c r="H55" s="82" t="s">
        <v>4464</v>
      </c>
      <c r="I55" s="82" t="s">
        <v>4465</v>
      </c>
      <c r="J55" s="82" t="s">
        <v>4466</v>
      </c>
      <c r="K55" s="82" t="s">
        <v>4467</v>
      </c>
      <c r="L55" s="82" t="s">
        <v>4468</v>
      </c>
      <c r="M55" s="82" t="s">
        <v>4469</v>
      </c>
      <c r="N55" s="82" t="s">
        <v>4470</v>
      </c>
      <c r="O55" s="82" t="s">
        <v>2777</v>
      </c>
      <c r="P55" s="82"/>
      <c r="Q55" s="82"/>
      <c r="R55" s="82"/>
    </row>
    <row r="56" ht="36" customHeight="1" spans="1:18">
      <c r="A56" s="680" t="s">
        <v>4471</v>
      </c>
      <c r="B56" s="680"/>
      <c r="C56" s="82" t="s">
        <v>4472</v>
      </c>
      <c r="D56" s="82" t="s">
        <v>4473</v>
      </c>
      <c r="E56" s="82" t="s">
        <v>4474</v>
      </c>
      <c r="F56" s="82" t="s">
        <v>4475</v>
      </c>
      <c r="G56" s="82" t="s">
        <v>4476</v>
      </c>
      <c r="H56" s="82" t="s">
        <v>4477</v>
      </c>
      <c r="I56" s="82" t="s">
        <v>4478</v>
      </c>
      <c r="J56" s="82" t="s">
        <v>4479</v>
      </c>
      <c r="K56" s="82" t="s">
        <v>4480</v>
      </c>
      <c r="L56" s="82" t="s">
        <v>4481</v>
      </c>
      <c r="M56" s="82" t="s">
        <v>4482</v>
      </c>
      <c r="N56" s="82" t="s">
        <v>4483</v>
      </c>
      <c r="O56" s="82" t="s">
        <v>4484</v>
      </c>
      <c r="P56" s="82"/>
      <c r="Q56" s="82"/>
      <c r="R56" s="82"/>
    </row>
    <row r="57" ht="66" spans="1:18">
      <c r="A57" s="681" t="s">
        <v>4485</v>
      </c>
      <c r="B57" s="682"/>
      <c r="C57" s="82" t="s">
        <v>4486</v>
      </c>
      <c r="D57" s="82" t="s">
        <v>4487</v>
      </c>
      <c r="E57" s="82" t="s">
        <v>4488</v>
      </c>
      <c r="F57" s="82" t="s">
        <v>4489</v>
      </c>
      <c r="G57" s="82" t="s">
        <v>4490</v>
      </c>
      <c r="H57" s="82" t="s">
        <v>4491</v>
      </c>
      <c r="I57" s="82" t="s">
        <v>4491</v>
      </c>
      <c r="J57" s="82" t="s">
        <v>4492</v>
      </c>
      <c r="K57" s="82" t="s">
        <v>4493</v>
      </c>
      <c r="L57" s="82" t="s">
        <v>4494</v>
      </c>
      <c r="M57" s="82" t="s">
        <v>4495</v>
      </c>
      <c r="N57" s="82" t="s">
        <v>4496</v>
      </c>
      <c r="O57" s="82" t="s">
        <v>4496</v>
      </c>
      <c r="P57" s="82"/>
      <c r="Q57" s="82"/>
      <c r="R57" s="82"/>
    </row>
    <row r="58" ht="117" customHeight="1" spans="1:18">
      <c r="A58" s="680" t="s">
        <v>4497</v>
      </c>
      <c r="B58" s="680"/>
      <c r="C58" s="82" t="s">
        <v>4498</v>
      </c>
      <c r="D58" s="82" t="s">
        <v>4499</v>
      </c>
      <c r="E58" s="82" t="s">
        <v>4499</v>
      </c>
      <c r="F58" s="82" t="s">
        <v>4500</v>
      </c>
      <c r="G58" s="82" t="s">
        <v>4501</v>
      </c>
      <c r="H58" s="82" t="s">
        <v>4502</v>
      </c>
      <c r="I58" s="82" t="s">
        <v>4502</v>
      </c>
      <c r="J58" s="82" t="s">
        <v>4503</v>
      </c>
      <c r="K58" s="82" t="s">
        <v>4504</v>
      </c>
      <c r="L58" s="82" t="s">
        <v>4505</v>
      </c>
      <c r="M58" s="82" t="s">
        <v>4506</v>
      </c>
      <c r="N58" s="82" t="s">
        <v>4507</v>
      </c>
      <c r="O58" s="82" t="s">
        <v>4508</v>
      </c>
      <c r="P58" s="82"/>
      <c r="Q58" s="82"/>
      <c r="R58" s="82"/>
    </row>
    <row r="59" ht="33" spans="1:18">
      <c r="A59" s="680" t="s">
        <v>4509</v>
      </c>
      <c r="B59" s="680"/>
      <c r="C59" s="82" t="s">
        <v>4510</v>
      </c>
      <c r="D59" s="82" t="s">
        <v>4511</v>
      </c>
      <c r="E59" s="82" t="s">
        <v>4512</v>
      </c>
      <c r="F59" s="82" t="s">
        <v>4512</v>
      </c>
      <c r="G59" s="82" t="s">
        <v>4512</v>
      </c>
      <c r="H59" s="82" t="s">
        <v>4512</v>
      </c>
      <c r="I59" s="82" t="s">
        <v>4512</v>
      </c>
      <c r="J59" s="82" t="s">
        <v>4512</v>
      </c>
      <c r="K59" s="82" t="s">
        <v>4512</v>
      </c>
      <c r="L59" s="82" t="s">
        <v>4512</v>
      </c>
      <c r="M59" s="82" t="s">
        <v>4512</v>
      </c>
      <c r="N59" s="82" t="s">
        <v>4512</v>
      </c>
      <c r="O59" s="82" t="s">
        <v>4512</v>
      </c>
      <c r="P59" s="82"/>
      <c r="Q59" s="82"/>
      <c r="R59" s="82"/>
    </row>
    <row r="60" ht="16.5" spans="1:18">
      <c r="A60" s="681" t="s">
        <v>4513</v>
      </c>
      <c r="B60" s="682"/>
      <c r="C60" s="82" t="s">
        <v>4514</v>
      </c>
      <c r="D60" s="82" t="s">
        <v>4514</v>
      </c>
      <c r="E60" s="82" t="s">
        <v>4514</v>
      </c>
      <c r="F60" s="82" t="s">
        <v>4514</v>
      </c>
      <c r="G60" s="82" t="s">
        <v>4514</v>
      </c>
      <c r="H60" s="82" t="s">
        <v>4514</v>
      </c>
      <c r="I60" s="82" t="s">
        <v>4514</v>
      </c>
      <c r="J60" s="82" t="s">
        <v>4514</v>
      </c>
      <c r="K60" s="82" t="s">
        <v>4514</v>
      </c>
      <c r="L60" s="82" t="s">
        <v>4514</v>
      </c>
      <c r="M60" s="82" t="s">
        <v>4514</v>
      </c>
      <c r="N60" s="82" t="s">
        <v>4514</v>
      </c>
      <c r="O60" s="82" t="s">
        <v>4514</v>
      </c>
      <c r="P60" s="82"/>
      <c r="Q60" s="82"/>
      <c r="R60" s="82"/>
    </row>
    <row r="61" ht="16.5" spans="1:18">
      <c r="A61" s="681" t="s">
        <v>4515</v>
      </c>
      <c r="B61" s="682"/>
      <c r="C61" s="683" t="s">
        <v>4516</v>
      </c>
      <c r="D61" s="683" t="s">
        <v>4516</v>
      </c>
      <c r="E61" s="683" t="s">
        <v>4517</v>
      </c>
      <c r="F61" s="683" t="s">
        <v>4517</v>
      </c>
      <c r="G61" s="683" t="s">
        <v>4517</v>
      </c>
      <c r="H61" s="683" t="s">
        <v>4518</v>
      </c>
      <c r="I61" s="683" t="s">
        <v>4518</v>
      </c>
      <c r="J61" s="683" t="s">
        <v>4518</v>
      </c>
      <c r="K61" s="683" t="s">
        <v>4519</v>
      </c>
      <c r="L61" s="683" t="s">
        <v>4519</v>
      </c>
      <c r="M61" s="683" t="s">
        <v>4519</v>
      </c>
      <c r="N61" s="683" t="s">
        <v>4520</v>
      </c>
      <c r="O61" s="683" t="s">
        <v>4520</v>
      </c>
      <c r="P61" s="82"/>
      <c r="Q61" s="82"/>
      <c r="R61" s="82"/>
    </row>
    <row r="62" ht="139" customHeight="1" spans="1:18">
      <c r="A62" s="656" t="s">
        <v>4521</v>
      </c>
      <c r="B62" s="656"/>
      <c r="C62" s="82" t="s">
        <v>4522</v>
      </c>
      <c r="D62" s="82" t="s">
        <v>4523</v>
      </c>
      <c r="E62" s="82" t="s">
        <v>4524</v>
      </c>
      <c r="F62" s="82" t="s">
        <v>4525</v>
      </c>
      <c r="G62" s="82" t="s">
        <v>4526</v>
      </c>
      <c r="H62" s="82" t="s">
        <v>4527</v>
      </c>
      <c r="I62" s="82" t="s">
        <v>4528</v>
      </c>
      <c r="J62" s="82" t="s">
        <v>4529</v>
      </c>
      <c r="K62" s="82" t="s">
        <v>4530</v>
      </c>
      <c r="L62" s="82" t="s">
        <v>4531</v>
      </c>
      <c r="M62" s="82" t="s">
        <v>4532</v>
      </c>
      <c r="N62" s="82" t="s">
        <v>4533</v>
      </c>
      <c r="O62" s="82" t="s">
        <v>4534</v>
      </c>
      <c r="P62" s="82"/>
      <c r="Q62" s="82"/>
      <c r="R62" s="82"/>
    </row>
    <row r="63" ht="15" spans="1:18">
      <c r="A63" s="653" t="s">
        <v>4535</v>
      </c>
      <c r="B63" s="654"/>
      <c r="C63" s="654"/>
      <c r="D63" s="654"/>
      <c r="E63" s="654"/>
      <c r="F63" s="654"/>
      <c r="G63" s="654"/>
      <c r="H63" s="654"/>
      <c r="I63" s="654"/>
      <c r="J63" s="654"/>
      <c r="K63" s="654"/>
      <c r="L63" s="654"/>
      <c r="M63" s="655"/>
      <c r="N63" s="655"/>
      <c r="O63" s="655"/>
      <c r="P63" s="655"/>
      <c r="Q63" s="655"/>
      <c r="R63" s="655"/>
    </row>
    <row r="64" ht="33" spans="1:18">
      <c r="A64" s="684" t="s">
        <v>4536</v>
      </c>
      <c r="B64" s="684" t="s">
        <v>4537</v>
      </c>
      <c r="C64" s="685" t="s">
        <v>4538</v>
      </c>
      <c r="D64" s="685" t="s">
        <v>4539</v>
      </c>
      <c r="E64" s="685" t="s">
        <v>4538</v>
      </c>
      <c r="F64" s="685" t="s">
        <v>4538</v>
      </c>
      <c r="G64" s="686" t="s">
        <v>4540</v>
      </c>
      <c r="H64" s="686" t="s">
        <v>4540</v>
      </c>
      <c r="I64" s="686" t="s">
        <v>4540</v>
      </c>
      <c r="J64" s="686" t="s">
        <v>4540</v>
      </c>
      <c r="K64" s="686" t="s">
        <v>4541</v>
      </c>
      <c r="L64" s="686" t="s">
        <v>4542</v>
      </c>
      <c r="M64" s="686" t="s">
        <v>4540</v>
      </c>
      <c r="N64" s="686" t="s">
        <v>4540</v>
      </c>
      <c r="O64" s="686" t="s">
        <v>4540</v>
      </c>
      <c r="P64" s="686"/>
      <c r="Q64" s="686"/>
      <c r="R64" s="686"/>
    </row>
    <row r="65" ht="49.5" spans="1:18">
      <c r="A65" s="684"/>
      <c r="B65" s="684" t="s">
        <v>4543</v>
      </c>
      <c r="C65" s="685" t="s">
        <v>4544</v>
      </c>
      <c r="D65" s="685" t="s">
        <v>4545</v>
      </c>
      <c r="E65" s="686" t="s">
        <v>4546</v>
      </c>
      <c r="F65" s="685" t="s">
        <v>4547</v>
      </c>
      <c r="G65" s="686" t="s">
        <v>4548</v>
      </c>
      <c r="H65" s="686" t="s">
        <v>4549</v>
      </c>
      <c r="I65" s="685" t="s">
        <v>4550</v>
      </c>
      <c r="J65" s="686" t="s">
        <v>4551</v>
      </c>
      <c r="K65" s="686" t="s">
        <v>4552</v>
      </c>
      <c r="L65" s="686" t="s">
        <v>4553</v>
      </c>
      <c r="M65" s="686" t="s">
        <v>4554</v>
      </c>
      <c r="N65" s="686" t="s">
        <v>4555</v>
      </c>
      <c r="O65" s="686" t="s">
        <v>4556</v>
      </c>
      <c r="P65" s="686"/>
      <c r="Q65" s="686"/>
      <c r="R65" s="686"/>
    </row>
    <row r="66" ht="49.5" spans="1:18">
      <c r="A66" s="684"/>
      <c r="B66" s="684" t="s">
        <v>4557</v>
      </c>
      <c r="C66" s="685" t="s">
        <v>4558</v>
      </c>
      <c r="D66" s="685" t="s">
        <v>4559</v>
      </c>
      <c r="E66" s="685" t="s">
        <v>4560</v>
      </c>
      <c r="F66" s="685" t="s">
        <v>4561</v>
      </c>
      <c r="G66" s="685" t="s">
        <v>4562</v>
      </c>
      <c r="H66" s="685" t="s">
        <v>4563</v>
      </c>
      <c r="I66" s="685" t="s">
        <v>4564</v>
      </c>
      <c r="J66" s="685" t="s">
        <v>4565</v>
      </c>
      <c r="K66" s="685" t="s">
        <v>4566</v>
      </c>
      <c r="L66" s="685" t="s">
        <v>4567</v>
      </c>
      <c r="M66" s="685" t="s">
        <v>4568</v>
      </c>
      <c r="N66" s="685" t="s">
        <v>4569</v>
      </c>
      <c r="O66" s="685" t="s">
        <v>4570</v>
      </c>
      <c r="P66" s="685"/>
      <c r="Q66" s="685"/>
      <c r="R66" s="685"/>
    </row>
    <row r="67" ht="33" spans="1:18">
      <c r="A67" s="684"/>
      <c r="B67" s="684" t="s">
        <v>4571</v>
      </c>
      <c r="C67" s="685" t="s">
        <v>4572</v>
      </c>
      <c r="D67" s="685" t="s">
        <v>4573</v>
      </c>
      <c r="E67" s="685" t="s">
        <v>4574</v>
      </c>
      <c r="F67" s="685" t="s">
        <v>4572</v>
      </c>
      <c r="G67" s="685" t="s">
        <v>4572</v>
      </c>
      <c r="H67" s="685" t="s">
        <v>4572</v>
      </c>
      <c r="I67" s="685" t="s">
        <v>4572</v>
      </c>
      <c r="J67" s="685" t="s">
        <v>4572</v>
      </c>
      <c r="K67" s="685" t="s">
        <v>4572</v>
      </c>
      <c r="L67" s="686" t="s">
        <v>4575</v>
      </c>
      <c r="M67" s="685" t="s">
        <v>4572</v>
      </c>
      <c r="N67" s="685" t="s">
        <v>4572</v>
      </c>
      <c r="O67" s="685" t="s">
        <v>4572</v>
      </c>
      <c r="P67" s="685"/>
      <c r="Q67" s="685"/>
      <c r="R67" s="685"/>
    </row>
    <row r="68" ht="49.5" spans="1:18">
      <c r="A68" s="684"/>
      <c r="B68" s="684" t="s">
        <v>4576</v>
      </c>
      <c r="C68" s="685" t="s">
        <v>4577</v>
      </c>
      <c r="D68" s="686" t="s">
        <v>4578</v>
      </c>
      <c r="E68" s="686" t="s">
        <v>4579</v>
      </c>
      <c r="F68" s="686" t="s">
        <v>4580</v>
      </c>
      <c r="G68" s="686" t="s">
        <v>4581</v>
      </c>
      <c r="H68" s="686" t="s">
        <v>4582</v>
      </c>
      <c r="I68" s="686" t="s">
        <v>4583</v>
      </c>
      <c r="J68" s="686" t="s">
        <v>4584</v>
      </c>
      <c r="K68" s="686" t="s">
        <v>4585</v>
      </c>
      <c r="L68" s="686" t="s">
        <v>4586</v>
      </c>
      <c r="M68" s="686" t="s">
        <v>4587</v>
      </c>
      <c r="N68" s="686" t="s">
        <v>4588</v>
      </c>
      <c r="O68" s="686" t="s">
        <v>4589</v>
      </c>
      <c r="P68" s="686"/>
      <c r="Q68" s="686"/>
      <c r="R68" s="686"/>
    </row>
    <row r="69" ht="63" customHeight="1" spans="1:18">
      <c r="A69" s="684"/>
      <c r="B69" s="684" t="s">
        <v>4590</v>
      </c>
      <c r="C69" s="685" t="str">
        <f>_xlfn.DISPIMG("ID_CFCAA001AA11417CB01AF132CB394837",1)</f>
        <v>=DISPIMG("ID_CFCAA001AA11417CB01AF132CB394837",1)</v>
      </c>
      <c r="D69" s="686" t="str">
        <f>_xlfn.DISPIMG("ID_BB7485C2D28C4CA0932B57DA5F3A06F0",1)</f>
        <v>=DISPIMG("ID_BB7485C2D28C4CA0932B57DA5F3A06F0",1)</v>
      </c>
      <c r="E69" s="686" t="str">
        <f>_xlfn.DISPIMG("ID_0402D247089F4297989A993C848B1476",1)</f>
        <v>=DISPIMG("ID_0402D247089F4297989A993C848B1476",1)</v>
      </c>
      <c r="F69" s="686" t="str">
        <f>_xlfn.DISPIMG("ID_5ADCDBACDCD846EDACFD38E49D4B8F25",1)</f>
        <v>=DISPIMG("ID_5ADCDBACDCD846EDACFD38E49D4B8F25",1)</v>
      </c>
      <c r="G69" s="686" t="str">
        <f>_xlfn.DISPIMG("ID_5BDB777C96EC43CBB4C715EDD888A7E2",1)</f>
        <v>=DISPIMG("ID_5BDB777C96EC43CBB4C715EDD888A7E2",1)</v>
      </c>
      <c r="H69" s="686" t="str">
        <f>_xlfn.DISPIMG("ID_3BF10D38ED434998B9B317D0C2DD3B4E",1)</f>
        <v>=DISPIMG("ID_3BF10D38ED434998B9B317D0C2DD3B4E",1)</v>
      </c>
      <c r="I69" s="686" t="str">
        <f>_xlfn.DISPIMG("ID_6DCECDAC551F419D901B8173BB9D22C7",1)</f>
        <v>=DISPIMG("ID_6DCECDAC551F419D901B8173BB9D22C7",1)</v>
      </c>
      <c r="J69" s="686" t="str">
        <f>_xlfn.DISPIMG("ID_1DD8B763086845DEB0A0F16E1C1821F0",1)</f>
        <v>=DISPIMG("ID_1DD8B763086845DEB0A0F16E1C1821F0",1)</v>
      </c>
      <c r="K69" s="686" t="str">
        <f>_xlfn.DISPIMG("ID_F9CE271BD0254238A288C14C6CB1D314",1)</f>
        <v>=DISPIMG("ID_F9CE271BD0254238A288C14C6CB1D314",1)</v>
      </c>
      <c r="L69" s="686" t="str">
        <f>_xlfn.DISPIMG("ID_DA798469EAAC46D598A7702F161272BE",1)</f>
        <v>=DISPIMG("ID_DA798469EAAC46D598A7702F161272BE",1)</v>
      </c>
      <c r="M69" s="686" t="str">
        <f>_xlfn.DISPIMG("ID_C5E9282963D84A0FAA8CC2A5F7A28042",1)</f>
        <v>=DISPIMG("ID_C5E9282963D84A0FAA8CC2A5F7A28042",1)</v>
      </c>
      <c r="N69" s="686" t="str">
        <f>_xlfn.DISPIMG("ID_12455B888A5943E1AEC074F35E263C4B",1)</f>
        <v>=DISPIMG("ID_12455B888A5943E1AEC074F35E263C4B",1)</v>
      </c>
      <c r="O69" s="686" t="str">
        <f>_xlfn.DISPIMG("ID_E3FD9555AA7D42678F0EC061BE560978",1)</f>
        <v>=DISPIMG("ID_E3FD9555AA7D42678F0EC061BE560978",1)</v>
      </c>
      <c r="P69" s="686"/>
      <c r="Q69" s="686"/>
      <c r="R69" s="686"/>
    </row>
    <row r="70" ht="66" spans="1:18">
      <c r="A70" s="684" t="s">
        <v>4591</v>
      </c>
      <c r="B70" s="684"/>
      <c r="C70" s="685" t="s">
        <v>4592</v>
      </c>
      <c r="D70" s="686" t="s">
        <v>4593</v>
      </c>
      <c r="E70" s="686" t="s">
        <v>4594</v>
      </c>
      <c r="F70" s="686" t="s">
        <v>4595</v>
      </c>
      <c r="G70" s="686" t="s">
        <v>4596</v>
      </c>
      <c r="H70" s="686" t="s">
        <v>4597</v>
      </c>
      <c r="I70" s="686" t="s">
        <v>4598</v>
      </c>
      <c r="J70" s="686" t="s">
        <v>4599</v>
      </c>
      <c r="K70" s="686" t="s">
        <v>4600</v>
      </c>
      <c r="L70" s="686" t="s">
        <v>4601</v>
      </c>
      <c r="M70" s="686" t="s">
        <v>4601</v>
      </c>
      <c r="N70" s="686" t="s">
        <v>4602</v>
      </c>
      <c r="O70" s="686" t="s">
        <v>4603</v>
      </c>
      <c r="P70" s="686"/>
      <c r="Q70" s="686"/>
      <c r="R70" s="686"/>
    </row>
    <row r="71" ht="68.5" spans="1:18">
      <c r="A71" s="684" t="s">
        <v>4604</v>
      </c>
      <c r="B71" s="684" t="s">
        <v>4605</v>
      </c>
      <c r="C71" s="686" t="str">
        <f>_xlfn.DISPIMG("ID_5EC69B1B7EA244739AF8C83678DFB120",1)</f>
        <v>=DISPIMG("ID_5EC69B1B7EA244739AF8C83678DFB120",1)</v>
      </c>
      <c r="D71" s="686" t="str">
        <f>_xlfn.DISPIMG("ID_F15F97858791456C9B3EFA36A6182C86",1)</f>
        <v>=DISPIMG("ID_F15F97858791456C9B3EFA36A6182C86",1)</v>
      </c>
      <c r="E71" s="686" t="str">
        <f>_xlfn.DISPIMG("ID_B2F93D36C4E040C19ECE7D6CEA89966C",1)</f>
        <v>=DISPIMG("ID_B2F93D36C4E040C19ECE7D6CEA89966C",1)</v>
      </c>
      <c r="F71" s="686" t="str">
        <f>_xlfn.DISPIMG("ID_D9A201182E2A4DF6B4810B83DB962CF8",1)</f>
        <v>=DISPIMG("ID_D9A201182E2A4DF6B4810B83DB962CF8",1)</v>
      </c>
      <c r="G71" s="686" t="str">
        <f>_xlfn.DISPIMG("ID_407BBF70A16F45708B5F37CA80C39FA6",1)</f>
        <v>=DISPIMG("ID_407BBF70A16F45708B5F37CA80C39FA6",1)</v>
      </c>
      <c r="H71" s="686" t="str">
        <f>_xlfn.DISPIMG("ID_7C6E87BA8BE9466286DE4250808CD944",1)</f>
        <v>=DISPIMG("ID_7C6E87BA8BE9466286DE4250808CD944",1)</v>
      </c>
      <c r="I71" s="686" t="str">
        <f>_xlfn.DISPIMG("ID_01CAF2251C874A78B0161B47E2CC7A6B",1)</f>
        <v>=DISPIMG("ID_01CAF2251C874A78B0161B47E2CC7A6B",1)</v>
      </c>
      <c r="J71" s="686" t="str">
        <f>_xlfn.DISPIMG("ID_1A183D6897BC4DD4B77DF2D3004CCEEC",1)</f>
        <v>=DISPIMG("ID_1A183D6897BC4DD4B77DF2D3004CCEEC",1)</v>
      </c>
      <c r="K71" s="686" t="str">
        <f>_xlfn.DISPIMG("ID_E14D1726330D4270A5CC1116759AEF89",1)</f>
        <v>=DISPIMG("ID_E14D1726330D4270A5CC1116759AEF89",1)</v>
      </c>
      <c r="L71" s="686" t="str">
        <f>_xlfn.DISPIMG("ID_206395D6EE294073B7F7F263071FA97A",1)</f>
        <v>=DISPIMG("ID_206395D6EE294073B7F7F263071FA97A",1)</v>
      </c>
      <c r="M71" s="686" t="str">
        <f>_xlfn.DISPIMG("ID_0AD48F30BCE0455392C151B8941D1C13",1)</f>
        <v>=DISPIMG("ID_0AD48F30BCE0455392C151B8941D1C13",1)</v>
      </c>
      <c r="N71" s="686" t="str">
        <f>_xlfn.DISPIMG("ID_E85BFEFB5E9B431DB94122D0185A78DC",1)</f>
        <v>=DISPIMG("ID_E85BFEFB5E9B431DB94122D0185A78DC",1)</v>
      </c>
      <c r="O71" s="686" t="str">
        <f>_xlfn.DISPIMG("ID_8328B4F086EC404194193CC05FABE2BD",1)</f>
        <v>=DISPIMG("ID_8328B4F086EC404194193CC05FABE2BD",1)</v>
      </c>
      <c r="P71" s="686"/>
      <c r="Q71" s="686"/>
      <c r="R71" s="686"/>
    </row>
    <row r="72" ht="99" spans="1:18">
      <c r="A72" s="684"/>
      <c r="B72" s="684" t="s">
        <v>4606</v>
      </c>
      <c r="C72" s="686" t="s">
        <v>4607</v>
      </c>
      <c r="D72" s="686" t="s">
        <v>4608</v>
      </c>
      <c r="E72" s="686" t="s">
        <v>4609</v>
      </c>
      <c r="F72" s="686" t="s">
        <v>4609</v>
      </c>
      <c r="G72" s="686" t="s">
        <v>4610</v>
      </c>
      <c r="H72" s="686" t="s">
        <v>4611</v>
      </c>
      <c r="I72" s="686" t="s">
        <v>4612</v>
      </c>
      <c r="J72" s="686" t="s">
        <v>4613</v>
      </c>
      <c r="K72" s="686" t="s">
        <v>4614</v>
      </c>
      <c r="L72" s="686" t="s">
        <v>4615</v>
      </c>
      <c r="M72" s="686" t="s">
        <v>4616</v>
      </c>
      <c r="N72" s="686" t="s">
        <v>4617</v>
      </c>
      <c r="O72" s="686" t="s">
        <v>4618</v>
      </c>
      <c r="P72" s="686"/>
      <c r="Q72" s="686"/>
      <c r="R72" s="686"/>
    </row>
    <row r="73" ht="16.5" spans="1:18">
      <c r="A73" s="684"/>
      <c r="B73" s="684" t="s">
        <v>4619</v>
      </c>
      <c r="C73" s="686" t="s">
        <v>3432</v>
      </c>
      <c r="D73" s="686" t="s">
        <v>3432</v>
      </c>
      <c r="E73" s="686" t="s">
        <v>3432</v>
      </c>
      <c r="F73" s="686" t="s">
        <v>3432</v>
      </c>
      <c r="G73" s="686" t="s">
        <v>3432</v>
      </c>
      <c r="H73" s="686" t="s">
        <v>3432</v>
      </c>
      <c r="I73" s="686" t="s">
        <v>3432</v>
      </c>
      <c r="J73" s="686" t="s">
        <v>3432</v>
      </c>
      <c r="K73" s="686" t="s">
        <v>3432</v>
      </c>
      <c r="L73" s="686" t="s">
        <v>3432</v>
      </c>
      <c r="M73" s="686" t="s">
        <v>3432</v>
      </c>
      <c r="N73" s="686" t="s">
        <v>3432</v>
      </c>
      <c r="O73" s="686" t="s">
        <v>3432</v>
      </c>
      <c r="P73" s="686"/>
      <c r="Q73" s="686"/>
      <c r="R73" s="686"/>
    </row>
    <row r="74" ht="75" spans="1:18">
      <c r="A74" s="684" t="s">
        <v>4620</v>
      </c>
      <c r="B74" s="684" t="s">
        <v>4621</v>
      </c>
      <c r="C74" s="80" t="s">
        <v>3432</v>
      </c>
      <c r="D74" s="686" t="s">
        <v>3432</v>
      </c>
      <c r="E74" s="686" t="s">
        <v>3432</v>
      </c>
      <c r="F74" s="686" t="s">
        <v>3432</v>
      </c>
      <c r="G74" s="686" t="s">
        <v>3432</v>
      </c>
      <c r="H74" s="686" t="s">
        <v>3432</v>
      </c>
      <c r="I74" s="686" t="s">
        <v>3432</v>
      </c>
      <c r="J74" s="686" t="s">
        <v>3432</v>
      </c>
      <c r="K74" s="686" t="s">
        <v>3432</v>
      </c>
      <c r="L74" s="686" t="s">
        <v>3432</v>
      </c>
      <c r="M74" s="686" t="s">
        <v>3432</v>
      </c>
      <c r="N74" s="686" t="s">
        <v>3432</v>
      </c>
      <c r="O74" s="686" t="s">
        <v>3432</v>
      </c>
      <c r="P74" s="686"/>
      <c r="Q74" s="686"/>
      <c r="R74" s="686"/>
    </row>
    <row r="75" ht="60" spans="1:18">
      <c r="A75" s="684"/>
      <c r="B75" s="684" t="s">
        <v>4622</v>
      </c>
      <c r="C75" s="658" t="s">
        <v>4623</v>
      </c>
      <c r="D75" s="658" t="s">
        <v>4624</v>
      </c>
      <c r="E75" s="658" t="s">
        <v>4625</v>
      </c>
      <c r="F75" s="658" t="s">
        <v>4626</v>
      </c>
      <c r="G75" s="658" t="s">
        <v>4627</v>
      </c>
      <c r="H75" s="657" t="s">
        <v>4628</v>
      </c>
      <c r="I75" s="658" t="s">
        <v>4629</v>
      </c>
      <c r="J75" s="658" t="s">
        <v>4630</v>
      </c>
      <c r="K75" s="658" t="s">
        <v>4631</v>
      </c>
      <c r="L75" s="658" t="s">
        <v>4632</v>
      </c>
      <c r="M75" s="658" t="s">
        <v>4633</v>
      </c>
      <c r="N75" s="658" t="s">
        <v>4634</v>
      </c>
      <c r="O75" s="658" t="s">
        <v>4635</v>
      </c>
      <c r="P75" s="658"/>
      <c r="Q75" s="658"/>
      <c r="R75" s="658"/>
    </row>
    <row r="76" ht="30" spans="1:18">
      <c r="A76" s="684"/>
      <c r="B76" s="684" t="s">
        <v>4636</v>
      </c>
      <c r="C76" s="687">
        <v>42438</v>
      </c>
      <c r="D76" s="688">
        <v>43531</v>
      </c>
      <c r="E76" s="688">
        <v>43136</v>
      </c>
      <c r="F76" s="689">
        <v>42408</v>
      </c>
      <c r="G76" s="689">
        <v>42210</v>
      </c>
      <c r="H76" s="688">
        <v>42415</v>
      </c>
      <c r="I76" s="688">
        <v>43040</v>
      </c>
      <c r="J76" s="688">
        <v>42770</v>
      </c>
      <c r="K76" s="688">
        <v>43165</v>
      </c>
      <c r="L76" s="688">
        <v>42789</v>
      </c>
      <c r="M76" s="688">
        <v>42688</v>
      </c>
      <c r="N76" s="690">
        <v>42867</v>
      </c>
      <c r="O76" s="688">
        <v>42989</v>
      </c>
      <c r="P76" s="658"/>
      <c r="Q76" s="658"/>
      <c r="R76" s="658"/>
    </row>
    <row r="77" ht="30" spans="1:18">
      <c r="A77" s="684"/>
      <c r="B77" s="684" t="s">
        <v>4637</v>
      </c>
      <c r="C77" s="691" t="s">
        <v>4638</v>
      </c>
      <c r="D77" s="692" t="s">
        <v>4639</v>
      </c>
      <c r="E77" s="692" t="s">
        <v>4640</v>
      </c>
      <c r="F77" s="657" t="s">
        <v>4641</v>
      </c>
      <c r="G77" s="657" t="s">
        <v>4642</v>
      </c>
      <c r="H77" s="692" t="s">
        <v>4643</v>
      </c>
      <c r="I77" s="692" t="s">
        <v>4644</v>
      </c>
      <c r="J77" s="692" t="s">
        <v>4645</v>
      </c>
      <c r="K77" s="658" t="s">
        <v>4646</v>
      </c>
      <c r="L77" s="692" t="s">
        <v>4647</v>
      </c>
      <c r="M77" s="692" t="s">
        <v>4648</v>
      </c>
      <c r="N77" s="686" t="s">
        <v>4649</v>
      </c>
      <c r="O77" s="692" t="s">
        <v>4650</v>
      </c>
      <c r="P77" s="658"/>
      <c r="Q77" s="658"/>
      <c r="R77" s="658"/>
    </row>
    <row r="78" ht="60" spans="1:18">
      <c r="A78" s="684"/>
      <c r="B78" s="684" t="s">
        <v>4651</v>
      </c>
      <c r="C78" s="686" t="s">
        <v>3432</v>
      </c>
      <c r="D78" s="686" t="s">
        <v>3432</v>
      </c>
      <c r="E78" s="686" t="s">
        <v>3432</v>
      </c>
      <c r="F78" s="686" t="s">
        <v>3432</v>
      </c>
      <c r="G78" s="686" t="s">
        <v>3432</v>
      </c>
      <c r="H78" s="686" t="s">
        <v>3432</v>
      </c>
      <c r="I78" s="686" t="s">
        <v>3432</v>
      </c>
      <c r="J78" s="686" t="s">
        <v>3432</v>
      </c>
      <c r="K78" s="686" t="s">
        <v>3432</v>
      </c>
      <c r="L78" s="686" t="s">
        <v>3432</v>
      </c>
      <c r="M78" s="686" t="s">
        <v>3432</v>
      </c>
      <c r="N78" s="686" t="s">
        <v>3432</v>
      </c>
      <c r="O78" s="686" t="s">
        <v>3432</v>
      </c>
      <c r="P78" s="686"/>
      <c r="Q78" s="686"/>
      <c r="R78" s="686"/>
    </row>
    <row r="79" ht="76.8" spans="1:18">
      <c r="A79" s="684"/>
      <c r="B79" s="684" t="s">
        <v>4652</v>
      </c>
      <c r="C79" s="686" t="str">
        <f>_xlfn.DISPIMG("ID_E460FD65052145C3A104C223F464A744",1)</f>
        <v>=DISPIMG("ID_E460FD65052145C3A104C223F464A744",1)</v>
      </c>
      <c r="D79" s="686" t="str">
        <f>_xlfn.DISPIMG("ID_589E6E4DF6EB4781ABC87BE09DEC0A86",1)</f>
        <v>=DISPIMG("ID_589E6E4DF6EB4781ABC87BE09DEC0A86",1)</v>
      </c>
      <c r="E79" s="686" t="str">
        <f>_xlfn.DISPIMG("ID_0384510DBBDE4025BD6C8F8C8D8FA12E",1)</f>
        <v>=DISPIMG("ID_0384510DBBDE4025BD6C8F8C8D8FA12E",1)</v>
      </c>
      <c r="F79" s="686" t="str">
        <f>_xlfn.DISPIMG("ID_0384510DBBDE4025BD6C8F8C8D8FA12E",1)</f>
        <v>=DISPIMG("ID_0384510DBBDE4025BD6C8F8C8D8FA12E",1)</v>
      </c>
      <c r="G79" s="686" t="str">
        <f>_xlfn.DISPIMG("ID_78B03E1AF037432587B62488DC4AF094",1)</f>
        <v>=DISPIMG("ID_78B03E1AF037432587B62488DC4AF094",1)</v>
      </c>
      <c r="H79" s="686" t="str">
        <f>_xlfn.DISPIMG("ID_76864BC77993453FA2E84810B8164057",1)</f>
        <v>=DISPIMG("ID_76864BC77993453FA2E84810B8164057",1)</v>
      </c>
      <c r="I79" s="686" t="str">
        <f>_xlfn.DISPIMG("ID_76864BC77993453FA2E84810B8164057",1)</f>
        <v>=DISPIMG("ID_76864BC77993453FA2E84810B8164057",1)</v>
      </c>
      <c r="J79" s="686" t="str">
        <f>_xlfn.DISPIMG("ID_3813A90F11FE4D259891F005BE7C6F74",1)</f>
        <v>=DISPIMG("ID_3813A90F11FE4D259891F005BE7C6F74",1)</v>
      </c>
      <c r="K79" s="686" t="str">
        <f>_xlfn.DISPIMG("ID_8E70A92E5E7D46AD85F585AAF5E18309",1)</f>
        <v>=DISPIMG("ID_8E70A92E5E7D46AD85F585AAF5E18309",1)</v>
      </c>
      <c r="L79" s="686" t="str">
        <f>_xlfn.DISPIMG("ID_2E93EA25A8FF498AA5306F20C62331A7",1)</f>
        <v>=DISPIMG("ID_2E93EA25A8FF498AA5306F20C62331A7",1)</v>
      </c>
      <c r="M79" s="686" t="str">
        <f>_xlfn.DISPIMG("ID_D1EF5A42E65C4164BE81CAC16110E4DC",1)</f>
        <v>=DISPIMG("ID_D1EF5A42E65C4164BE81CAC16110E4DC",1)</v>
      </c>
      <c r="N79" s="686" t="str">
        <f>_xlfn.DISPIMG("ID_E460FD65052145C3A104C223F464A744",1)</f>
        <v>=DISPIMG("ID_E460FD65052145C3A104C223F464A744",1)</v>
      </c>
      <c r="O79" s="686" t="str">
        <f>_xlfn.DISPIMG("ID_E460FD65052145C3A104C223F464A744",1)</f>
        <v>=DISPIMG("ID_E460FD65052145C3A104C223F464A744",1)</v>
      </c>
      <c r="P79" s="686"/>
      <c r="Q79" s="686"/>
      <c r="R79" s="686"/>
    </row>
    <row r="80" ht="27" spans="1:18">
      <c r="A80" s="680" t="s">
        <v>4653</v>
      </c>
      <c r="B80" s="680"/>
      <c r="C80" s="658" t="s">
        <v>3054</v>
      </c>
      <c r="D80" s="658" t="s">
        <v>3078</v>
      </c>
      <c r="E80" s="658" t="s">
        <v>3056</v>
      </c>
      <c r="F80" s="658" t="s">
        <v>3056</v>
      </c>
      <c r="G80" s="658" t="s">
        <v>3074</v>
      </c>
      <c r="H80" s="658" t="s">
        <v>3058</v>
      </c>
      <c r="I80" s="658" t="s">
        <v>3058</v>
      </c>
      <c r="J80" s="658" t="s">
        <v>3062</v>
      </c>
      <c r="K80" s="658" t="s">
        <v>3082</v>
      </c>
      <c r="L80" s="658" t="s">
        <v>4654</v>
      </c>
      <c r="M80" s="658" t="s">
        <v>3060</v>
      </c>
      <c r="N80" s="658" t="s">
        <v>3054</v>
      </c>
      <c r="O80" s="658" t="s">
        <v>3054</v>
      </c>
      <c r="P80" s="693"/>
      <c r="Q80" s="658"/>
      <c r="R80" s="658"/>
    </row>
    <row r="81" spans="1:18">
      <c r="A81" s="630"/>
      <c r="C81" s="630"/>
      <c r="D81" s="630"/>
      <c r="E81" s="630"/>
      <c r="F81" s="630"/>
      <c r="G81" s="630"/>
      <c r="H81" s="630"/>
      <c r="I81" s="630"/>
      <c r="J81" s="630"/>
      <c r="K81" s="630"/>
      <c r="L81" s="630"/>
      <c r="M81" s="630"/>
      <c r="N81" s="630"/>
      <c r="O81" s="630"/>
      <c r="P81" s="630"/>
      <c r="Q81" s="630"/>
      <c r="R81" s="630"/>
    </row>
    <row r="82" spans="1:18">
      <c r="A82" s="630"/>
      <c r="C82" s="630"/>
      <c r="D82" s="630"/>
      <c r="E82" s="630"/>
      <c r="F82" s="630"/>
      <c r="G82" s="630"/>
      <c r="H82" s="630"/>
      <c r="I82" s="630"/>
      <c r="J82" s="630"/>
      <c r="K82" s="630"/>
      <c r="L82" s="630"/>
      <c r="M82" s="630"/>
      <c r="N82" s="630"/>
      <c r="O82" s="630"/>
      <c r="P82" s="630"/>
      <c r="Q82" s="630"/>
      <c r="R82" s="630"/>
    </row>
    <row r="83" spans="1:18">
      <c r="A83" s="630"/>
      <c r="C83" s="630"/>
      <c r="D83" s="630"/>
      <c r="E83" s="630"/>
      <c r="F83" s="630"/>
      <c r="G83" s="630"/>
      <c r="H83" s="630"/>
      <c r="I83" s="630"/>
      <c r="J83" s="630"/>
      <c r="K83" s="630"/>
      <c r="L83" s="630"/>
      <c r="M83" s="630"/>
      <c r="N83" s="630"/>
      <c r="O83" s="630"/>
      <c r="P83" s="630"/>
      <c r="Q83" s="630"/>
      <c r="R83" s="630"/>
    </row>
    <row r="84" spans="1:18">
      <c r="A84" s="630"/>
      <c r="C84" s="630"/>
      <c r="D84" s="630"/>
      <c r="E84" s="630"/>
      <c r="F84" s="630"/>
      <c r="G84" s="630"/>
      <c r="H84" s="630"/>
      <c r="I84" s="630"/>
      <c r="J84" s="630"/>
      <c r="K84" s="630"/>
      <c r="L84" s="630"/>
      <c r="M84" s="630"/>
      <c r="N84" s="630"/>
      <c r="O84" s="630"/>
      <c r="P84" s="630"/>
      <c r="Q84" s="630"/>
      <c r="R84" s="630"/>
    </row>
    <row r="85" spans="1:18">
      <c r="A85" s="630"/>
      <c r="C85" s="630"/>
      <c r="D85" s="630"/>
      <c r="E85" s="630"/>
      <c r="F85" s="630"/>
      <c r="G85" s="630"/>
      <c r="H85" s="630"/>
      <c r="I85" s="630"/>
      <c r="J85" s="630"/>
      <c r="K85" s="630"/>
      <c r="L85" s="630"/>
      <c r="M85" s="630"/>
      <c r="N85" s="630"/>
      <c r="O85" s="630"/>
      <c r="P85" s="630"/>
      <c r="Q85" s="630"/>
      <c r="R85" s="630"/>
    </row>
    <row r="86" spans="1:18">
      <c r="A86" s="630"/>
      <c r="C86" s="630"/>
      <c r="D86" s="630"/>
      <c r="E86" s="630"/>
      <c r="F86" s="630"/>
      <c r="G86" s="630"/>
      <c r="H86" s="630"/>
      <c r="I86" s="630"/>
      <c r="J86" s="630"/>
      <c r="K86" s="630"/>
      <c r="L86" s="630"/>
      <c r="M86" s="630"/>
      <c r="N86" s="630"/>
      <c r="O86" s="630"/>
      <c r="P86" s="630"/>
      <c r="Q86" s="630"/>
      <c r="R86" s="630"/>
    </row>
    <row r="87" spans="1:18">
      <c r="A87" s="630"/>
      <c r="C87" s="630"/>
      <c r="D87" s="630"/>
      <c r="E87" s="630"/>
      <c r="F87" s="630"/>
      <c r="G87" s="630"/>
      <c r="H87" s="630"/>
      <c r="I87" s="630"/>
      <c r="J87" s="630"/>
      <c r="K87" s="630"/>
      <c r="L87" s="630"/>
      <c r="M87" s="630"/>
      <c r="N87" s="630"/>
      <c r="O87" s="630"/>
      <c r="P87" s="630"/>
      <c r="Q87" s="630"/>
      <c r="R87" s="630"/>
    </row>
    <row r="88" spans="1:18">
      <c r="A88" s="630"/>
      <c r="C88" s="630"/>
      <c r="D88" s="630"/>
      <c r="E88" s="630"/>
      <c r="F88" s="630"/>
      <c r="G88" s="630"/>
      <c r="H88" s="630"/>
      <c r="I88" s="630"/>
      <c r="J88" s="630"/>
      <c r="K88" s="630"/>
      <c r="L88" s="630"/>
      <c r="M88" s="630"/>
      <c r="N88" s="630"/>
      <c r="O88" s="630"/>
      <c r="P88" s="630"/>
      <c r="Q88" s="630"/>
      <c r="R88" s="630"/>
    </row>
    <row r="89" spans="1:18">
      <c r="A89" s="630"/>
      <c r="C89" s="630"/>
      <c r="D89" s="630"/>
      <c r="E89" s="630"/>
      <c r="F89" s="630"/>
      <c r="G89" s="630"/>
      <c r="H89" s="630"/>
      <c r="I89" s="630"/>
      <c r="J89" s="630"/>
      <c r="K89" s="630"/>
      <c r="L89" s="630"/>
      <c r="M89" s="630"/>
      <c r="N89" s="630"/>
      <c r="O89" s="630"/>
      <c r="P89" s="630"/>
      <c r="Q89" s="630"/>
      <c r="R89" s="630"/>
    </row>
    <row r="90" spans="1:18">
      <c r="A90" s="630"/>
      <c r="C90" s="630"/>
      <c r="D90" s="630"/>
      <c r="E90" s="630"/>
      <c r="F90" s="630"/>
      <c r="G90" s="630"/>
      <c r="H90" s="630"/>
      <c r="I90" s="630"/>
      <c r="J90" s="630"/>
      <c r="K90" s="630"/>
      <c r="L90" s="630"/>
      <c r="M90" s="630"/>
      <c r="N90" s="630"/>
      <c r="O90" s="630"/>
      <c r="P90" s="630"/>
      <c r="Q90" s="630"/>
      <c r="R90" s="630"/>
    </row>
    <row r="91" spans="1:18">
      <c r="A91" s="630"/>
      <c r="C91" s="630"/>
      <c r="D91" s="630"/>
      <c r="E91" s="630"/>
      <c r="F91" s="630"/>
      <c r="G91" s="630"/>
      <c r="H91" s="630"/>
      <c r="I91" s="630"/>
      <c r="J91" s="630"/>
      <c r="K91" s="630"/>
      <c r="L91" s="630"/>
      <c r="M91" s="630"/>
      <c r="N91" s="630"/>
      <c r="O91" s="630"/>
      <c r="P91" s="630"/>
      <c r="Q91" s="630"/>
      <c r="R91" s="630"/>
    </row>
    <row r="92" spans="1:18">
      <c r="A92" s="630"/>
      <c r="C92" s="630"/>
      <c r="D92" s="630"/>
      <c r="E92" s="630"/>
      <c r="F92" s="630"/>
      <c r="G92" s="630"/>
      <c r="H92" s="630"/>
      <c r="I92" s="630"/>
      <c r="J92" s="630"/>
      <c r="K92" s="630"/>
      <c r="L92" s="630"/>
      <c r="M92" s="630"/>
      <c r="N92" s="630"/>
      <c r="O92" s="630"/>
      <c r="P92" s="630"/>
      <c r="Q92" s="630"/>
      <c r="R92" s="630"/>
    </row>
    <row r="93" spans="1:18">
      <c r="A93" s="630"/>
      <c r="C93" s="630"/>
      <c r="D93" s="630"/>
      <c r="E93" s="630"/>
      <c r="F93" s="630"/>
      <c r="G93" s="630"/>
      <c r="H93" s="630"/>
      <c r="I93" s="630"/>
      <c r="J93" s="630"/>
      <c r="K93" s="630"/>
      <c r="L93" s="630"/>
      <c r="M93" s="630"/>
      <c r="N93" s="630"/>
      <c r="O93" s="630"/>
      <c r="P93" s="630"/>
      <c r="Q93" s="630"/>
      <c r="R93" s="630"/>
    </row>
    <row r="94" spans="1:18">
      <c r="A94" s="630"/>
      <c r="C94" s="630"/>
      <c r="D94" s="630"/>
      <c r="E94" s="630"/>
      <c r="F94" s="630"/>
      <c r="G94" s="630"/>
      <c r="H94" s="630"/>
      <c r="I94" s="630"/>
      <c r="J94" s="630"/>
      <c r="K94" s="630"/>
      <c r="L94" s="630"/>
      <c r="M94" s="630"/>
      <c r="N94" s="630"/>
      <c r="O94" s="630"/>
      <c r="P94" s="630"/>
      <c r="Q94" s="630"/>
      <c r="R94" s="630"/>
    </row>
    <row r="95" spans="1:18">
      <c r="A95" s="630"/>
      <c r="C95" s="630"/>
      <c r="D95" s="630"/>
      <c r="E95" s="630"/>
      <c r="F95" s="630"/>
      <c r="G95" s="630"/>
      <c r="H95" s="630"/>
      <c r="I95" s="630"/>
      <c r="J95" s="630"/>
      <c r="K95" s="630"/>
      <c r="L95" s="630"/>
      <c r="M95" s="630"/>
      <c r="N95" s="630"/>
      <c r="O95" s="630"/>
      <c r="P95" s="630"/>
      <c r="Q95" s="630"/>
      <c r="R95" s="630"/>
    </row>
    <row r="96" spans="1:18">
      <c r="A96" s="630"/>
      <c r="C96" s="630"/>
      <c r="D96" s="630"/>
      <c r="E96" s="630"/>
      <c r="F96" s="630"/>
      <c r="G96" s="630"/>
      <c r="H96" s="630"/>
      <c r="I96" s="630"/>
      <c r="J96" s="630"/>
      <c r="K96" s="630"/>
      <c r="L96" s="630"/>
      <c r="M96" s="630"/>
      <c r="N96" s="630"/>
      <c r="O96" s="630"/>
      <c r="P96" s="630"/>
      <c r="Q96" s="630"/>
      <c r="R96" s="630"/>
    </row>
  </sheetData>
  <mergeCells count="73">
    <mergeCell ref="A1:M1"/>
    <mergeCell ref="C2:M2"/>
    <mergeCell ref="N2:O2"/>
    <mergeCell ref="Q2:R2"/>
    <mergeCell ref="C3:D3"/>
    <mergeCell ref="F3:G3"/>
    <mergeCell ref="H3:J3"/>
    <mergeCell ref="A4:B4"/>
    <mergeCell ref="A5:N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R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M63"/>
    <mergeCell ref="A70:B70"/>
    <mergeCell ref="A80:B80"/>
    <mergeCell ref="A64:A69"/>
    <mergeCell ref="A71:A73"/>
    <mergeCell ref="A74:A79"/>
    <mergeCell ref="A2:B3"/>
  </mergeCells>
  <hyperlinks>
    <hyperlink ref="K80" r:id="rId3" display="https://crownful.com/" tooltip="https://crownful.com/"/>
    <hyperlink ref="C7" r:id="rId4" display="https://www.amazon.com/Ninja-AF101-Fryer-Black-gray/dp/B07FDJMC9Q" tooltip="https://www.amazon.com/Ninja-AF101-Fryer-Black-gray/dp/B07FDJMC9Q"/>
    <hyperlink ref="C80" r:id="rId5" display="https://www.ninjakitchen.com/"/>
    <hyperlink ref="D7" r:id="rId6" display="https://www.amazon.com/Fabuletta-Customizable-Programs-Reminder-Dishwasher-Safe/dp/B0B6ZXKNJN"/>
    <hyperlink ref="D75" r:id="rId7" display="https://www.youtube.com/watch?v=LXKAn5fCUq4"/>
    <hyperlink ref="D80" r:id="rId8" display="https://www.fabuletta.com/"/>
    <hyperlink ref="E7" r:id="rId9" display="https://www.amazon.com/COSORI-Airfryer-Dishwasher-Safe-freidora-Exclusive/dp/B0936FGLQS/ref=zg_bs_17659096011_sccl_3/131-7353464-5516810?th=1"/>
    <hyperlink ref="E75" r:id="rId10" display="https://www.youtube.com/watch?v=-PEYya_hSnQ"/>
    <hyperlink ref="E80" r:id="rId11" display="https://cosori.com/"/>
    <hyperlink ref="F7" r:id="rId12" display="https://www.amazon.com/COSORI-1700-Watt-Cookbook-One-Touchscreen-Customizable/dp/B085W3GN5J"/>
    <hyperlink ref="F75" r:id="rId13" display="https://www.youtube.com/watch?v=fnJhFfbQzGM"/>
    <hyperlink ref="F80" r:id="rId11" display="https://cosori.com/"/>
    <hyperlink ref="G7" r:id="rId14" display="https://www.amazon.com/GoWISE-USA-5-8-Quarts-Electric-Recipes/dp/B0777RJG6D/ref=zg_bs_17659096011_sccl_12/131-7353464-5516810?psc=1"/>
    <hyperlink ref="G75" r:id="rId15" display="https://www.youtube.com/watch?v=N410IdpsYDc"/>
    <hyperlink ref="G80" r:id="rId16" display="https://www.gowiseproducts.com/"/>
    <hyperlink ref="H7" r:id="rId17" display="https://www.amazon.com/Instant-Vortex-Plus-Air-Fryer/dp/B07VHFMZHJ"/>
    <hyperlink ref="H75" r:id="rId18" display="https://www.youtube.com/watch?v=hOcD0RLLljY&amp;t=2s"/>
    <hyperlink ref="H80" r:id="rId19" display="https://www.instanthome.com/"/>
    <hyperlink ref="I7" r:id="rId20" display="https://www.amazon.com/Instant-Vortex-ClearCook-Reheat-Dehydrate/dp/B096N3FTZP"/>
    <hyperlink ref="I75" r:id="rId21" display="https://www.youtube.com/watch?v=f4DTH3737ps"/>
    <hyperlink ref="I80" r:id="rId19" display="https://www.instanthome.com/"/>
    <hyperlink ref="K7" r:id="rId22" display="https://www.amazon.com/CROWNFUL-Electric-Functions-Temperature-Listed-White/dp/B092PY8F5J/"/>
    <hyperlink ref="J7" r:id="rId23" display="https://www.amazon.com/Gourmia-GAF686-Digital-Guided-Cooking/dp/B09MR49K1D/ref=zg_bs_17659096011_sccl_20/131-7353464-5516810?th=1"/>
    <hyperlink ref="J75" r:id="rId24" display="https://www.youtube.com/watch?v=EDm8ghfXhvM"/>
    <hyperlink ref="J80" r:id="rId25" display="https://www.gourmia.com/"/>
    <hyperlink ref="K75" r:id="rId26" display="https://www.youtube.com/watch?v=Qg2EN4S3uq0"/>
    <hyperlink ref="L7" r:id="rId27" display="https://www.amazon.com/7-25-Qt-One-Touch-Controls-Temperature-Increments/dp/B075X3287P"/>
    <hyperlink ref="L80" r:id="rId28" display="https://www.nuwavekitchen.com/"/>
    <hyperlink ref="L75" r:id="rId29" display="https://www.youtube.com/watch?v=HsGVXujTkDg"/>
    <hyperlink ref="M7" r:id="rId30" display="https://www.amazon.com/Chefman-TurboFry-Air-Fryer-Dishwasher/dp/B08DKYBTPH"/>
    <hyperlink ref="M75" r:id="rId31" display="https://www.youtube.com/watch?v=FcroWxTuudI"/>
    <hyperlink ref="M80" r:id="rId32" display="https://chefman.com/"/>
    <hyperlink ref="N7" r:id="rId33" display="https://www.amazon.com/Ninja-DZ201-2-Basket-Technology-Stainless/dp/B089TQWJKK/ref=zg_bs_17659096011_sccl_4/131-7353464-5516810?th=1"/>
    <hyperlink ref="N75" r:id="rId34" display="https://www.youtube.com/watch?v=55aI5rq8CAo"/>
    <hyperlink ref="N80" r:id="rId5" display="https://www.ninjakitchen.com/"/>
    <hyperlink ref="O75" r:id="rId35" display="https://www.youtube.com/watch?v=JUNm20BVccs"/>
    <hyperlink ref="O80" r:id="rId5" display="https://www.ninjakitchen.com/"/>
    <hyperlink ref="O7" r:id="rId36" display="https://www.amazon.com/Ninja-DZ401-Independent-Dehydrate-Family-Sized/dp/B096X9LGJ1/ref=zg_bs_17659096011_sccl_8/131-7353464-5516810?th=1"/>
  </hyperlinks>
  <pageMargins left="0.75" right="0.75" top="1" bottom="1" header="0.5" footer="0.5"/>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zoomScale="85" zoomScaleNormal="85" topLeftCell="A12" workbookViewId="0">
      <selection activeCell="C11" sqref="C11:E13"/>
    </sheetView>
  </sheetViews>
  <sheetFormatPr defaultColWidth="9" defaultRowHeight="11.25"/>
  <cols>
    <col min="1" max="1" width="10.25" style="583" customWidth="1"/>
    <col min="2" max="2" width="15.75" style="583" customWidth="1"/>
    <col min="3" max="3" width="25.15" style="584" customWidth="1"/>
    <col min="4" max="5" width="12.2" style="584" customWidth="1"/>
    <col min="6" max="6" width="27.6666666666667" style="583" customWidth="1"/>
    <col min="7" max="8" width="17.5" style="583" customWidth="1"/>
    <col min="9" max="9" width="27.6666666666667" style="583" customWidth="1"/>
    <col min="10" max="11" width="13.825" style="583" customWidth="1"/>
    <col min="12" max="12" width="27.6666666666667" style="583" customWidth="1"/>
    <col min="13" max="14" width="13.825" style="583" customWidth="1"/>
    <col min="15" max="16384" width="9" style="583"/>
  </cols>
  <sheetData>
    <row r="1" s="583" customFormat="1" ht="22.5" spans="1:14">
      <c r="A1" s="585" t="s">
        <v>4655</v>
      </c>
      <c r="B1" s="586"/>
      <c r="C1" s="586"/>
      <c r="D1" s="586"/>
      <c r="E1" s="586"/>
      <c r="F1" s="586"/>
      <c r="G1" s="586"/>
      <c r="H1" s="586"/>
      <c r="I1" s="586"/>
      <c r="J1" s="586"/>
      <c r="K1" s="586"/>
      <c r="L1" s="586"/>
      <c r="M1" s="586"/>
      <c r="N1" s="586"/>
    </row>
    <row r="2" s="583" customFormat="1" ht="22.5" spans="1:14">
      <c r="A2" s="587" t="s">
        <v>4656</v>
      </c>
      <c r="B2" s="588" t="s">
        <v>4435</v>
      </c>
      <c r="C2" s="589" t="s">
        <v>4348</v>
      </c>
      <c r="D2" s="589"/>
      <c r="E2" s="589"/>
      <c r="F2" s="589" t="s">
        <v>4349</v>
      </c>
      <c r="G2" s="589"/>
      <c r="H2" s="589"/>
      <c r="I2" s="589" t="s">
        <v>2847</v>
      </c>
      <c r="J2" s="589"/>
      <c r="K2" s="589"/>
      <c r="L2" s="590" t="s">
        <v>4350</v>
      </c>
      <c r="M2" s="591"/>
      <c r="N2" s="592"/>
    </row>
    <row r="3" s="583" customFormat="1" ht="63" customHeight="1" spans="1:14">
      <c r="A3" s="587"/>
      <c r="B3" s="588" t="s">
        <v>809</v>
      </c>
      <c r="C3" s="593" t="str">
        <f>_xlfn.DISPIMG("ID_F95EDF90DD52402180DAE322383906D1",1)</f>
        <v>=DISPIMG("ID_F95EDF90DD52402180DAE322383906D1",1)</v>
      </c>
      <c r="D3" s="593"/>
      <c r="E3" s="593"/>
      <c r="F3" s="593" t="str">
        <f>_xlfn.DISPIMG("ID_F440BB21B54146A1B057FCF7FDE7599B",1)</f>
        <v>=DISPIMG("ID_F440BB21B54146A1B057FCF7FDE7599B",1)</v>
      </c>
      <c r="G3" s="593"/>
      <c r="H3" s="593"/>
      <c r="I3" s="593" t="str">
        <f>_xlfn.DISPIMG("ID_DD2C0F305A4E4FF99211830DC665244F",1)</f>
        <v>=DISPIMG("ID_DD2C0F305A4E4FF99211830DC665244F",1)</v>
      </c>
      <c r="J3" s="593"/>
      <c r="K3" s="593"/>
      <c r="L3" s="593" t="str">
        <f>_xlfn.DISPIMG("ID_C15E5902C69949E1B2BB4DFBD5D71126",1)</f>
        <v>=DISPIMG("ID_C15E5902C69949E1B2BB4DFBD5D71126",1)</v>
      </c>
      <c r="M3" s="593"/>
      <c r="N3" s="593"/>
    </row>
    <row r="4" s="583" customFormat="1" ht="14.25" spans="1:14">
      <c r="A4" s="587"/>
      <c r="B4" s="588" t="s">
        <v>810</v>
      </c>
      <c r="C4" s="593" t="s">
        <v>70</v>
      </c>
      <c r="D4" s="593"/>
      <c r="E4" s="593"/>
      <c r="F4" s="593" t="s">
        <v>3314</v>
      </c>
      <c r="G4" s="593"/>
      <c r="H4" s="593"/>
      <c r="I4" s="593" t="s">
        <v>72</v>
      </c>
      <c r="J4" s="593"/>
      <c r="K4" s="593"/>
      <c r="L4" s="593" t="s">
        <v>4356</v>
      </c>
      <c r="M4" s="593"/>
      <c r="N4" s="593"/>
    </row>
    <row r="5" s="583" customFormat="1" ht="14.25" spans="1:14">
      <c r="A5" s="587"/>
      <c r="B5" s="588" t="s">
        <v>815</v>
      </c>
      <c r="C5" s="593" t="s">
        <v>4657</v>
      </c>
      <c r="D5" s="593"/>
      <c r="E5" s="593"/>
      <c r="F5" s="593" t="s">
        <v>861</v>
      </c>
      <c r="G5" s="593"/>
      <c r="H5" s="593"/>
      <c r="I5" s="593" t="s">
        <v>861</v>
      </c>
      <c r="J5" s="593"/>
      <c r="K5" s="593"/>
      <c r="L5" s="593" t="s">
        <v>4371</v>
      </c>
      <c r="M5" s="593"/>
      <c r="N5" s="593"/>
    </row>
    <row r="6" s="583" customFormat="1" ht="14.25" spans="1:14">
      <c r="A6" s="587"/>
      <c r="B6" s="588" t="s">
        <v>4658</v>
      </c>
      <c r="C6" s="593" t="s">
        <v>4411</v>
      </c>
      <c r="D6" s="593"/>
      <c r="E6" s="593"/>
      <c r="F6" s="593" t="s">
        <v>4413</v>
      </c>
      <c r="G6" s="593"/>
      <c r="H6" s="593"/>
      <c r="I6" s="593" t="s">
        <v>4414</v>
      </c>
      <c r="J6" s="593"/>
      <c r="K6" s="593"/>
      <c r="L6" s="593" t="s">
        <v>4416</v>
      </c>
      <c r="M6" s="593"/>
      <c r="N6" s="593"/>
    </row>
    <row r="7" s="583" customFormat="1" ht="14.25" spans="1:14">
      <c r="A7" s="587"/>
      <c r="B7" s="588" t="s">
        <v>4393</v>
      </c>
      <c r="C7" s="594">
        <v>27</v>
      </c>
      <c r="D7" s="595"/>
      <c r="E7" s="596"/>
      <c r="F7" s="594">
        <v>296</v>
      </c>
      <c r="G7" s="595"/>
      <c r="H7" s="596"/>
      <c r="I7" s="593">
        <v>732</v>
      </c>
      <c r="J7" s="593"/>
      <c r="K7" s="593"/>
      <c r="L7" s="593">
        <v>337</v>
      </c>
      <c r="M7" s="593"/>
      <c r="N7" s="593"/>
    </row>
    <row r="8" s="583" customFormat="1" ht="14.25" spans="1:14">
      <c r="A8" s="587"/>
      <c r="B8" s="588" t="s">
        <v>4394</v>
      </c>
      <c r="C8" s="594">
        <v>1</v>
      </c>
      <c r="D8" s="595"/>
      <c r="E8" s="596"/>
      <c r="F8" s="594">
        <v>4</v>
      </c>
      <c r="G8" s="595"/>
      <c r="H8" s="596"/>
      <c r="I8" s="593">
        <v>9</v>
      </c>
      <c r="J8" s="593"/>
      <c r="K8" s="593"/>
      <c r="L8" s="593">
        <v>4</v>
      </c>
      <c r="M8" s="593"/>
      <c r="N8" s="593"/>
    </row>
    <row r="9" s="583" customFormat="1" ht="14.25" spans="1:14">
      <c r="A9" s="587"/>
      <c r="B9" s="588" t="s">
        <v>834</v>
      </c>
      <c r="C9" s="597">
        <v>41863</v>
      </c>
      <c r="D9" s="598"/>
      <c r="E9" s="599"/>
      <c r="F9" s="597">
        <v>42968</v>
      </c>
      <c r="G9" s="598"/>
      <c r="H9" s="599"/>
      <c r="I9" s="600">
        <v>42515</v>
      </c>
      <c r="J9" s="600"/>
      <c r="K9" s="600"/>
      <c r="L9" s="600">
        <v>42251</v>
      </c>
      <c r="M9" s="600"/>
      <c r="N9" s="600"/>
    </row>
    <row r="10" s="583" customFormat="1" ht="14.25" spans="1:14">
      <c r="A10" s="587"/>
      <c r="B10" s="588" t="s">
        <v>4424</v>
      </c>
      <c r="C10" s="593">
        <v>2</v>
      </c>
      <c r="D10" s="593"/>
      <c r="E10" s="593"/>
      <c r="F10" s="593">
        <v>4</v>
      </c>
      <c r="G10" s="593"/>
      <c r="H10" s="593"/>
      <c r="I10" s="593">
        <v>3</v>
      </c>
      <c r="J10" s="593"/>
      <c r="K10" s="593"/>
      <c r="L10" s="593">
        <v>4</v>
      </c>
      <c r="M10" s="593"/>
      <c r="N10" s="593"/>
    </row>
    <row r="11" s="583" customFormat="1" ht="36" customHeight="1" spans="1:14">
      <c r="A11" s="587" t="s">
        <v>4655</v>
      </c>
      <c r="B11" s="601" t="s">
        <v>4659</v>
      </c>
      <c r="C11" s="602" t="str">
        <f>_xlfn.DISPIMG("ID_2ABBDED5F38F4B7D98B89882496DA2F1",1)</f>
        <v>=DISPIMG("ID_2ABBDED5F38F4B7D98B89882496DA2F1",1)</v>
      </c>
      <c r="D11" s="603"/>
      <c r="E11" s="604"/>
      <c r="F11" s="602" t="str">
        <f>_xlfn.DISPIMG("ID_E6646E1A942C4840AC0EA720E4F5FDF3",1)</f>
        <v>=DISPIMG("ID_E6646E1A942C4840AC0EA720E4F5FDF3",1)</v>
      </c>
      <c r="G11" s="603"/>
      <c r="H11" s="604"/>
      <c r="I11" s="602" t="str">
        <f>_xlfn.DISPIMG("ID_82EFED26E5DE4E1FAF4C6079DBC2708D",1)</f>
        <v>=DISPIMG("ID_82EFED26E5DE4E1FAF4C6079DBC2708D",1)</v>
      </c>
      <c r="J11" s="603"/>
      <c r="K11" s="604"/>
      <c r="L11" s="602" t="str">
        <f>_xlfn.DISPIMG("ID_FFCD2B072B7940759EE81CEBA5E3B37C",1)</f>
        <v>=DISPIMG("ID_FFCD2B072B7940759EE81CEBA5E3B37C",1)</v>
      </c>
      <c r="M11" s="603"/>
      <c r="N11" s="604"/>
    </row>
    <row r="12" s="583" customFormat="1" ht="36" customHeight="1" spans="1:14">
      <c r="A12" s="587"/>
      <c r="B12" s="601"/>
      <c r="C12" s="605"/>
      <c r="D12" s="606"/>
      <c r="E12" s="607"/>
      <c r="F12" s="605"/>
      <c r="G12" s="606"/>
      <c r="H12" s="607"/>
      <c r="I12" s="605"/>
      <c r="J12" s="606"/>
      <c r="K12" s="607"/>
      <c r="L12" s="605"/>
      <c r="M12" s="606"/>
      <c r="N12" s="607"/>
    </row>
    <row r="13" s="583" customFormat="1" ht="36" customHeight="1" spans="1:14">
      <c r="A13" s="587"/>
      <c r="B13" s="601"/>
      <c r="C13" s="608"/>
      <c r="D13" s="609"/>
      <c r="E13" s="610"/>
      <c r="F13" s="608"/>
      <c r="G13" s="609"/>
      <c r="H13" s="610"/>
      <c r="I13" s="608"/>
      <c r="J13" s="609"/>
      <c r="K13" s="610"/>
      <c r="L13" s="608"/>
      <c r="M13" s="609"/>
      <c r="N13" s="610"/>
    </row>
    <row r="14" s="583" customFormat="1" ht="171" customHeight="1" spans="1:14">
      <c r="A14" s="587"/>
      <c r="B14" s="611" t="s">
        <v>4660</v>
      </c>
      <c r="C14" s="612" t="str">
        <f>_xlfn.DISPIMG("ID_E4A4BA5D40B04D1BA8221EBAD12B07C7",1)</f>
        <v>=DISPIMG("ID_E4A4BA5D40B04D1BA8221EBAD12B07C7",1)</v>
      </c>
      <c r="D14" s="613"/>
      <c r="E14" s="614"/>
      <c r="F14" s="612" t="str">
        <f>_xlfn.DISPIMG("ID_8B3B8E7D71434225BB5D8CA2A63AA982",1)</f>
        <v>=DISPIMG("ID_8B3B8E7D71434225BB5D8CA2A63AA982",1)</v>
      </c>
      <c r="G14" s="613"/>
      <c r="H14" s="614"/>
      <c r="I14" s="612" t="str">
        <f>_xlfn.DISPIMG("ID_0A69F4FE57694E39A69373DEB755AF7E",1)</f>
        <v>=DISPIMG("ID_0A69F4FE57694E39A69373DEB755AF7E",1)</v>
      </c>
      <c r="J14" s="613"/>
      <c r="K14" s="614"/>
      <c r="L14" s="612" t="str">
        <f>_xlfn.DISPIMG("ID_C8B7C622B32D4B1C9140A40D3ED6F968",1)</f>
        <v>=DISPIMG("ID_C8B7C622B32D4B1C9140A40D3ED6F968",1)</v>
      </c>
      <c r="M14" s="613"/>
      <c r="N14" s="614"/>
    </row>
    <row r="15" s="583" customFormat="1" ht="30" customHeight="1" spans="1:14">
      <c r="A15" s="587" t="s">
        <v>4661</v>
      </c>
      <c r="B15" s="587"/>
      <c r="C15" s="593"/>
      <c r="D15" s="593"/>
      <c r="E15" s="593"/>
      <c r="F15" s="593"/>
      <c r="G15" s="593"/>
      <c r="H15" s="593"/>
      <c r="I15" s="593"/>
      <c r="J15" s="593"/>
      <c r="K15" s="593"/>
      <c r="L15" s="593"/>
      <c r="M15" s="593"/>
      <c r="N15" s="593"/>
    </row>
    <row r="16" s="583" customFormat="1" ht="30" customHeight="1" spans="1:14">
      <c r="A16" s="587"/>
      <c r="B16" s="587"/>
      <c r="C16" s="593"/>
      <c r="D16" s="593"/>
      <c r="E16" s="593"/>
      <c r="F16" s="593"/>
      <c r="G16" s="593"/>
      <c r="H16" s="593"/>
      <c r="I16" s="593"/>
      <c r="J16" s="593"/>
      <c r="K16" s="593"/>
      <c r="L16" s="593"/>
      <c r="M16" s="593"/>
      <c r="N16" s="593"/>
    </row>
    <row r="17" s="583" customFormat="1" ht="30" customHeight="1" spans="1:14">
      <c r="A17" s="587"/>
      <c r="B17" s="587"/>
      <c r="C17" s="593"/>
      <c r="D17" s="593"/>
      <c r="E17" s="593"/>
      <c r="F17" s="593"/>
      <c r="G17" s="593"/>
      <c r="H17" s="593"/>
      <c r="I17" s="593"/>
      <c r="J17" s="593"/>
      <c r="K17" s="593"/>
      <c r="L17" s="593"/>
      <c r="M17" s="593"/>
      <c r="N17" s="593"/>
    </row>
    <row r="18" s="583" customFormat="1" ht="30" customHeight="1" spans="1:14">
      <c r="A18" s="587"/>
      <c r="B18" s="587"/>
      <c r="C18" s="593"/>
      <c r="D18" s="593"/>
      <c r="E18" s="593"/>
      <c r="F18" s="593"/>
      <c r="G18" s="593"/>
      <c r="H18" s="593"/>
      <c r="I18" s="593"/>
      <c r="J18" s="593"/>
      <c r="K18" s="593"/>
      <c r="L18" s="593"/>
      <c r="M18" s="593"/>
      <c r="N18" s="593"/>
    </row>
    <row r="19" s="583" customFormat="1" ht="30" customHeight="1" spans="1:14">
      <c r="A19" s="587"/>
      <c r="B19" s="587"/>
      <c r="C19" s="593"/>
      <c r="D19" s="593"/>
      <c r="E19" s="593"/>
      <c r="F19" s="593"/>
      <c r="G19" s="593"/>
      <c r="H19" s="593"/>
      <c r="I19" s="593"/>
      <c r="J19" s="593"/>
      <c r="K19" s="593"/>
      <c r="L19" s="593"/>
      <c r="M19" s="593"/>
      <c r="N19" s="593"/>
    </row>
    <row r="20" s="583" customFormat="1" ht="27" customHeight="1" spans="1:14">
      <c r="A20" s="587" t="s">
        <v>247</v>
      </c>
      <c r="B20" s="615" t="s">
        <v>4662</v>
      </c>
      <c r="C20" s="616" t="s">
        <v>4663</v>
      </c>
      <c r="D20" s="611" t="s">
        <v>4664</v>
      </c>
      <c r="E20" s="611"/>
      <c r="F20" s="611"/>
      <c r="G20" s="611"/>
      <c r="H20" s="611"/>
      <c r="I20" s="611" t="s">
        <v>4665</v>
      </c>
      <c r="J20" s="611"/>
      <c r="K20" s="611"/>
      <c r="L20" s="617"/>
      <c r="M20" s="617"/>
      <c r="N20" s="617"/>
    </row>
    <row r="21" s="583" customFormat="1" ht="27" customHeight="1" spans="1:14">
      <c r="A21" s="587"/>
      <c r="B21" s="618"/>
      <c r="C21" s="619" t="s">
        <v>4666</v>
      </c>
      <c r="D21" s="620" t="s">
        <v>4667</v>
      </c>
      <c r="E21" s="620"/>
      <c r="F21" s="621"/>
      <c r="G21" s="621"/>
      <c r="H21" s="621"/>
      <c r="I21" s="622" t="s">
        <v>4668</v>
      </c>
      <c r="J21" s="622"/>
      <c r="K21" s="622"/>
      <c r="L21" s="623"/>
      <c r="M21" s="623"/>
      <c r="N21" s="623"/>
    </row>
    <row r="22" s="583" customFormat="1" ht="27" customHeight="1" spans="1:14">
      <c r="A22" s="587"/>
      <c r="B22" s="618"/>
      <c r="C22" s="619" t="s">
        <v>4669</v>
      </c>
      <c r="D22" s="620" t="s">
        <v>4670</v>
      </c>
      <c r="E22" s="620"/>
      <c r="F22" s="621"/>
      <c r="G22" s="621"/>
      <c r="H22" s="621"/>
      <c r="I22" s="621" t="s">
        <v>4671</v>
      </c>
      <c r="J22" s="621"/>
      <c r="K22" s="621"/>
      <c r="L22" s="624"/>
      <c r="M22" s="624"/>
      <c r="N22" s="624"/>
    </row>
    <row r="23" s="583" customFormat="1" ht="27" customHeight="1" spans="1:14">
      <c r="A23" s="587"/>
      <c r="B23" s="618"/>
      <c r="C23" s="619" t="s">
        <v>4672</v>
      </c>
      <c r="D23" s="620" t="s">
        <v>4673</v>
      </c>
      <c r="E23" s="620"/>
      <c r="F23" s="621"/>
      <c r="G23" s="621"/>
      <c r="H23" s="621"/>
      <c r="I23" s="625" t="s">
        <v>4674</v>
      </c>
      <c r="J23" s="621"/>
      <c r="K23" s="621"/>
      <c r="L23" s="624"/>
      <c r="M23" s="624"/>
      <c r="N23" s="624"/>
    </row>
    <row r="24" s="583" customFormat="1" ht="27" customHeight="1" spans="1:14">
      <c r="A24" s="587"/>
      <c r="B24" s="618"/>
      <c r="C24" s="619" t="s">
        <v>4675</v>
      </c>
      <c r="D24" s="620" t="s">
        <v>4676</v>
      </c>
      <c r="E24" s="620"/>
      <c r="F24" s="621"/>
      <c r="G24" s="621"/>
      <c r="H24" s="621"/>
      <c r="I24" s="625" t="s">
        <v>4677</v>
      </c>
      <c r="J24" s="621"/>
      <c r="K24" s="621"/>
      <c r="L24" s="624"/>
      <c r="M24" s="624"/>
      <c r="N24" s="624"/>
    </row>
    <row r="25" s="583" customFormat="1" ht="28" customHeight="1" spans="1:14">
      <c r="A25" s="587"/>
      <c r="B25" s="626"/>
      <c r="C25" s="620" t="s">
        <v>4678</v>
      </c>
      <c r="D25" s="620" t="s">
        <v>4679</v>
      </c>
      <c r="E25" s="620"/>
      <c r="F25" s="620"/>
      <c r="G25" s="620"/>
      <c r="H25" s="620"/>
      <c r="I25" s="621" t="s">
        <v>4680</v>
      </c>
      <c r="J25" s="621"/>
      <c r="K25" s="621"/>
      <c r="L25" s="624"/>
      <c r="M25" s="624"/>
      <c r="N25" s="624"/>
    </row>
    <row r="26" ht="27" customHeight="1" spans="1:14">
      <c r="A26" s="587"/>
      <c r="B26" s="615" t="s">
        <v>4681</v>
      </c>
      <c r="C26" s="620" t="s">
        <v>4682</v>
      </c>
      <c r="D26" s="620" t="s">
        <v>4679</v>
      </c>
      <c r="E26" s="620"/>
      <c r="F26" s="620"/>
      <c r="G26" s="620"/>
      <c r="H26" s="620"/>
      <c r="I26" s="621" t="s">
        <v>4680</v>
      </c>
      <c r="J26" s="621"/>
      <c r="K26" s="621"/>
    </row>
    <row r="27" ht="27" customHeight="1" spans="1:14">
      <c r="A27" s="587"/>
      <c r="B27" s="618"/>
      <c r="C27" s="620" t="s">
        <v>4683</v>
      </c>
      <c r="D27" s="620"/>
      <c r="E27" s="620"/>
      <c r="F27" s="620"/>
      <c r="G27" s="620"/>
      <c r="H27" s="620"/>
      <c r="I27" s="621"/>
      <c r="J27" s="621"/>
      <c r="K27" s="621"/>
    </row>
    <row r="28" ht="27" customHeight="1" spans="1:14">
      <c r="A28" s="587"/>
      <c r="B28" s="618"/>
      <c r="C28" s="620" t="s">
        <v>4684</v>
      </c>
      <c r="D28" s="620"/>
      <c r="E28" s="620"/>
      <c r="F28" s="620"/>
      <c r="G28" s="620"/>
      <c r="H28" s="620"/>
      <c r="I28" s="621"/>
      <c r="J28" s="621"/>
      <c r="K28" s="621"/>
    </row>
    <row r="29" ht="27" customHeight="1" spans="1:14">
      <c r="A29" s="587"/>
      <c r="B29" s="618"/>
      <c r="C29" s="620" t="s">
        <v>4685</v>
      </c>
      <c r="D29" s="620"/>
      <c r="E29" s="620"/>
      <c r="F29" s="620"/>
      <c r="G29" s="620"/>
      <c r="H29" s="620"/>
      <c r="I29" s="621"/>
      <c r="J29" s="621"/>
      <c r="K29" s="621"/>
    </row>
    <row r="30" ht="27" customHeight="1" spans="1:14">
      <c r="A30" s="587"/>
      <c r="B30" s="615" t="s">
        <v>4686</v>
      </c>
      <c r="C30" s="620" t="s">
        <v>4687</v>
      </c>
      <c r="D30" s="620"/>
      <c r="E30" s="620"/>
      <c r="F30" s="620"/>
      <c r="G30" s="620"/>
      <c r="H30" s="620"/>
      <c r="I30" s="621"/>
      <c r="J30" s="621"/>
      <c r="K30" s="621"/>
    </row>
    <row r="31" ht="27" customHeight="1" spans="1:14">
      <c r="A31" s="587"/>
      <c r="B31" s="618"/>
      <c r="C31" s="620" t="s">
        <v>4688</v>
      </c>
      <c r="D31" s="620"/>
      <c r="E31" s="620"/>
      <c r="F31" s="620"/>
      <c r="G31" s="620"/>
      <c r="H31" s="620"/>
      <c r="I31" s="621"/>
      <c r="J31" s="621"/>
      <c r="K31" s="621"/>
    </row>
    <row r="32" ht="27" customHeight="1" spans="1:14">
      <c r="A32" s="587"/>
      <c r="B32" s="618"/>
      <c r="C32" s="620" t="s">
        <v>4689</v>
      </c>
      <c r="D32" s="620"/>
      <c r="E32" s="620"/>
      <c r="F32" s="620"/>
      <c r="G32" s="620"/>
      <c r="H32" s="620"/>
      <c r="I32" s="621"/>
      <c r="J32" s="621"/>
      <c r="K32" s="621"/>
    </row>
    <row r="33" ht="27" customHeight="1" spans="1:11">
      <c r="A33" s="587"/>
      <c r="B33" s="618"/>
      <c r="C33" s="620" t="s">
        <v>4690</v>
      </c>
      <c r="D33" s="620"/>
      <c r="E33" s="620"/>
      <c r="F33" s="620"/>
      <c r="G33" s="620"/>
      <c r="H33" s="620"/>
      <c r="I33" s="621"/>
      <c r="J33" s="621"/>
      <c r="K33" s="621"/>
    </row>
    <row r="34" ht="27" customHeight="1" spans="1:11">
      <c r="A34" s="587"/>
      <c r="B34" s="618"/>
      <c r="C34" s="620" t="s">
        <v>4691</v>
      </c>
      <c r="D34" s="620"/>
      <c r="E34" s="620"/>
      <c r="F34" s="620"/>
      <c r="G34" s="620"/>
      <c r="H34" s="620"/>
      <c r="I34" s="621"/>
      <c r="J34" s="621"/>
      <c r="K34" s="621"/>
    </row>
    <row r="35" ht="27" customHeight="1" spans="1:11">
      <c r="A35" s="587"/>
      <c r="B35" s="626"/>
      <c r="C35" s="620" t="s">
        <v>4692</v>
      </c>
      <c r="D35" s="620"/>
      <c r="E35" s="620"/>
      <c r="F35" s="620"/>
      <c r="G35" s="620"/>
      <c r="H35" s="620"/>
      <c r="I35" s="621"/>
      <c r="J35" s="621"/>
      <c r="K35" s="621"/>
    </row>
  </sheetData>
  <mergeCells count="92">
    <mergeCell ref="A1:K1"/>
    <mergeCell ref="C2:E2"/>
    <mergeCell ref="F2:H2"/>
    <mergeCell ref="I2:K2"/>
    <mergeCell ref="L2:N2"/>
    <mergeCell ref="C3:E3"/>
    <mergeCell ref="F3:H3"/>
    <mergeCell ref="I3:K3"/>
    <mergeCell ref="L3:N3"/>
    <mergeCell ref="C4:E4"/>
    <mergeCell ref="F4:H4"/>
    <mergeCell ref="I4:K4"/>
    <mergeCell ref="L4:N4"/>
    <mergeCell ref="C5:E5"/>
    <mergeCell ref="F5:H5"/>
    <mergeCell ref="I5:K5"/>
    <mergeCell ref="L5:N5"/>
    <mergeCell ref="C6:E6"/>
    <mergeCell ref="F6:H6"/>
    <mergeCell ref="I6:K6"/>
    <mergeCell ref="L6:N6"/>
    <mergeCell ref="C7:E7"/>
    <mergeCell ref="F7:H7"/>
    <mergeCell ref="I7:K7"/>
    <mergeCell ref="L7:N7"/>
    <mergeCell ref="C8:E8"/>
    <mergeCell ref="F8:H8"/>
    <mergeCell ref="I8:K8"/>
    <mergeCell ref="L8:N8"/>
    <mergeCell ref="C9:E9"/>
    <mergeCell ref="F9:H9"/>
    <mergeCell ref="I9:K9"/>
    <mergeCell ref="L9:N9"/>
    <mergeCell ref="C10:E10"/>
    <mergeCell ref="F10:H10"/>
    <mergeCell ref="I10:K10"/>
    <mergeCell ref="L10:N10"/>
    <mergeCell ref="C14:E14"/>
    <mergeCell ref="F14:H14"/>
    <mergeCell ref="I14:K14"/>
    <mergeCell ref="L14:N14"/>
    <mergeCell ref="D20:H20"/>
    <mergeCell ref="I20:K20"/>
    <mergeCell ref="L20:N20"/>
    <mergeCell ref="D21:H21"/>
    <mergeCell ref="I21:K21"/>
    <mergeCell ref="L21:N21"/>
    <mergeCell ref="D22:H22"/>
    <mergeCell ref="I22:K22"/>
    <mergeCell ref="L22:N22"/>
    <mergeCell ref="D23:H23"/>
    <mergeCell ref="I23:K23"/>
    <mergeCell ref="L23:N23"/>
    <mergeCell ref="D24:H24"/>
    <mergeCell ref="I24:K24"/>
    <mergeCell ref="L24:N24"/>
    <mergeCell ref="D25:H25"/>
    <mergeCell ref="I25:K25"/>
    <mergeCell ref="L25:N25"/>
    <mergeCell ref="D26:H26"/>
    <mergeCell ref="I26:K26"/>
    <mergeCell ref="D27:H27"/>
    <mergeCell ref="I27:K27"/>
    <mergeCell ref="D28:H28"/>
    <mergeCell ref="I28:K28"/>
    <mergeCell ref="D29:H29"/>
    <mergeCell ref="I29:K29"/>
    <mergeCell ref="D30:H30"/>
    <mergeCell ref="I30:K30"/>
    <mergeCell ref="D31:H31"/>
    <mergeCell ref="I31:K31"/>
    <mergeCell ref="D32:H32"/>
    <mergeCell ref="I32:K32"/>
    <mergeCell ref="D33:H33"/>
    <mergeCell ref="I33:K33"/>
    <mergeCell ref="D34:H34"/>
    <mergeCell ref="I34:K34"/>
    <mergeCell ref="D35:H35"/>
    <mergeCell ref="I35:K35"/>
    <mergeCell ref="A2:A10"/>
    <mergeCell ref="A11:A14"/>
    <mergeCell ref="A20:A35"/>
    <mergeCell ref="B11:B13"/>
    <mergeCell ref="B20:B25"/>
    <mergeCell ref="B26:B29"/>
    <mergeCell ref="B30:B35"/>
    <mergeCell ref="C11:E13"/>
    <mergeCell ref="F11:H13"/>
    <mergeCell ref="I11:K13"/>
    <mergeCell ref="L11:N13"/>
    <mergeCell ref="A15:B19"/>
    <mergeCell ref="C15:N19"/>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99"/>
  <sheetViews>
    <sheetView showGridLines="0" zoomScale="85" zoomScaleNormal="85" topLeftCell="A43" workbookViewId="0">
      <selection activeCell="AG23" sqref="AG23"/>
    </sheetView>
  </sheetViews>
  <sheetFormatPr defaultColWidth="9" defaultRowHeight="13.5"/>
  <cols>
    <col min="1" max="1" width="21.3" customWidth="1"/>
    <col min="2" max="2" width="8" customWidth="1"/>
    <col min="3" max="3" width="6.625" customWidth="1"/>
    <col min="4" max="4" width="8.61666666666667" customWidth="1"/>
    <col min="5" max="6" width="5.75" customWidth="1"/>
    <col min="7" max="7" width="6.625" customWidth="1"/>
    <col min="8" max="8" width="7.125" customWidth="1"/>
    <col min="9" max="9" width="6.625" customWidth="1"/>
    <col min="10" max="10" width="8.075" customWidth="1"/>
    <col min="11" max="11" width="6.625" customWidth="1"/>
    <col min="12" max="12" width="8.075" customWidth="1"/>
    <col min="13" max="14" width="6.625" customWidth="1"/>
    <col min="15" max="15" width="8.125" customWidth="1"/>
    <col min="16" max="16" width="7.375" customWidth="1"/>
    <col min="17" max="17" width="9.25" customWidth="1"/>
    <col min="18" max="18" width="9" customWidth="1"/>
    <col min="19" max="19" width="8.54166666666667" customWidth="1"/>
    <col min="20" max="23" width="6.625" customWidth="1"/>
    <col min="24" max="24" width="7.375" customWidth="1"/>
    <col min="25" max="25" width="9" customWidth="1"/>
    <col min="26" max="27" width="7.375" customWidth="1"/>
    <col min="28" max="30" width="6.875" customWidth="1"/>
    <col min="31" max="31" width="7.125" customWidth="1"/>
    <col min="32" max="32" width="12.35" customWidth="1"/>
    <col min="33" max="33" width="11.125"/>
    <col min="35" max="35" width="11.75"/>
    <col min="47" max="47" width="9.25"/>
  </cols>
  <sheetData>
    <row r="1" s="430" customFormat="1" ht="42.75" spans="1:48">
      <c r="A1" s="433" t="s">
        <v>4693</v>
      </c>
      <c r="B1" s="434" t="s">
        <v>4694</v>
      </c>
      <c r="C1" s="434" t="s">
        <v>4695</v>
      </c>
      <c r="D1" s="434" t="s">
        <v>4696</v>
      </c>
      <c r="E1" s="434" t="s">
        <v>4697</v>
      </c>
      <c r="F1" s="434" t="s">
        <v>4698</v>
      </c>
      <c r="G1" s="434" t="s">
        <v>4699</v>
      </c>
      <c r="H1" s="434" t="s">
        <v>4700</v>
      </c>
      <c r="I1" s="434" t="s">
        <v>4701</v>
      </c>
      <c r="J1" s="434" t="s">
        <v>4702</v>
      </c>
      <c r="K1" s="434" t="s">
        <v>4703</v>
      </c>
      <c r="L1" s="434" t="s">
        <v>4704</v>
      </c>
      <c r="M1" s="434" t="s">
        <v>4705</v>
      </c>
      <c r="N1" s="434" t="s">
        <v>4706</v>
      </c>
      <c r="O1" s="434" t="s">
        <v>4707</v>
      </c>
      <c r="P1" s="434" t="s">
        <v>4708</v>
      </c>
      <c r="Q1" s="434" t="s">
        <v>4709</v>
      </c>
      <c r="R1" s="434" t="s">
        <v>4710</v>
      </c>
      <c r="S1" s="435"/>
      <c r="T1" s="435"/>
      <c r="U1" s="435">
        <f>C2/6.8</f>
        <v>18.6764705882353</v>
      </c>
      <c r="V1" s="435"/>
      <c r="W1" s="435"/>
      <c r="X1" s="435"/>
      <c r="Y1" s="435"/>
      <c r="Z1" s="435"/>
      <c r="AA1" s="435">
        <f>4.8/0.956</f>
        <v>5.02092050209205</v>
      </c>
      <c r="AB1" s="435"/>
      <c r="AC1" s="435"/>
      <c r="AD1" s="435"/>
      <c r="AE1" s="436"/>
    </row>
    <row r="2" s="430" customFormat="1" ht="18" customHeight="1" spans="1:48">
      <c r="A2" s="437" t="s">
        <v>4711</v>
      </c>
      <c r="B2" s="430" t="s">
        <v>1110</v>
      </c>
      <c r="C2" s="438">
        <v>127</v>
      </c>
      <c r="D2" s="439">
        <v>69.99</v>
      </c>
      <c r="E2" s="440"/>
      <c r="F2" s="441"/>
      <c r="G2" s="440"/>
      <c r="H2" s="440">
        <v>37.5</v>
      </c>
      <c r="I2" s="440">
        <v>35.5</v>
      </c>
      <c r="J2" s="440">
        <v>30</v>
      </c>
      <c r="K2" s="440">
        <v>3.4</v>
      </c>
      <c r="L2" s="440">
        <v>4.3</v>
      </c>
      <c r="P2" s="430">
        <v>60</v>
      </c>
      <c r="Q2" s="440">
        <f>M2*N2*O2/6000</f>
        <v>0</v>
      </c>
      <c r="R2" s="440">
        <f>Q2/P2</f>
        <v>0</v>
      </c>
      <c r="V2" s="430" t="s">
        <v>4712</v>
      </c>
      <c r="Y2" s="430">
        <f>104.5*0.9</f>
        <v>94.05</v>
      </c>
      <c r="AE2" s="442"/>
    </row>
    <row r="3" s="431" customFormat="1" ht="18" customHeight="1" spans="1:48">
      <c r="A3" s="443"/>
      <c r="B3" s="444" t="s">
        <v>4713</v>
      </c>
      <c r="C3" s="444">
        <f t="shared" ref="C3:R3" si="0">C2</f>
        <v>127</v>
      </c>
      <c r="D3" s="445"/>
      <c r="E3" s="440">
        <f t="shared" si="0"/>
        <v>0</v>
      </c>
      <c r="F3" s="441">
        <f t="shared" si="0"/>
        <v>0</v>
      </c>
      <c r="G3" s="440">
        <f t="shared" si="0"/>
        <v>0</v>
      </c>
      <c r="H3" s="440">
        <f t="shared" si="0"/>
        <v>37.5</v>
      </c>
      <c r="I3" s="440">
        <f t="shared" si="0"/>
        <v>35.5</v>
      </c>
      <c r="J3" s="440">
        <f t="shared" si="0"/>
        <v>30</v>
      </c>
      <c r="K3" s="440">
        <f t="shared" si="0"/>
        <v>3.4</v>
      </c>
      <c r="L3" s="440">
        <f t="shared" si="0"/>
        <v>4.3</v>
      </c>
      <c r="M3" s="430">
        <f t="shared" si="0"/>
        <v>0</v>
      </c>
      <c r="N3" s="430">
        <f t="shared" si="0"/>
        <v>0</v>
      </c>
      <c r="O3" s="430">
        <f t="shared" si="0"/>
        <v>0</v>
      </c>
      <c r="P3" s="430">
        <f t="shared" si="0"/>
        <v>60</v>
      </c>
      <c r="Q3" s="440">
        <f t="shared" si="0"/>
        <v>0</v>
      </c>
      <c r="R3" s="440">
        <f t="shared" si="0"/>
        <v>0</v>
      </c>
      <c r="S3" s="444"/>
      <c r="T3" s="444"/>
      <c r="U3" s="444"/>
      <c r="V3" s="444">
        <f>0.32*1.96+7.17</f>
        <v>7.7972</v>
      </c>
      <c r="W3" s="444">
        <f>7.17+0.53*0.32</f>
        <v>7.3396</v>
      </c>
      <c r="X3" s="444"/>
      <c r="Y3" s="444">
        <f>9.73+8.48*0.42</f>
        <v>13.2916</v>
      </c>
      <c r="Z3" s="444"/>
      <c r="AA3" s="444"/>
      <c r="AB3" s="444"/>
      <c r="AC3" s="444"/>
      <c r="AD3" s="444"/>
      <c r="AE3" s="446"/>
      <c r="AF3" s="444"/>
      <c r="AG3" s="447"/>
      <c r="AH3" s="447"/>
      <c r="AI3" s="448"/>
      <c r="AJ3" s="448"/>
      <c r="AK3" s="448"/>
      <c r="AL3" s="448"/>
      <c r="AM3" s="448"/>
      <c r="AN3" s="448"/>
      <c r="AO3" s="448"/>
      <c r="AP3" s="448"/>
      <c r="AQ3" s="448"/>
      <c r="AR3" s="448"/>
      <c r="AS3" s="448"/>
      <c r="AT3" s="448"/>
      <c r="AU3" s="448"/>
      <c r="AV3" s="448"/>
    </row>
    <row r="4" s="431" customFormat="1" ht="18" customHeight="1" spans="1:48">
      <c r="A4" s="443"/>
      <c r="B4" s="444" t="s">
        <v>4714</v>
      </c>
      <c r="C4" s="444">
        <f t="shared" ref="C4:R4" si="1">C3</f>
        <v>127</v>
      </c>
      <c r="D4" s="449"/>
      <c r="E4" s="440">
        <f t="shared" si="1"/>
        <v>0</v>
      </c>
      <c r="F4" s="441">
        <f t="shared" si="1"/>
        <v>0</v>
      </c>
      <c r="G4" s="440">
        <f t="shared" si="1"/>
        <v>0</v>
      </c>
      <c r="H4" s="440">
        <f t="shared" si="1"/>
        <v>37.5</v>
      </c>
      <c r="I4" s="440">
        <f t="shared" si="1"/>
        <v>35.5</v>
      </c>
      <c r="J4" s="440">
        <f t="shared" si="1"/>
        <v>30</v>
      </c>
      <c r="K4" s="440">
        <f t="shared" si="1"/>
        <v>3.4</v>
      </c>
      <c r="L4" s="440">
        <f t="shared" si="1"/>
        <v>4.3</v>
      </c>
      <c r="M4" s="430">
        <f t="shared" si="1"/>
        <v>0</v>
      </c>
      <c r="N4" s="430">
        <f t="shared" si="1"/>
        <v>0</v>
      </c>
      <c r="O4" s="430">
        <f t="shared" si="1"/>
        <v>0</v>
      </c>
      <c r="P4" s="430">
        <f t="shared" si="1"/>
        <v>60</v>
      </c>
      <c r="Q4" s="440">
        <f t="shared" si="1"/>
        <v>0</v>
      </c>
      <c r="R4" s="440">
        <f t="shared" si="1"/>
        <v>0</v>
      </c>
      <c r="S4" s="444"/>
      <c r="T4" s="444"/>
      <c r="U4" s="444"/>
      <c r="V4" s="444"/>
      <c r="W4" s="444"/>
      <c r="X4" s="444"/>
      <c r="Y4" s="444"/>
      <c r="Z4" s="444"/>
      <c r="AA4" s="444"/>
      <c r="AB4" s="444"/>
      <c r="AC4" s="444"/>
      <c r="AD4" s="444"/>
      <c r="AE4" s="446"/>
      <c r="AF4" s="444"/>
      <c r="AG4" s="447"/>
      <c r="AH4" s="447"/>
      <c r="AI4" s="448"/>
      <c r="AJ4" s="448"/>
      <c r="AK4" s="448"/>
      <c r="AL4" s="448"/>
      <c r="AM4" s="448"/>
      <c r="AN4" s="448"/>
      <c r="AO4" s="448"/>
      <c r="AP4" s="448"/>
      <c r="AQ4" s="448"/>
      <c r="AR4" s="448"/>
      <c r="AS4" s="448"/>
      <c r="AT4" s="448"/>
      <c r="AU4" s="448"/>
      <c r="AV4" s="448"/>
    </row>
    <row r="5" s="432" customFormat="1" ht="25" customHeight="1" spans="1:48">
      <c r="A5" s="450" t="s">
        <v>4715</v>
      </c>
      <c r="B5" s="451" t="s">
        <v>4716</v>
      </c>
      <c r="C5" s="451"/>
      <c r="D5" s="451"/>
      <c r="E5" s="451"/>
      <c r="F5" s="451"/>
      <c r="G5" s="451"/>
      <c r="H5" s="451"/>
      <c r="I5" s="451"/>
      <c r="J5" s="451"/>
      <c r="K5" s="451"/>
      <c r="L5" s="451"/>
      <c r="M5" s="451"/>
      <c r="N5" s="451"/>
      <c r="O5" s="451"/>
      <c r="P5" s="451"/>
      <c r="Q5" s="451"/>
      <c r="R5" s="451"/>
      <c r="S5" s="451"/>
      <c r="T5" s="451"/>
      <c r="U5" s="451"/>
      <c r="V5" s="451"/>
      <c r="W5" s="451"/>
      <c r="X5" s="451"/>
      <c r="Y5" s="451"/>
      <c r="Z5" s="451"/>
      <c r="AA5" s="451"/>
      <c r="AB5" s="451"/>
      <c r="AC5" s="451"/>
      <c r="AD5" s="451"/>
      <c r="AE5" s="452"/>
      <c r="AF5" s="453" t="s">
        <v>4717</v>
      </c>
      <c r="AG5" s="454"/>
      <c r="AH5" s="454"/>
      <c r="AI5" s="455"/>
      <c r="AJ5" s="455"/>
      <c r="AK5" s="455"/>
      <c r="AL5" s="455"/>
      <c r="AM5" s="455"/>
      <c r="AN5" s="455"/>
      <c r="AO5" s="455"/>
      <c r="AP5" s="455"/>
      <c r="AQ5" s="455"/>
      <c r="AR5" s="455"/>
      <c r="AS5" s="455"/>
      <c r="AT5" s="455"/>
      <c r="AU5" s="455"/>
      <c r="AV5" s="455"/>
    </row>
    <row r="6" s="431" customFormat="1" ht="26" customHeight="1" spans="1:48">
      <c r="A6" s="456">
        <v>1</v>
      </c>
      <c r="B6" s="457" t="s">
        <v>4718</v>
      </c>
      <c r="C6" s="458"/>
      <c r="D6" s="458"/>
      <c r="E6" s="458"/>
      <c r="F6" s="458"/>
      <c r="G6" s="458"/>
      <c r="H6" s="459"/>
      <c r="I6" s="460"/>
      <c r="J6" s="460"/>
      <c r="K6" s="461"/>
      <c r="L6" s="462" t="s">
        <v>4719</v>
      </c>
      <c r="M6" s="462"/>
      <c r="N6" s="462"/>
      <c r="O6" s="462"/>
      <c r="P6" s="463" t="s">
        <v>4720</v>
      </c>
      <c r="Q6" s="464"/>
      <c r="R6" s="464"/>
      <c r="S6" s="465"/>
      <c r="T6" s="466" t="s">
        <v>4721</v>
      </c>
      <c r="U6" s="467"/>
      <c r="V6" s="467"/>
      <c r="W6" s="467"/>
      <c r="X6" s="467"/>
      <c r="Y6" s="468"/>
      <c r="Z6" s="467"/>
      <c r="AA6" s="469"/>
      <c r="AB6" s="470" t="s">
        <v>4722</v>
      </c>
      <c r="AC6" s="471"/>
      <c r="AD6" s="471"/>
      <c r="AE6" s="472"/>
      <c r="AF6" s="473" t="s">
        <v>4723</v>
      </c>
      <c r="AG6" s="474" t="s">
        <v>4724</v>
      </c>
      <c r="AH6" s="475" t="s">
        <v>4725</v>
      </c>
      <c r="AI6" s="476" t="s">
        <v>4726</v>
      </c>
      <c r="AJ6" s="476"/>
      <c r="AK6" s="476"/>
      <c r="AL6" s="476"/>
      <c r="AM6" s="476" t="s">
        <v>809</v>
      </c>
      <c r="AN6" s="476"/>
      <c r="AO6" s="476"/>
      <c r="AP6" s="476"/>
      <c r="AQ6" s="476" t="s">
        <v>4727</v>
      </c>
      <c r="AR6" s="476"/>
      <c r="AS6" s="476"/>
      <c r="AT6" s="476"/>
      <c r="AU6" s="447"/>
      <c r="AV6" s="447"/>
    </row>
    <row r="7" s="431" customFormat="1" ht="26" customHeight="1" spans="1:48">
      <c r="A7" s="477"/>
      <c r="B7" s="478" t="s">
        <v>812</v>
      </c>
      <c r="C7" s="479" t="s">
        <v>4728</v>
      </c>
      <c r="D7" s="480"/>
      <c r="E7" s="481"/>
      <c r="F7" s="481" t="s">
        <v>4729</v>
      </c>
      <c r="G7" s="479" t="s">
        <v>4730</v>
      </c>
      <c r="H7" s="482" t="s">
        <v>4731</v>
      </c>
      <c r="I7" s="479" t="s">
        <v>4732</v>
      </c>
      <c r="J7" s="479" t="s">
        <v>4733</v>
      </c>
      <c r="K7" s="479" t="s">
        <v>4734</v>
      </c>
      <c r="L7" s="483" t="s">
        <v>4735</v>
      </c>
      <c r="M7" s="484" t="s">
        <v>4736</v>
      </c>
      <c r="N7" s="484" t="s">
        <v>4737</v>
      </c>
      <c r="O7" s="485" t="s">
        <v>4733</v>
      </c>
      <c r="P7" s="486" t="s">
        <v>4696</v>
      </c>
      <c r="Q7" s="487" t="s">
        <v>4738</v>
      </c>
      <c r="R7" s="487" t="s">
        <v>4739</v>
      </c>
      <c r="S7" s="488" t="s">
        <v>4740</v>
      </c>
      <c r="T7" s="489" t="s">
        <v>4741</v>
      </c>
      <c r="U7" s="489" t="s">
        <v>4742</v>
      </c>
      <c r="V7" s="490" t="s">
        <v>4743</v>
      </c>
      <c r="W7" s="490" t="s">
        <v>4744</v>
      </c>
      <c r="X7" s="491" t="s">
        <v>4745</v>
      </c>
      <c r="Y7" s="492" t="s">
        <v>4746</v>
      </c>
      <c r="Z7" s="493" t="s">
        <v>4747</v>
      </c>
      <c r="AA7" s="494" t="s">
        <v>4748</v>
      </c>
      <c r="AB7" s="495" t="s">
        <v>4749</v>
      </c>
      <c r="AC7" s="495" t="s">
        <v>4750</v>
      </c>
      <c r="AD7" s="495" t="s">
        <v>4751</v>
      </c>
      <c r="AE7" s="496" t="s">
        <v>4752</v>
      </c>
      <c r="AF7" s="497"/>
      <c r="AG7" s="498"/>
      <c r="AH7" s="499"/>
      <c r="AI7" s="500" t="s">
        <v>4753</v>
      </c>
      <c r="AJ7" s="444"/>
      <c r="AK7" s="444"/>
      <c r="AL7" s="444"/>
      <c r="AM7" s="447"/>
      <c r="AN7" s="501"/>
      <c r="AO7" s="501"/>
      <c r="AP7" s="501"/>
      <c r="AQ7" s="502"/>
      <c r="AR7" s="503"/>
      <c r="AS7" s="503"/>
      <c r="AT7" s="503"/>
      <c r="AU7" s="504"/>
      <c r="AV7" s="504"/>
    </row>
    <row r="8" s="431" customFormat="1" ht="26" customHeight="1" spans="1:48">
      <c r="A8" s="505" t="str">
        <f>_xlfn.DISPIMG("ID_17476ABB353D469C805A7DB7D6F42F20",1)</f>
        <v>=DISPIMG("ID_17476ABB353D469C805A7DB7D6F42F20",1)</v>
      </c>
      <c r="B8" s="506" t="s">
        <v>4754</v>
      </c>
      <c r="C8" s="507">
        <f t="shared" ref="C8:G8" si="2">H2</f>
        <v>37.5</v>
      </c>
      <c r="D8" s="507">
        <f t="shared" si="2"/>
        <v>35.5</v>
      </c>
      <c r="E8" s="507">
        <f t="shared" si="2"/>
        <v>30</v>
      </c>
      <c r="F8" s="508">
        <f t="shared" ref="F8:F10" si="3">C8*D8*E8/6000</f>
        <v>6.65625</v>
      </c>
      <c r="G8" s="509">
        <f t="shared" si="2"/>
        <v>4.3</v>
      </c>
      <c r="H8" s="510">
        <f>C2</f>
        <v>127</v>
      </c>
      <c r="I8" s="511">
        <f>H8/K8</f>
        <v>18.6764705882353</v>
      </c>
      <c r="J8" s="512">
        <f>I8/P8</f>
        <v>0.266844843380987</v>
      </c>
      <c r="K8" s="513">
        <v>6.8</v>
      </c>
      <c r="L8" s="514">
        <f>MAX(F8:G8)*AF8</f>
        <v>186.375</v>
      </c>
      <c r="M8" s="515">
        <v>13.29</v>
      </c>
      <c r="N8" s="515">
        <f t="shared" ref="N8:N10" si="4">L8/K8+M8</f>
        <v>40.6980882352941</v>
      </c>
      <c r="O8" s="516">
        <f>N8/P8</f>
        <v>0.581484329694158</v>
      </c>
      <c r="P8" s="517">
        <f>D2</f>
        <v>69.99</v>
      </c>
      <c r="Q8" s="517">
        <f>P8*0.15</f>
        <v>10.4985</v>
      </c>
      <c r="R8" s="517">
        <v>0</v>
      </c>
      <c r="S8" s="517">
        <f t="shared" ref="S8:S10" si="5">0.85*P8</f>
        <v>59.4915</v>
      </c>
      <c r="T8" s="518">
        <v>0.01</v>
      </c>
      <c r="U8" s="519">
        <v>0.01</v>
      </c>
      <c r="V8" s="519">
        <v>0</v>
      </c>
      <c r="W8" s="520">
        <v>0.03</v>
      </c>
      <c r="X8" s="521">
        <f t="shared" ref="X8:X10" si="6">(100%-T8-U8-V8-W8)*P8-N8-I8-Q8-R8</f>
        <v>-3.38255882352942</v>
      </c>
      <c r="Y8" s="522">
        <f t="shared" ref="Y8:Y10" si="7">X8/P8</f>
        <v>-0.0483291730751453</v>
      </c>
      <c r="Z8" s="521">
        <f t="shared" ref="Z8:Z10" si="8">(100%-T8-U8-V8-W8)*S8-N8-I8-Q8</f>
        <v>-13.3561338235294</v>
      </c>
      <c r="AA8" s="523">
        <f t="shared" ref="AA8:AA10" si="9">Z8/P8</f>
        <v>-0.190829173075145</v>
      </c>
      <c r="AB8" s="524">
        <f t="shared" ref="AB8:AB10" si="10">L8/K8/P8*100%</f>
        <v>0.391600060512846</v>
      </c>
      <c r="AC8" s="524">
        <f t="shared" ref="AC8:AC10" si="11">M8/P8*100%</f>
        <v>0.189884269181312</v>
      </c>
      <c r="AD8" s="524">
        <f t="shared" ref="AD8:AD10" si="12">H8/K8/P8*100%</f>
        <v>0.266844843380987</v>
      </c>
      <c r="AE8" s="525">
        <f t="shared" ref="AE8:AE10" si="13">V8/P8*100%</f>
        <v>0</v>
      </c>
      <c r="AF8" s="526">
        <v>28</v>
      </c>
      <c r="AG8" s="527">
        <v>30</v>
      </c>
      <c r="AH8" s="528" t="s">
        <v>4755</v>
      </c>
      <c r="AI8" s="444"/>
      <c r="AJ8" s="444"/>
      <c r="AK8" s="444"/>
      <c r="AL8" s="444"/>
      <c r="AM8" s="501"/>
      <c r="AN8" s="501"/>
      <c r="AO8" s="501"/>
      <c r="AP8" s="501"/>
      <c r="AQ8" s="503"/>
      <c r="AR8" s="503"/>
      <c r="AS8" s="503"/>
      <c r="AT8" s="503"/>
      <c r="AU8" s="504"/>
      <c r="AV8" s="504"/>
    </row>
    <row r="9" s="431" customFormat="1" ht="26" customHeight="1" spans="1:48">
      <c r="A9" s="529"/>
      <c r="B9" s="530" t="s">
        <v>4756</v>
      </c>
      <c r="C9" s="531">
        <f t="shared" ref="C9:K9" si="14">C8</f>
        <v>37.5</v>
      </c>
      <c r="D9" s="531">
        <f t="shared" si="14"/>
        <v>35.5</v>
      </c>
      <c r="E9" s="531">
        <f t="shared" si="14"/>
        <v>30</v>
      </c>
      <c r="F9" s="532">
        <f t="shared" si="3"/>
        <v>6.65625</v>
      </c>
      <c r="G9" s="509">
        <f t="shared" si="14"/>
        <v>4.3</v>
      </c>
      <c r="H9" s="510">
        <f t="shared" si="14"/>
        <v>127</v>
      </c>
      <c r="I9" s="511">
        <f t="shared" si="14"/>
        <v>18.6764705882353</v>
      </c>
      <c r="J9" s="512">
        <f t="shared" si="14"/>
        <v>0.266844843380987</v>
      </c>
      <c r="K9" s="513">
        <f t="shared" si="14"/>
        <v>6.8</v>
      </c>
      <c r="L9" s="514">
        <f t="shared" ref="L8:L10" si="15">MAX(F9:G9)*AF9</f>
        <v>69.890625</v>
      </c>
      <c r="M9" s="515">
        <f>M8</f>
        <v>13.29</v>
      </c>
      <c r="N9" s="515">
        <f t="shared" si="4"/>
        <v>23.5680330882353</v>
      </c>
      <c r="O9" s="516">
        <f t="shared" ref="O8:O10" si="16">N9/P9</f>
        <v>0.336734291873629</v>
      </c>
      <c r="P9" s="517">
        <f>P8</f>
        <v>69.99</v>
      </c>
      <c r="Q9" s="517">
        <f t="shared" ref="Q8:Q10" si="17">P9*0.15</f>
        <v>10.4985</v>
      </c>
      <c r="R9" s="517">
        <v>0</v>
      </c>
      <c r="S9" s="517">
        <f t="shared" si="5"/>
        <v>59.4915</v>
      </c>
      <c r="T9" s="518">
        <f>T8</f>
        <v>0.01</v>
      </c>
      <c r="U9" s="519">
        <v>0.01</v>
      </c>
      <c r="V9" s="519">
        <f>V8</f>
        <v>0</v>
      </c>
      <c r="W9" s="520">
        <f>W8</f>
        <v>0.03</v>
      </c>
      <c r="X9" s="521">
        <f t="shared" si="6"/>
        <v>13.7474963235294</v>
      </c>
      <c r="Y9" s="522">
        <f t="shared" si="7"/>
        <v>0.196420864745384</v>
      </c>
      <c r="Z9" s="521">
        <f t="shared" si="8"/>
        <v>3.77392132352941</v>
      </c>
      <c r="AA9" s="523">
        <f t="shared" si="9"/>
        <v>0.0539208647453837</v>
      </c>
      <c r="AB9" s="524">
        <f t="shared" si="10"/>
        <v>0.146850022692317</v>
      </c>
      <c r="AC9" s="524">
        <f t="shared" si="11"/>
        <v>0.189884269181312</v>
      </c>
      <c r="AD9" s="524">
        <f t="shared" si="12"/>
        <v>0.266844843380987</v>
      </c>
      <c r="AE9" s="525">
        <f t="shared" si="13"/>
        <v>0</v>
      </c>
      <c r="AF9" s="526">
        <v>10.5</v>
      </c>
      <c r="AG9" s="527">
        <v>22</v>
      </c>
      <c r="AH9" s="528" t="s">
        <v>4757</v>
      </c>
      <c r="AI9" s="444"/>
      <c r="AJ9" s="444"/>
      <c r="AK9" s="444"/>
      <c r="AL9" s="444"/>
      <c r="AM9" s="501"/>
      <c r="AN9" s="501"/>
      <c r="AO9" s="501"/>
      <c r="AP9" s="501"/>
      <c r="AQ9" s="503"/>
      <c r="AR9" s="503"/>
      <c r="AS9" s="503"/>
      <c r="AT9" s="503"/>
      <c r="AU9" s="504"/>
      <c r="AV9" s="504"/>
    </row>
    <row r="10" s="431" customFormat="1" ht="26" customHeight="1" spans="1:48">
      <c r="A10" s="533"/>
      <c r="B10" s="534" t="s">
        <v>4758</v>
      </c>
      <c r="C10" s="535">
        <f t="shared" ref="C10:K10" si="18">C9</f>
        <v>37.5</v>
      </c>
      <c r="D10" s="535">
        <f>D8</f>
        <v>35.5</v>
      </c>
      <c r="E10" s="535">
        <f>E8</f>
        <v>30</v>
      </c>
      <c r="F10" s="536">
        <f t="shared" si="3"/>
        <v>6.65625</v>
      </c>
      <c r="G10" s="537">
        <f t="shared" si="18"/>
        <v>4.3</v>
      </c>
      <c r="H10" s="538">
        <f t="shared" si="18"/>
        <v>127</v>
      </c>
      <c r="I10" s="539">
        <f t="shared" si="18"/>
        <v>18.6764705882353</v>
      </c>
      <c r="J10" s="540">
        <f t="shared" si="18"/>
        <v>0.266844843380987</v>
      </c>
      <c r="K10" s="541">
        <f t="shared" si="18"/>
        <v>6.8</v>
      </c>
      <c r="L10" s="542">
        <f t="shared" si="15"/>
        <v>33.28125</v>
      </c>
      <c r="M10" s="543">
        <f>M9</f>
        <v>13.29</v>
      </c>
      <c r="N10" s="543">
        <f t="shared" si="4"/>
        <v>18.1843014705882</v>
      </c>
      <c r="O10" s="544">
        <f t="shared" si="16"/>
        <v>0.259812851415749</v>
      </c>
      <c r="P10" s="517">
        <f>P9</f>
        <v>69.99</v>
      </c>
      <c r="Q10" s="545">
        <f t="shared" si="17"/>
        <v>10.4985</v>
      </c>
      <c r="R10" s="545">
        <v>0</v>
      </c>
      <c r="S10" s="545">
        <f t="shared" si="5"/>
        <v>59.4915</v>
      </c>
      <c r="T10" s="546">
        <f>T9</f>
        <v>0.01</v>
      </c>
      <c r="U10" s="547">
        <v>0.01</v>
      </c>
      <c r="V10" s="547">
        <f>V8</f>
        <v>0</v>
      </c>
      <c r="W10" s="548">
        <f>W9</f>
        <v>0.03</v>
      </c>
      <c r="X10" s="549">
        <f t="shared" si="6"/>
        <v>19.1312279411765</v>
      </c>
      <c r="Y10" s="550">
        <f t="shared" si="7"/>
        <v>0.273342305203264</v>
      </c>
      <c r="Z10" s="549">
        <f t="shared" si="8"/>
        <v>9.15765294117647</v>
      </c>
      <c r="AA10" s="551">
        <f t="shared" si="9"/>
        <v>0.130842305203264</v>
      </c>
      <c r="AB10" s="552">
        <f t="shared" si="10"/>
        <v>0.0699285822344369</v>
      </c>
      <c r="AC10" s="552">
        <f t="shared" si="11"/>
        <v>0.189884269181312</v>
      </c>
      <c r="AD10" s="552">
        <f t="shared" si="12"/>
        <v>0.266844843380987</v>
      </c>
      <c r="AE10" s="553">
        <f t="shared" si="13"/>
        <v>0</v>
      </c>
      <c r="AF10" s="554">
        <v>5</v>
      </c>
      <c r="AG10" s="555">
        <v>28</v>
      </c>
      <c r="AH10" s="556" t="s">
        <v>4759</v>
      </c>
      <c r="AI10" s="444"/>
      <c r="AJ10" s="444"/>
      <c r="AK10" s="444"/>
      <c r="AL10" s="444"/>
      <c r="AM10" s="501"/>
      <c r="AN10" s="501"/>
      <c r="AO10" s="501"/>
      <c r="AP10" s="501"/>
      <c r="AQ10" s="503"/>
      <c r="AR10" s="503"/>
      <c r="AS10" s="503"/>
      <c r="AT10" s="503"/>
      <c r="AU10" s="504"/>
      <c r="AV10" s="504"/>
    </row>
    <row r="11" customFormat="1" ht="14.25"/>
    <row r="12" s="430" customFormat="1" ht="42.75" spans="1:48">
      <c r="A12" s="433" t="s">
        <v>4693</v>
      </c>
      <c r="B12" s="434" t="s">
        <v>4694</v>
      </c>
      <c r="C12" s="434" t="s">
        <v>4695</v>
      </c>
      <c r="D12" s="434" t="s">
        <v>4696</v>
      </c>
      <c r="E12" s="434" t="s">
        <v>4697</v>
      </c>
      <c r="F12" s="434" t="s">
        <v>4698</v>
      </c>
      <c r="G12" s="434" t="s">
        <v>4699</v>
      </c>
      <c r="H12" s="434" t="s">
        <v>4700</v>
      </c>
      <c r="I12" s="434" t="s">
        <v>4701</v>
      </c>
      <c r="J12" s="434" t="s">
        <v>4702</v>
      </c>
      <c r="K12" s="434" t="s">
        <v>4703</v>
      </c>
      <c r="L12" s="434" t="s">
        <v>4704</v>
      </c>
      <c r="M12" s="434" t="s">
        <v>4705</v>
      </c>
      <c r="N12" s="434" t="s">
        <v>4706</v>
      </c>
      <c r="O12" s="434" t="s">
        <v>4707</v>
      </c>
      <c r="P12" s="434" t="s">
        <v>4708</v>
      </c>
      <c r="Q12" s="434" t="s">
        <v>4709</v>
      </c>
      <c r="R12" s="434" t="s">
        <v>4710</v>
      </c>
      <c r="S12" s="435"/>
      <c r="T12" s="435"/>
      <c r="U12" s="435"/>
      <c r="V12" s="435"/>
      <c r="W12" s="435"/>
      <c r="X12" s="435"/>
      <c r="Y12" s="435"/>
      <c r="Z12" s="435"/>
      <c r="AA12" s="435">
        <f>4.8/0.956</f>
        <v>5.02092050209205</v>
      </c>
      <c r="AB12" s="435"/>
      <c r="AC12" s="435"/>
      <c r="AD12" s="435"/>
      <c r="AE12" s="436"/>
    </row>
    <row r="13" s="430" customFormat="1" ht="18" customHeight="1" spans="1:48">
      <c r="A13" s="437" t="s">
        <v>4711</v>
      </c>
      <c r="B13" s="430" t="s">
        <v>1110</v>
      </c>
      <c r="C13" s="438">
        <v>163</v>
      </c>
      <c r="D13" s="439">
        <v>79.99</v>
      </c>
      <c r="E13" s="440"/>
      <c r="F13" s="441"/>
      <c r="G13" s="440"/>
      <c r="H13" s="440">
        <v>32</v>
      </c>
      <c r="I13" s="440">
        <v>32</v>
      </c>
      <c r="J13" s="440">
        <v>30.5</v>
      </c>
      <c r="K13" s="440">
        <v>3.65</v>
      </c>
      <c r="L13" s="440">
        <v>4</v>
      </c>
      <c r="P13" s="430">
        <v>60</v>
      </c>
      <c r="Q13" s="440">
        <f>M13*N13*O13/6000</f>
        <v>0</v>
      </c>
      <c r="R13" s="440">
        <f>Q13/P13</f>
        <v>0</v>
      </c>
      <c r="V13" s="430" t="s">
        <v>4712</v>
      </c>
      <c r="Y13" s="430">
        <f>104.5*0.9</f>
        <v>94.05</v>
      </c>
      <c r="AE13" s="442"/>
    </row>
    <row r="14" s="431" customFormat="1" ht="18" customHeight="1" spans="1:48">
      <c r="A14" s="443"/>
      <c r="B14" s="444" t="s">
        <v>4713</v>
      </c>
      <c r="C14" s="444">
        <f t="shared" ref="C14:R14" si="19">C13</f>
        <v>163</v>
      </c>
      <c r="D14" s="445"/>
      <c r="E14" s="440">
        <f t="shared" si="19"/>
        <v>0</v>
      </c>
      <c r="F14" s="441">
        <f t="shared" si="19"/>
        <v>0</v>
      </c>
      <c r="G14" s="440">
        <f t="shared" si="19"/>
        <v>0</v>
      </c>
      <c r="H14" s="440">
        <f t="shared" si="19"/>
        <v>32</v>
      </c>
      <c r="I14" s="440">
        <f t="shared" si="19"/>
        <v>32</v>
      </c>
      <c r="J14" s="440">
        <f t="shared" si="19"/>
        <v>30.5</v>
      </c>
      <c r="K14" s="440">
        <f t="shared" si="19"/>
        <v>3.65</v>
      </c>
      <c r="L14" s="440">
        <f t="shared" si="19"/>
        <v>4</v>
      </c>
      <c r="M14" s="430">
        <f t="shared" si="19"/>
        <v>0</v>
      </c>
      <c r="N14" s="430">
        <f t="shared" si="19"/>
        <v>0</v>
      </c>
      <c r="O14" s="430">
        <f t="shared" si="19"/>
        <v>0</v>
      </c>
      <c r="P14" s="430">
        <f t="shared" si="19"/>
        <v>60</v>
      </c>
      <c r="Q14" s="440">
        <f t="shared" si="19"/>
        <v>0</v>
      </c>
      <c r="R14" s="440">
        <f t="shared" si="19"/>
        <v>0</v>
      </c>
      <c r="S14" s="444"/>
      <c r="T14" s="444"/>
      <c r="U14" s="444"/>
      <c r="V14" s="444">
        <f>0.32*1.96+7.17</f>
        <v>7.7972</v>
      </c>
      <c r="W14" s="444">
        <f>7.17+0.53*0.32</f>
        <v>7.3396</v>
      </c>
      <c r="X14" s="444"/>
      <c r="Y14" s="444">
        <f>9.73+7.8*0.42</f>
        <v>13.006</v>
      </c>
      <c r="Z14" s="444"/>
      <c r="AA14" s="444"/>
      <c r="AB14" s="444"/>
      <c r="AC14" s="444"/>
      <c r="AD14" s="444"/>
      <c r="AE14" s="446"/>
      <c r="AF14" s="444"/>
      <c r="AG14" s="447"/>
      <c r="AH14" s="447"/>
      <c r="AI14" s="448"/>
      <c r="AJ14" s="448"/>
      <c r="AK14" s="448"/>
      <c r="AL14" s="448"/>
      <c r="AM14" s="448"/>
      <c r="AN14" s="448"/>
      <c r="AO14" s="448"/>
      <c r="AP14" s="448"/>
      <c r="AQ14" s="448"/>
      <c r="AR14" s="448"/>
      <c r="AS14" s="448"/>
      <c r="AT14" s="448"/>
      <c r="AU14" s="448"/>
      <c r="AV14" s="448"/>
    </row>
    <row r="15" s="431" customFormat="1" ht="18" customHeight="1" spans="1:48">
      <c r="A15" s="443"/>
      <c r="B15" s="444" t="s">
        <v>4714</v>
      </c>
      <c r="C15" s="444">
        <f t="shared" ref="C15:R15" si="20">C14</f>
        <v>163</v>
      </c>
      <c r="D15" s="449"/>
      <c r="E15" s="440">
        <f t="shared" si="20"/>
        <v>0</v>
      </c>
      <c r="F15" s="441">
        <f t="shared" si="20"/>
        <v>0</v>
      </c>
      <c r="G15" s="440">
        <f t="shared" si="20"/>
        <v>0</v>
      </c>
      <c r="H15" s="440">
        <f t="shared" si="20"/>
        <v>32</v>
      </c>
      <c r="I15" s="440">
        <f t="shared" si="20"/>
        <v>32</v>
      </c>
      <c r="J15" s="440">
        <f t="shared" si="20"/>
        <v>30.5</v>
      </c>
      <c r="K15" s="440">
        <f t="shared" si="20"/>
        <v>3.65</v>
      </c>
      <c r="L15" s="440">
        <f t="shared" si="20"/>
        <v>4</v>
      </c>
      <c r="M15" s="430">
        <f t="shared" si="20"/>
        <v>0</v>
      </c>
      <c r="N15" s="430">
        <f t="shared" si="20"/>
        <v>0</v>
      </c>
      <c r="O15" s="430">
        <f t="shared" si="20"/>
        <v>0</v>
      </c>
      <c r="P15" s="430">
        <f t="shared" si="20"/>
        <v>60</v>
      </c>
      <c r="Q15" s="440">
        <f t="shared" si="20"/>
        <v>0</v>
      </c>
      <c r="R15" s="440">
        <f t="shared" si="20"/>
        <v>0</v>
      </c>
      <c r="S15" s="444"/>
      <c r="T15" s="444"/>
      <c r="U15" s="444"/>
      <c r="V15" s="444"/>
      <c r="W15" s="444"/>
      <c r="X15" s="444"/>
      <c r="Y15" s="444"/>
      <c r="Z15" s="444"/>
      <c r="AA15" s="444"/>
      <c r="AB15" s="444"/>
      <c r="AC15" s="444"/>
      <c r="AD15" s="444"/>
      <c r="AE15" s="446"/>
      <c r="AF15" s="444"/>
      <c r="AG15" s="447"/>
      <c r="AH15" s="447"/>
      <c r="AI15" s="448"/>
      <c r="AJ15" s="448"/>
      <c r="AK15" s="448"/>
      <c r="AL15" s="448"/>
      <c r="AM15" s="448"/>
      <c r="AN15" s="448"/>
      <c r="AO15" s="448"/>
      <c r="AP15" s="448"/>
      <c r="AQ15" s="448"/>
      <c r="AR15" s="448"/>
      <c r="AS15" s="448"/>
      <c r="AT15" s="448"/>
      <c r="AU15" s="448"/>
      <c r="AV15" s="448"/>
    </row>
    <row r="16" s="432" customFormat="1" ht="25" customHeight="1" spans="1:48">
      <c r="A16" s="450" t="s">
        <v>4760</v>
      </c>
      <c r="B16" s="451" t="s">
        <v>4716</v>
      </c>
      <c r="C16" s="451"/>
      <c r="D16" s="451"/>
      <c r="E16" s="451"/>
      <c r="F16" s="451"/>
      <c r="G16" s="451"/>
      <c r="H16" s="451"/>
      <c r="I16" s="451"/>
      <c r="J16" s="451"/>
      <c r="K16" s="451"/>
      <c r="L16" s="451"/>
      <c r="M16" s="451"/>
      <c r="N16" s="451"/>
      <c r="O16" s="451"/>
      <c r="P16" s="451"/>
      <c r="Q16" s="451"/>
      <c r="R16" s="451"/>
      <c r="S16" s="451"/>
      <c r="T16" s="451"/>
      <c r="U16" s="451"/>
      <c r="V16" s="451"/>
      <c r="W16" s="451"/>
      <c r="X16" s="451"/>
      <c r="Y16" s="451"/>
      <c r="Z16" s="451"/>
      <c r="AA16" s="451"/>
      <c r="AB16" s="451"/>
      <c r="AC16" s="451"/>
      <c r="AD16" s="451"/>
      <c r="AE16" s="452"/>
      <c r="AF16" s="453" t="s">
        <v>4717</v>
      </c>
      <c r="AG16" s="454"/>
      <c r="AH16" s="454"/>
      <c r="AI16" s="455"/>
      <c r="AJ16" s="455"/>
      <c r="AK16" s="455"/>
      <c r="AL16" s="455"/>
      <c r="AM16" s="455"/>
      <c r="AN16" s="455"/>
      <c r="AO16" s="455"/>
      <c r="AP16" s="455"/>
      <c r="AQ16" s="455"/>
      <c r="AR16" s="455"/>
      <c r="AS16" s="455"/>
      <c r="AT16" s="455"/>
      <c r="AU16" s="455"/>
      <c r="AV16" s="455"/>
    </row>
    <row r="17" s="431" customFormat="1" ht="26" customHeight="1" spans="1:48">
      <c r="A17" s="456">
        <v>2</v>
      </c>
      <c r="B17" s="457" t="s">
        <v>4718</v>
      </c>
      <c r="C17" s="458"/>
      <c r="D17" s="458"/>
      <c r="E17" s="458"/>
      <c r="F17" s="458"/>
      <c r="G17" s="458"/>
      <c r="H17" s="459"/>
      <c r="I17" s="460"/>
      <c r="J17" s="460"/>
      <c r="K17" s="461"/>
      <c r="L17" s="462" t="s">
        <v>4719</v>
      </c>
      <c r="M17" s="462"/>
      <c r="N17" s="462"/>
      <c r="O17" s="462"/>
      <c r="P17" s="463" t="s">
        <v>4720</v>
      </c>
      <c r="Q17" s="464"/>
      <c r="R17" s="464"/>
      <c r="S17" s="465"/>
      <c r="T17" s="466" t="s">
        <v>4721</v>
      </c>
      <c r="U17" s="467"/>
      <c r="V17" s="467"/>
      <c r="W17" s="467"/>
      <c r="X17" s="467"/>
      <c r="Y17" s="468"/>
      <c r="Z17" s="467"/>
      <c r="AA17" s="469"/>
      <c r="AB17" s="470" t="s">
        <v>4722</v>
      </c>
      <c r="AC17" s="471"/>
      <c r="AD17" s="471"/>
      <c r="AE17" s="472"/>
      <c r="AF17" s="473" t="s">
        <v>4723</v>
      </c>
      <c r="AG17" s="474" t="s">
        <v>4724</v>
      </c>
      <c r="AH17" s="475" t="s">
        <v>4725</v>
      </c>
      <c r="AI17" s="476" t="s">
        <v>4761</v>
      </c>
      <c r="AJ17" s="476"/>
      <c r="AK17" s="476"/>
      <c r="AL17" s="476"/>
      <c r="AM17" s="476" t="s">
        <v>809</v>
      </c>
      <c r="AN17" s="476"/>
      <c r="AO17" s="476"/>
      <c r="AP17" s="476"/>
      <c r="AQ17" s="476" t="s">
        <v>4727</v>
      </c>
      <c r="AR17" s="476"/>
      <c r="AS17" s="476"/>
      <c r="AT17" s="476"/>
      <c r="AU17" s="447"/>
      <c r="AV17" s="447"/>
    </row>
    <row r="18" s="431" customFormat="1" ht="26" customHeight="1" spans="1:48">
      <c r="A18" s="477"/>
      <c r="B18" s="478" t="s">
        <v>812</v>
      </c>
      <c r="C18" s="479" t="s">
        <v>4728</v>
      </c>
      <c r="D18" s="480"/>
      <c r="E18" s="481"/>
      <c r="F18" s="481" t="s">
        <v>4729</v>
      </c>
      <c r="G18" s="479" t="s">
        <v>4730</v>
      </c>
      <c r="H18" s="482" t="s">
        <v>4731</v>
      </c>
      <c r="I18" s="479" t="s">
        <v>4732</v>
      </c>
      <c r="J18" s="479" t="s">
        <v>4733</v>
      </c>
      <c r="K18" s="479" t="s">
        <v>4734</v>
      </c>
      <c r="L18" s="483" t="s">
        <v>4735</v>
      </c>
      <c r="M18" s="484" t="s">
        <v>4736</v>
      </c>
      <c r="N18" s="484" t="s">
        <v>4737</v>
      </c>
      <c r="O18" s="485" t="s">
        <v>4733</v>
      </c>
      <c r="P18" s="486" t="s">
        <v>4696</v>
      </c>
      <c r="Q18" s="487" t="s">
        <v>4738</v>
      </c>
      <c r="R18" s="487" t="s">
        <v>4739</v>
      </c>
      <c r="S18" s="488" t="s">
        <v>4740</v>
      </c>
      <c r="T18" s="489" t="s">
        <v>4741</v>
      </c>
      <c r="U18" s="489" t="s">
        <v>4742</v>
      </c>
      <c r="V18" s="490" t="s">
        <v>4743</v>
      </c>
      <c r="W18" s="490" t="s">
        <v>4744</v>
      </c>
      <c r="X18" s="491" t="s">
        <v>4745</v>
      </c>
      <c r="Y18" s="492" t="s">
        <v>4746</v>
      </c>
      <c r="Z18" s="493" t="s">
        <v>4747</v>
      </c>
      <c r="AA18" s="494" t="s">
        <v>4748</v>
      </c>
      <c r="AB18" s="495" t="s">
        <v>4749</v>
      </c>
      <c r="AC18" s="495" t="s">
        <v>4750</v>
      </c>
      <c r="AD18" s="495" t="s">
        <v>4751</v>
      </c>
      <c r="AE18" s="496" t="s">
        <v>4752</v>
      </c>
      <c r="AF18" s="497"/>
      <c r="AG18" s="498"/>
      <c r="AH18" s="499"/>
      <c r="AI18" s="500" t="s">
        <v>4762</v>
      </c>
      <c r="AJ18" s="444"/>
      <c r="AK18" s="444"/>
      <c r="AL18" s="444"/>
      <c r="AM18" s="447" t="str">
        <f>_xlfn.DISPIMG("ID_FB18C7FFA5A842B2BBBCD2A98C47BA5D",1)</f>
        <v>=DISPIMG("ID_FB18C7FFA5A842B2BBBCD2A98C47BA5D",1)</v>
      </c>
      <c r="AN18" s="501"/>
      <c r="AO18" s="501"/>
      <c r="AP18" s="501"/>
      <c r="AQ18" s="502" t="s">
        <v>4763</v>
      </c>
      <c r="AR18" s="503"/>
      <c r="AS18" s="503"/>
      <c r="AT18" s="503"/>
      <c r="AU18" s="504"/>
      <c r="AV18" s="504"/>
    </row>
    <row r="19" s="431" customFormat="1" ht="26" customHeight="1" spans="1:48">
      <c r="A19" s="505" t="str">
        <f>_xlfn.DISPIMG("ID_36F006E165224129BACA027D9C1BFAA8",1)</f>
        <v>=DISPIMG("ID_36F006E165224129BACA027D9C1BFAA8",1)</v>
      </c>
      <c r="B19" s="506" t="s">
        <v>4754</v>
      </c>
      <c r="C19" s="507">
        <f t="shared" ref="C19:G19" si="21">H13</f>
        <v>32</v>
      </c>
      <c r="D19" s="507">
        <f t="shared" si="21"/>
        <v>32</v>
      </c>
      <c r="E19" s="507">
        <f t="shared" si="21"/>
        <v>30.5</v>
      </c>
      <c r="F19" s="508">
        <f t="shared" ref="F19:F21" si="22">C19*D19*E19/6000</f>
        <v>5.20533333333333</v>
      </c>
      <c r="G19" s="509">
        <f t="shared" si="21"/>
        <v>4</v>
      </c>
      <c r="H19" s="510">
        <f>C13</f>
        <v>163</v>
      </c>
      <c r="I19" s="511">
        <f>H19/K19</f>
        <v>23.9705882352941</v>
      </c>
      <c r="J19" s="512">
        <f>I19/P19</f>
        <v>0.299669811667635</v>
      </c>
      <c r="K19" s="513">
        <v>6.8</v>
      </c>
      <c r="L19" s="514">
        <f t="shared" ref="L19:L21" si="23">MAX(F19:G19)*AF19</f>
        <v>145.749333333333</v>
      </c>
      <c r="M19" s="515">
        <v>13</v>
      </c>
      <c r="N19" s="515">
        <f t="shared" ref="N19:N21" si="24">L19/K19+M19</f>
        <v>34.4337254901961</v>
      </c>
      <c r="O19" s="516">
        <f t="shared" ref="O19:O21" si="25">N19/P19</f>
        <v>0.430475378049707</v>
      </c>
      <c r="P19" s="517">
        <f>D13</f>
        <v>79.99</v>
      </c>
      <c r="Q19" s="517">
        <f t="shared" ref="Q19:Q21" si="26">P19*0.15</f>
        <v>11.9985</v>
      </c>
      <c r="R19" s="517">
        <v>0</v>
      </c>
      <c r="S19" s="517">
        <f t="shared" ref="S19:S21" si="27">0.85*P19</f>
        <v>67.9915</v>
      </c>
      <c r="T19" s="518">
        <v>0.01</v>
      </c>
      <c r="U19" s="519">
        <v>0.01</v>
      </c>
      <c r="V19" s="519">
        <v>0</v>
      </c>
      <c r="W19" s="520">
        <v>0.03</v>
      </c>
      <c r="X19" s="521">
        <f t="shared" ref="X19:X21" si="28">(100%-T19-U19-V19-W19)*P19-N19-I19-Q19-R19</f>
        <v>5.5876862745098</v>
      </c>
      <c r="Y19" s="522">
        <f t="shared" ref="Y19:Y21" si="29">X19/P19</f>
        <v>0.0698548102826579</v>
      </c>
      <c r="Z19" s="521">
        <f t="shared" ref="Z19:Z21" si="30">(100%-T19-U19-V19-W19)*S19-N19-I19-Q19</f>
        <v>-5.8108887254902</v>
      </c>
      <c r="AA19" s="523">
        <f t="shared" ref="AA19:AA21" si="31">Z19/P19</f>
        <v>-0.0726451897173422</v>
      </c>
      <c r="AB19" s="524">
        <f t="shared" ref="AB19:AB21" si="32">L19/K19/P19*100%</f>
        <v>0.267955063010327</v>
      </c>
      <c r="AC19" s="524">
        <f t="shared" ref="AC19:AC21" si="33">M19/P19*100%</f>
        <v>0.16252031503938</v>
      </c>
      <c r="AD19" s="524">
        <f t="shared" ref="AD19:AD21" si="34">H19/K19/P19*100%</f>
        <v>0.299669811667635</v>
      </c>
      <c r="AE19" s="525">
        <f t="shared" ref="AE19:AE21" si="35">V19/P19*100%</f>
        <v>0</v>
      </c>
      <c r="AF19" s="526">
        <v>28</v>
      </c>
      <c r="AG19" s="527">
        <v>30</v>
      </c>
      <c r="AH19" s="528" t="s">
        <v>4755</v>
      </c>
      <c r="AI19" s="444"/>
      <c r="AJ19" s="444"/>
      <c r="AK19" s="444"/>
      <c r="AL19" s="444"/>
      <c r="AM19" s="501"/>
      <c r="AN19" s="501"/>
      <c r="AO19" s="501"/>
      <c r="AP19" s="501"/>
      <c r="AQ19" s="503"/>
      <c r="AR19" s="503"/>
      <c r="AS19" s="503"/>
      <c r="AT19" s="503"/>
      <c r="AU19" s="504"/>
      <c r="AV19" s="504"/>
    </row>
    <row r="20" s="431" customFormat="1" ht="26" customHeight="1" spans="1:48">
      <c r="A20" s="529"/>
      <c r="B20" s="530" t="s">
        <v>4756</v>
      </c>
      <c r="C20" s="531">
        <f t="shared" ref="C20:K20" si="36">C19</f>
        <v>32</v>
      </c>
      <c r="D20" s="531">
        <f t="shared" si="36"/>
        <v>32</v>
      </c>
      <c r="E20" s="531">
        <f t="shared" si="36"/>
        <v>30.5</v>
      </c>
      <c r="F20" s="532">
        <f t="shared" si="22"/>
        <v>5.20533333333333</v>
      </c>
      <c r="G20" s="509">
        <f t="shared" si="36"/>
        <v>4</v>
      </c>
      <c r="H20" s="510">
        <f t="shared" si="36"/>
        <v>163</v>
      </c>
      <c r="I20" s="511">
        <f t="shared" si="36"/>
        <v>23.9705882352941</v>
      </c>
      <c r="J20" s="512">
        <f t="shared" si="36"/>
        <v>0.299669811667635</v>
      </c>
      <c r="K20" s="513">
        <f t="shared" si="36"/>
        <v>6.8</v>
      </c>
      <c r="L20" s="514">
        <f t="shared" si="23"/>
        <v>54.656</v>
      </c>
      <c r="M20" s="515">
        <f>M19</f>
        <v>13</v>
      </c>
      <c r="N20" s="515">
        <f t="shared" si="24"/>
        <v>21.0376470588235</v>
      </c>
      <c r="O20" s="516">
        <f t="shared" si="25"/>
        <v>0.263003463668253</v>
      </c>
      <c r="P20" s="517">
        <f>P19</f>
        <v>79.99</v>
      </c>
      <c r="Q20" s="517">
        <f t="shared" si="26"/>
        <v>11.9985</v>
      </c>
      <c r="R20" s="517">
        <v>0</v>
      </c>
      <c r="S20" s="517">
        <f t="shared" si="27"/>
        <v>67.9915</v>
      </c>
      <c r="T20" s="518">
        <f t="shared" ref="T20:W20" si="37">T19</f>
        <v>0.01</v>
      </c>
      <c r="U20" s="519">
        <v>0.01</v>
      </c>
      <c r="V20" s="519">
        <f t="shared" si="37"/>
        <v>0</v>
      </c>
      <c r="W20" s="520">
        <f t="shared" si="37"/>
        <v>0.03</v>
      </c>
      <c r="X20" s="521">
        <f t="shared" si="28"/>
        <v>18.9837647058824</v>
      </c>
      <c r="Y20" s="522">
        <f t="shared" si="29"/>
        <v>0.237326724664112</v>
      </c>
      <c r="Z20" s="521">
        <f t="shared" si="30"/>
        <v>7.58518970588234</v>
      </c>
      <c r="AA20" s="523">
        <f t="shared" si="31"/>
        <v>0.0948267246641123</v>
      </c>
      <c r="AB20" s="524">
        <f t="shared" si="32"/>
        <v>0.100483148628873</v>
      </c>
      <c r="AC20" s="524">
        <f t="shared" si="33"/>
        <v>0.16252031503938</v>
      </c>
      <c r="AD20" s="524">
        <f t="shared" si="34"/>
        <v>0.299669811667635</v>
      </c>
      <c r="AE20" s="525">
        <f t="shared" si="35"/>
        <v>0</v>
      </c>
      <c r="AF20" s="526">
        <v>10.5</v>
      </c>
      <c r="AG20" s="527">
        <v>22</v>
      </c>
      <c r="AH20" s="528" t="s">
        <v>4757</v>
      </c>
      <c r="AI20" s="444"/>
      <c r="AJ20" s="444"/>
      <c r="AK20" s="444"/>
      <c r="AL20" s="444"/>
      <c r="AM20" s="501"/>
      <c r="AN20" s="501"/>
      <c r="AO20" s="501"/>
      <c r="AP20" s="501"/>
      <c r="AQ20" s="503"/>
      <c r="AR20" s="503"/>
      <c r="AS20" s="503"/>
      <c r="AT20" s="503"/>
      <c r="AU20" s="504"/>
      <c r="AV20" s="504"/>
    </row>
    <row r="21" s="431" customFormat="1" ht="26" customHeight="1" spans="1:48">
      <c r="A21" s="533"/>
      <c r="B21" s="534" t="s">
        <v>4758</v>
      </c>
      <c r="C21" s="535">
        <f t="shared" ref="C21:K21" si="38">C20</f>
        <v>32</v>
      </c>
      <c r="D21" s="535">
        <f>D19</f>
        <v>32</v>
      </c>
      <c r="E21" s="535">
        <f>E19</f>
        <v>30.5</v>
      </c>
      <c r="F21" s="536">
        <f t="shared" si="22"/>
        <v>5.20533333333333</v>
      </c>
      <c r="G21" s="537">
        <f t="shared" si="38"/>
        <v>4</v>
      </c>
      <c r="H21" s="538">
        <f t="shared" si="38"/>
        <v>163</v>
      </c>
      <c r="I21" s="539">
        <f t="shared" si="38"/>
        <v>23.9705882352941</v>
      </c>
      <c r="J21" s="540">
        <f t="shared" si="38"/>
        <v>0.299669811667635</v>
      </c>
      <c r="K21" s="541">
        <f t="shared" si="38"/>
        <v>6.8</v>
      </c>
      <c r="L21" s="542">
        <f t="shared" si="23"/>
        <v>26.0266666666667</v>
      </c>
      <c r="M21" s="543">
        <f>M20</f>
        <v>13</v>
      </c>
      <c r="N21" s="543">
        <f t="shared" si="24"/>
        <v>16.8274509803922</v>
      </c>
      <c r="O21" s="544">
        <f t="shared" si="25"/>
        <v>0.210369433434081</v>
      </c>
      <c r="P21" s="517">
        <f>P20</f>
        <v>79.99</v>
      </c>
      <c r="Q21" s="545">
        <f t="shared" si="26"/>
        <v>11.9985</v>
      </c>
      <c r="R21" s="545">
        <v>0</v>
      </c>
      <c r="S21" s="545">
        <f t="shared" si="27"/>
        <v>67.9915</v>
      </c>
      <c r="T21" s="546">
        <f>T20</f>
        <v>0.01</v>
      </c>
      <c r="U21" s="547">
        <v>0.01</v>
      </c>
      <c r="V21" s="547">
        <f>V19</f>
        <v>0</v>
      </c>
      <c r="W21" s="548">
        <f>W20</f>
        <v>0.03</v>
      </c>
      <c r="X21" s="549">
        <f t="shared" si="28"/>
        <v>23.1939607843137</v>
      </c>
      <c r="Y21" s="550">
        <f t="shared" si="29"/>
        <v>0.289960754898284</v>
      </c>
      <c r="Z21" s="549">
        <f t="shared" si="30"/>
        <v>11.7953857843137</v>
      </c>
      <c r="AA21" s="551">
        <f t="shared" si="31"/>
        <v>0.147460754898284</v>
      </c>
      <c r="AB21" s="552">
        <f t="shared" si="32"/>
        <v>0.0478491183947013</v>
      </c>
      <c r="AC21" s="552">
        <f t="shared" si="33"/>
        <v>0.16252031503938</v>
      </c>
      <c r="AD21" s="552">
        <f t="shared" si="34"/>
        <v>0.299669811667635</v>
      </c>
      <c r="AE21" s="553">
        <f t="shared" si="35"/>
        <v>0</v>
      </c>
      <c r="AF21" s="554">
        <v>5</v>
      </c>
      <c r="AG21" s="555">
        <v>28</v>
      </c>
      <c r="AH21" s="556" t="s">
        <v>4759</v>
      </c>
      <c r="AI21" s="444"/>
      <c r="AJ21" s="444"/>
      <c r="AK21" s="444"/>
      <c r="AL21" s="444"/>
      <c r="AM21" s="501"/>
      <c r="AN21" s="501"/>
      <c r="AO21" s="501"/>
      <c r="AP21" s="501"/>
      <c r="AQ21" s="503"/>
      <c r="AR21" s="503"/>
      <c r="AS21" s="503"/>
      <c r="AT21" s="503"/>
      <c r="AU21" s="504"/>
      <c r="AV21" s="504"/>
    </row>
    <row r="22" customFormat="1" ht="14.25"/>
    <row r="23" s="430" customFormat="1" ht="42.75" spans="1:48">
      <c r="A23" s="433" t="s">
        <v>4693</v>
      </c>
      <c r="B23" s="434" t="s">
        <v>4694</v>
      </c>
      <c r="C23" s="434" t="s">
        <v>4695</v>
      </c>
      <c r="D23" s="434" t="s">
        <v>4696</v>
      </c>
      <c r="E23" s="434" t="s">
        <v>4697</v>
      </c>
      <c r="F23" s="434" t="s">
        <v>4698</v>
      </c>
      <c r="G23" s="434" t="s">
        <v>4699</v>
      </c>
      <c r="H23" s="434" t="s">
        <v>4700</v>
      </c>
      <c r="I23" s="434" t="s">
        <v>4701</v>
      </c>
      <c r="J23" s="434" t="s">
        <v>4702</v>
      </c>
      <c r="K23" s="434" t="s">
        <v>4703</v>
      </c>
      <c r="L23" s="434" t="s">
        <v>4704</v>
      </c>
      <c r="M23" s="434" t="s">
        <v>4705</v>
      </c>
      <c r="N23" s="434" t="s">
        <v>4706</v>
      </c>
      <c r="O23" s="434" t="s">
        <v>4707</v>
      </c>
      <c r="P23" s="434" t="s">
        <v>4708</v>
      </c>
      <c r="Q23" s="434" t="s">
        <v>4709</v>
      </c>
      <c r="R23" s="434" t="s">
        <v>4710</v>
      </c>
      <c r="S23" s="435"/>
      <c r="T23" s="435">
        <f>169/6.8</f>
        <v>24.8529411764706</v>
      </c>
      <c r="U23" s="435"/>
      <c r="V23" s="435"/>
      <c r="W23" s="435"/>
      <c r="X23" s="435"/>
      <c r="Y23" s="435"/>
      <c r="Z23" s="435"/>
      <c r="AA23" s="435"/>
      <c r="AB23" s="435"/>
      <c r="AC23" s="435"/>
      <c r="AD23" s="435"/>
      <c r="AE23" s="436"/>
    </row>
    <row r="24" s="430" customFormat="1" ht="18" customHeight="1" spans="1:48">
      <c r="A24" s="437" t="s">
        <v>4764</v>
      </c>
      <c r="B24" s="430" t="s">
        <v>1110</v>
      </c>
      <c r="C24" s="557">
        <v>169</v>
      </c>
      <c r="D24" s="439">
        <v>85.99</v>
      </c>
      <c r="E24" s="440"/>
      <c r="F24" s="440"/>
      <c r="G24" s="440"/>
      <c r="H24" s="440">
        <v>40.6</v>
      </c>
      <c r="I24" s="440">
        <v>32.3</v>
      </c>
      <c r="J24" s="440">
        <v>34.5</v>
      </c>
      <c r="K24" s="440">
        <v>4.6</v>
      </c>
      <c r="L24" s="440">
        <v>5.35</v>
      </c>
      <c r="M24" s="440"/>
      <c r="N24" s="440"/>
      <c r="O24" s="440"/>
      <c r="P24" s="440">
        <v>30</v>
      </c>
      <c r="Q24" s="440">
        <f>M24*N24*O24/6000</f>
        <v>0</v>
      </c>
      <c r="R24" s="440">
        <f>Q24/P24</f>
        <v>0</v>
      </c>
      <c r="V24" s="430">
        <f>7.17+0.32*5.04</f>
        <v>8.7828</v>
      </c>
      <c r="X24" s="430">
        <f>9.73+10.79*0.42</f>
        <v>14.2618</v>
      </c>
      <c r="Z24" s="430">
        <f>6/0.956</f>
        <v>6.27615062761506</v>
      </c>
      <c r="AB24" s="430">
        <f>24.86*6.8</f>
        <v>169.048</v>
      </c>
      <c r="AE24" s="442"/>
    </row>
    <row r="25" s="431" customFormat="1" ht="18" customHeight="1" spans="1:48">
      <c r="A25" s="443"/>
      <c r="B25" s="444" t="s">
        <v>4713</v>
      </c>
      <c r="C25" s="558">
        <f t="shared" ref="C25:R25" si="39">C24</f>
        <v>169</v>
      </c>
      <c r="D25" s="445"/>
      <c r="E25" s="440">
        <f t="shared" si="39"/>
        <v>0</v>
      </c>
      <c r="F25" s="440">
        <f t="shared" si="39"/>
        <v>0</v>
      </c>
      <c r="G25" s="440">
        <f t="shared" si="39"/>
        <v>0</v>
      </c>
      <c r="H25" s="440">
        <f t="shared" si="39"/>
        <v>40.6</v>
      </c>
      <c r="I25" s="440">
        <f t="shared" si="39"/>
        <v>32.3</v>
      </c>
      <c r="J25" s="440">
        <f t="shared" si="39"/>
        <v>34.5</v>
      </c>
      <c r="K25" s="440">
        <f t="shared" si="39"/>
        <v>4.6</v>
      </c>
      <c r="L25" s="440">
        <f t="shared" si="39"/>
        <v>5.35</v>
      </c>
      <c r="M25" s="440">
        <f t="shared" si="39"/>
        <v>0</v>
      </c>
      <c r="N25" s="440">
        <f t="shared" si="39"/>
        <v>0</v>
      </c>
      <c r="O25" s="440">
        <f t="shared" si="39"/>
        <v>0</v>
      </c>
      <c r="P25" s="440">
        <f t="shared" si="39"/>
        <v>30</v>
      </c>
      <c r="Q25" s="440">
        <f t="shared" si="39"/>
        <v>0</v>
      </c>
      <c r="R25" s="440">
        <f t="shared" si="39"/>
        <v>0</v>
      </c>
      <c r="S25" s="444"/>
      <c r="T25" s="444"/>
      <c r="U25" s="444"/>
      <c r="V25" s="444"/>
      <c r="W25" s="444"/>
      <c r="X25" s="444"/>
      <c r="Y25" s="444"/>
      <c r="Z25" s="444"/>
      <c r="AA25" s="444"/>
      <c r="AB25" s="444"/>
      <c r="AC25" s="444"/>
      <c r="AD25" s="444"/>
      <c r="AE25" s="446"/>
      <c r="AF25" s="444"/>
      <c r="AG25" s="447"/>
      <c r="AH25" s="447"/>
      <c r="AI25" s="448">
        <f>15.2*6.8</f>
        <v>103.36</v>
      </c>
      <c r="AJ25" s="448"/>
      <c r="AK25" s="448"/>
      <c r="AL25" s="448"/>
      <c r="AM25" s="448"/>
      <c r="AN25" s="448"/>
      <c r="AO25" s="448"/>
      <c r="AP25" s="448"/>
      <c r="AQ25" s="448"/>
      <c r="AR25" s="448"/>
      <c r="AS25" s="448"/>
      <c r="AT25" s="448"/>
      <c r="AU25" s="448"/>
      <c r="AV25" s="448"/>
    </row>
    <row r="26" s="431" customFormat="1" ht="18" customHeight="1" spans="1:48">
      <c r="A26" s="443"/>
      <c r="B26" s="444" t="s">
        <v>4714</v>
      </c>
      <c r="C26" s="558">
        <f t="shared" ref="C26:R26" si="40">C25</f>
        <v>169</v>
      </c>
      <c r="D26" s="449"/>
      <c r="E26" s="440">
        <f t="shared" si="40"/>
        <v>0</v>
      </c>
      <c r="F26" s="440">
        <f t="shared" si="40"/>
        <v>0</v>
      </c>
      <c r="G26" s="440">
        <f t="shared" si="40"/>
        <v>0</v>
      </c>
      <c r="H26" s="440">
        <f t="shared" si="40"/>
        <v>40.6</v>
      </c>
      <c r="I26" s="440">
        <f t="shared" si="40"/>
        <v>32.3</v>
      </c>
      <c r="J26" s="440">
        <f t="shared" si="40"/>
        <v>34.5</v>
      </c>
      <c r="K26" s="440">
        <f t="shared" si="40"/>
        <v>4.6</v>
      </c>
      <c r="L26" s="440">
        <f t="shared" si="40"/>
        <v>5.35</v>
      </c>
      <c r="M26" s="440">
        <f t="shared" si="40"/>
        <v>0</v>
      </c>
      <c r="N26" s="440">
        <f t="shared" si="40"/>
        <v>0</v>
      </c>
      <c r="O26" s="440">
        <f t="shared" si="40"/>
        <v>0</v>
      </c>
      <c r="P26" s="440">
        <f t="shared" si="40"/>
        <v>30</v>
      </c>
      <c r="Q26" s="440">
        <f t="shared" si="40"/>
        <v>0</v>
      </c>
      <c r="R26" s="440">
        <f t="shared" si="40"/>
        <v>0</v>
      </c>
      <c r="S26" s="444"/>
      <c r="T26" s="444"/>
      <c r="U26" s="444"/>
      <c r="V26" s="444">
        <f>7.17+0.32*0.96</f>
        <v>7.4772</v>
      </c>
      <c r="W26" s="444"/>
      <c r="X26" s="444"/>
      <c r="Y26" s="444"/>
      <c r="Z26" s="444"/>
      <c r="AA26" s="444"/>
      <c r="AB26" s="444"/>
      <c r="AC26" s="444"/>
      <c r="AD26" s="444"/>
      <c r="AE26" s="446"/>
      <c r="AF26" s="444"/>
      <c r="AG26" s="447"/>
      <c r="AH26" s="447"/>
      <c r="AI26" s="448"/>
      <c r="AJ26" s="448"/>
      <c r="AK26" s="448"/>
      <c r="AL26" s="448"/>
      <c r="AM26" s="448"/>
      <c r="AN26" s="448"/>
      <c r="AO26" s="448"/>
      <c r="AP26" s="448"/>
      <c r="AQ26" s="448"/>
      <c r="AR26" s="448"/>
      <c r="AS26" s="448"/>
      <c r="AT26" s="448"/>
      <c r="AU26" s="448"/>
      <c r="AV26" s="448"/>
    </row>
    <row r="27" s="432" customFormat="1" ht="25" customHeight="1" spans="1:48">
      <c r="A27" s="450" t="s">
        <v>4765</v>
      </c>
      <c r="B27" s="451" t="s">
        <v>4716</v>
      </c>
      <c r="C27" s="451"/>
      <c r="D27" s="451"/>
      <c r="E27" s="451"/>
      <c r="F27" s="451"/>
      <c r="G27" s="451"/>
      <c r="H27" s="451"/>
      <c r="I27" s="451"/>
      <c r="J27" s="451"/>
      <c r="K27" s="451"/>
      <c r="L27" s="451"/>
      <c r="M27" s="451"/>
      <c r="N27" s="451"/>
      <c r="O27" s="451"/>
      <c r="P27" s="451"/>
      <c r="Q27" s="451"/>
      <c r="R27" s="451"/>
      <c r="S27" s="451"/>
      <c r="T27" s="451"/>
      <c r="U27" s="451"/>
      <c r="V27" s="451"/>
      <c r="W27" s="451"/>
      <c r="X27" s="451"/>
      <c r="Y27" s="451"/>
      <c r="Z27" s="451"/>
      <c r="AA27" s="451"/>
      <c r="AB27" s="451"/>
      <c r="AC27" s="451"/>
      <c r="AD27" s="451"/>
      <c r="AE27" s="452"/>
      <c r="AF27" s="453" t="s">
        <v>4717</v>
      </c>
      <c r="AG27" s="454"/>
      <c r="AH27" s="454"/>
      <c r="AI27" s="455"/>
      <c r="AJ27" s="455"/>
      <c r="AK27" s="455"/>
      <c r="AL27" s="455"/>
      <c r="AM27" s="455"/>
      <c r="AN27" s="455"/>
      <c r="AO27" s="455"/>
      <c r="AP27" s="455"/>
      <c r="AQ27" s="455"/>
      <c r="AR27" s="455"/>
      <c r="AS27" s="455"/>
      <c r="AT27" s="455"/>
      <c r="AU27" s="455"/>
      <c r="AV27" s="455"/>
    </row>
    <row r="28" s="431" customFormat="1" ht="26" customHeight="1" spans="1:48">
      <c r="A28" s="456">
        <v>3</v>
      </c>
      <c r="B28" s="559" t="s">
        <v>4718</v>
      </c>
      <c r="C28" s="560"/>
      <c r="D28" s="560"/>
      <c r="E28" s="560"/>
      <c r="F28" s="560"/>
      <c r="G28" s="560"/>
      <c r="H28" s="561"/>
      <c r="I28" s="562"/>
      <c r="J28" s="562"/>
      <c r="K28" s="563"/>
      <c r="L28" s="462" t="s">
        <v>4719</v>
      </c>
      <c r="M28" s="462"/>
      <c r="N28" s="462"/>
      <c r="O28" s="462"/>
      <c r="P28" s="463" t="s">
        <v>4720</v>
      </c>
      <c r="Q28" s="464"/>
      <c r="R28" s="464"/>
      <c r="S28" s="465"/>
      <c r="T28" s="466" t="s">
        <v>4721</v>
      </c>
      <c r="U28" s="467"/>
      <c r="V28" s="467"/>
      <c r="W28" s="467"/>
      <c r="X28" s="467"/>
      <c r="Y28" s="468"/>
      <c r="Z28" s="467"/>
      <c r="AA28" s="469"/>
      <c r="AB28" s="470" t="s">
        <v>4722</v>
      </c>
      <c r="AC28" s="471"/>
      <c r="AD28" s="471"/>
      <c r="AE28" s="472"/>
      <c r="AF28" s="473" t="s">
        <v>4723</v>
      </c>
      <c r="AG28" s="474" t="s">
        <v>4724</v>
      </c>
      <c r="AH28" s="475" t="s">
        <v>4725</v>
      </c>
      <c r="AI28" s="476" t="s">
        <v>4726</v>
      </c>
      <c r="AJ28" s="476"/>
      <c r="AK28" s="476"/>
      <c r="AL28" s="476"/>
      <c r="AM28" s="476" t="s">
        <v>809</v>
      </c>
      <c r="AN28" s="476"/>
      <c r="AO28" s="476"/>
      <c r="AP28" s="476"/>
      <c r="AQ28" s="476" t="s">
        <v>4727</v>
      </c>
      <c r="AR28" s="476"/>
      <c r="AS28" s="476"/>
      <c r="AT28" s="476"/>
      <c r="AU28" s="447"/>
      <c r="AV28" s="447"/>
    </row>
    <row r="29" s="431" customFormat="1" ht="26" customHeight="1" spans="1:48">
      <c r="A29" s="477"/>
      <c r="B29" s="478" t="s">
        <v>812</v>
      </c>
      <c r="C29" s="479" t="s">
        <v>4728</v>
      </c>
      <c r="D29" s="480"/>
      <c r="E29" s="481"/>
      <c r="F29" s="481" t="s">
        <v>4729</v>
      </c>
      <c r="G29" s="479" t="s">
        <v>4730</v>
      </c>
      <c r="H29" s="482" t="s">
        <v>4731</v>
      </c>
      <c r="I29" s="479" t="s">
        <v>4732</v>
      </c>
      <c r="J29" s="479" t="s">
        <v>4733</v>
      </c>
      <c r="K29" s="479" t="s">
        <v>4734</v>
      </c>
      <c r="L29" s="483" t="s">
        <v>4735</v>
      </c>
      <c r="M29" s="484" t="s">
        <v>4736</v>
      </c>
      <c r="N29" s="484" t="s">
        <v>4737</v>
      </c>
      <c r="O29" s="485" t="s">
        <v>4733</v>
      </c>
      <c r="P29" s="486" t="s">
        <v>4696</v>
      </c>
      <c r="Q29" s="487" t="s">
        <v>4738</v>
      </c>
      <c r="R29" s="487" t="s">
        <v>4739</v>
      </c>
      <c r="S29" s="488" t="s">
        <v>4740</v>
      </c>
      <c r="T29" s="489" t="s">
        <v>4741</v>
      </c>
      <c r="U29" s="489" t="s">
        <v>4742</v>
      </c>
      <c r="V29" s="490" t="s">
        <v>4743</v>
      </c>
      <c r="W29" s="490" t="s">
        <v>4744</v>
      </c>
      <c r="X29" s="491" t="s">
        <v>4745</v>
      </c>
      <c r="Y29" s="492" t="s">
        <v>4746</v>
      </c>
      <c r="Z29" s="493" t="s">
        <v>4747</v>
      </c>
      <c r="AA29" s="494" t="s">
        <v>4748</v>
      </c>
      <c r="AB29" s="495" t="s">
        <v>4749</v>
      </c>
      <c r="AC29" s="495" t="s">
        <v>4750</v>
      </c>
      <c r="AD29" s="495" t="s">
        <v>4751</v>
      </c>
      <c r="AE29" s="496" t="s">
        <v>4752</v>
      </c>
      <c r="AF29" s="497"/>
      <c r="AG29" s="498"/>
      <c r="AH29" s="499"/>
      <c r="AI29" s="564" t="s">
        <v>4766</v>
      </c>
      <c r="AJ29" s="444"/>
      <c r="AK29" s="444"/>
      <c r="AL29" s="444"/>
      <c r="AM29" s="447"/>
      <c r="AN29" s="501"/>
      <c r="AO29" s="501"/>
      <c r="AP29" s="501"/>
      <c r="AQ29" s="502"/>
      <c r="AR29" s="502"/>
      <c r="AS29" s="502"/>
      <c r="AT29" s="502"/>
      <c r="AU29" s="504"/>
      <c r="AV29" s="504"/>
    </row>
    <row r="30" s="431" customFormat="1" ht="26" customHeight="1" spans="1:48">
      <c r="A30" s="505" t="str">
        <f>_xlfn.DISPIMG("ID_7D89D030B534468BB552D3D113F24BEB",1)</f>
        <v>=DISPIMG("ID_7D89D030B534468BB552D3D113F24BEB",1)</v>
      </c>
      <c r="B30" s="506" t="s">
        <v>4754</v>
      </c>
      <c r="C30" s="507">
        <v>35.8</v>
      </c>
      <c r="D30" s="507">
        <v>35.8</v>
      </c>
      <c r="E30" s="507">
        <v>35.5</v>
      </c>
      <c r="F30" s="508">
        <f t="shared" ref="F30:F32" si="41">C30*D30*E30/6000</f>
        <v>7.58303666666667</v>
      </c>
      <c r="G30" s="509">
        <f>L24</f>
        <v>5.35</v>
      </c>
      <c r="H30" s="510">
        <f>C24</f>
        <v>169</v>
      </c>
      <c r="I30" s="511">
        <f>H30/K30</f>
        <v>24.8529411764706</v>
      </c>
      <c r="J30" s="512">
        <f>I30/P30</f>
        <v>0.289021295225847</v>
      </c>
      <c r="K30" s="513">
        <v>6.8</v>
      </c>
      <c r="L30" s="514">
        <f t="shared" ref="L30:L32" si="42">MAX(F30:G30)*AF30</f>
        <v>212.325026666667</v>
      </c>
      <c r="M30" s="515">
        <v>14.26</v>
      </c>
      <c r="N30" s="515">
        <f t="shared" ref="N30:N32" si="43">L30/K30+M30</f>
        <v>45.484268627451</v>
      </c>
      <c r="O30" s="516">
        <f t="shared" ref="O30:O32" si="44">N30/P30</f>
        <v>0.528948350127352</v>
      </c>
      <c r="P30" s="517">
        <f>D24</f>
        <v>85.99</v>
      </c>
      <c r="Q30" s="517">
        <f t="shared" ref="Q30:Q32" si="45">P30*0.15</f>
        <v>12.8985</v>
      </c>
      <c r="R30" s="517">
        <v>0</v>
      </c>
      <c r="S30" s="517">
        <f t="shared" ref="S30:S32" si="46">0.85*P30</f>
        <v>73.0915</v>
      </c>
      <c r="T30" s="518">
        <v>0.01</v>
      </c>
      <c r="U30" s="519">
        <v>0.01</v>
      </c>
      <c r="V30" s="519">
        <v>0</v>
      </c>
      <c r="W30" s="520">
        <v>0.03</v>
      </c>
      <c r="X30" s="521">
        <f t="shared" ref="X30:X32" si="47">(100%-T30-U30-V30-W30)*P30-N30-I30-Q30-R30</f>
        <v>-1.54520980392158</v>
      </c>
      <c r="Y30" s="522">
        <f t="shared" ref="Y30:Y32" si="48">X30/P30</f>
        <v>-0.017969645353199</v>
      </c>
      <c r="Z30" s="521">
        <f t="shared" ref="Z30:Z32" si="49">(100%-T30-U30-V30-W30)*S30-N30-I30-Q30</f>
        <v>-13.7987848039216</v>
      </c>
      <c r="AA30" s="523">
        <f t="shared" ref="AA30:AA32" si="50">Z30/P30</f>
        <v>-0.160469645353199</v>
      </c>
      <c r="AB30" s="524">
        <f t="shared" ref="AB30:AB32" si="51">L30/K30/P30*100%</f>
        <v>0.363115113704512</v>
      </c>
      <c r="AC30" s="524">
        <f t="shared" ref="AC30:AC32" si="52">M30/P30*100%</f>
        <v>0.16583323642284</v>
      </c>
      <c r="AD30" s="524">
        <f t="shared" ref="AD30:AD32" si="53">H30/K30/P30*100%</f>
        <v>0.289021295225847</v>
      </c>
      <c r="AE30" s="525">
        <f t="shared" ref="AE30:AE32" si="54">V30/P30*100%</f>
        <v>0</v>
      </c>
      <c r="AF30" s="526">
        <v>28</v>
      </c>
      <c r="AG30" s="527">
        <v>30</v>
      </c>
      <c r="AH30" s="528" t="s">
        <v>4755</v>
      </c>
      <c r="AI30" s="444"/>
      <c r="AJ30" s="444"/>
      <c r="AK30" s="444"/>
      <c r="AL30" s="444"/>
      <c r="AM30" s="501"/>
      <c r="AN30" s="501"/>
      <c r="AO30" s="501"/>
      <c r="AP30" s="501"/>
      <c r="AQ30" s="502"/>
      <c r="AR30" s="502"/>
      <c r="AS30" s="502"/>
      <c r="AT30" s="502"/>
      <c r="AU30" s="504"/>
      <c r="AV30" s="504"/>
    </row>
    <row r="31" s="431" customFormat="1" ht="26" customHeight="1" spans="1:48">
      <c r="A31" s="529"/>
      <c r="B31" s="530" t="s">
        <v>4756</v>
      </c>
      <c r="C31" s="531">
        <f t="shared" ref="C31:K31" si="55">C30</f>
        <v>35.8</v>
      </c>
      <c r="D31" s="531">
        <f t="shared" si="55"/>
        <v>35.8</v>
      </c>
      <c r="E31" s="531">
        <f t="shared" si="55"/>
        <v>35.5</v>
      </c>
      <c r="F31" s="532">
        <f t="shared" si="41"/>
        <v>7.58303666666667</v>
      </c>
      <c r="G31" s="509">
        <f t="shared" si="55"/>
        <v>5.35</v>
      </c>
      <c r="H31" s="510">
        <f t="shared" si="55"/>
        <v>169</v>
      </c>
      <c r="I31" s="511">
        <f t="shared" si="55"/>
        <v>24.8529411764706</v>
      </c>
      <c r="J31" s="512">
        <f t="shared" si="55"/>
        <v>0.289021295225847</v>
      </c>
      <c r="K31" s="513">
        <f t="shared" si="55"/>
        <v>6.8</v>
      </c>
      <c r="L31" s="514">
        <f t="shared" si="42"/>
        <v>79.621885</v>
      </c>
      <c r="M31" s="515">
        <f>M30</f>
        <v>14.26</v>
      </c>
      <c r="N31" s="515">
        <f t="shared" si="43"/>
        <v>25.9691007352941</v>
      </c>
      <c r="O31" s="516">
        <f t="shared" si="44"/>
        <v>0.302001404062032</v>
      </c>
      <c r="P31" s="517">
        <f>P30</f>
        <v>85.99</v>
      </c>
      <c r="Q31" s="517">
        <f t="shared" si="45"/>
        <v>12.8985</v>
      </c>
      <c r="R31" s="517">
        <v>0</v>
      </c>
      <c r="S31" s="517">
        <f t="shared" si="46"/>
        <v>73.0915</v>
      </c>
      <c r="T31" s="518">
        <f>T30</f>
        <v>0.01</v>
      </c>
      <c r="U31" s="519">
        <v>0.01</v>
      </c>
      <c r="V31" s="519">
        <f>V30</f>
        <v>0</v>
      </c>
      <c r="W31" s="520">
        <f>W30</f>
        <v>0.03</v>
      </c>
      <c r="X31" s="521">
        <f t="shared" si="47"/>
        <v>17.9699580882353</v>
      </c>
      <c r="Y31" s="522">
        <f t="shared" si="48"/>
        <v>0.208977300712121</v>
      </c>
      <c r="Z31" s="521">
        <f t="shared" si="49"/>
        <v>5.71638308823528</v>
      </c>
      <c r="AA31" s="523">
        <f t="shared" si="50"/>
        <v>0.0664773007121209</v>
      </c>
      <c r="AB31" s="524">
        <f t="shared" si="51"/>
        <v>0.136168167639192</v>
      </c>
      <c r="AC31" s="524">
        <f t="shared" si="52"/>
        <v>0.16583323642284</v>
      </c>
      <c r="AD31" s="524">
        <f t="shared" si="53"/>
        <v>0.289021295225847</v>
      </c>
      <c r="AE31" s="525">
        <f t="shared" si="54"/>
        <v>0</v>
      </c>
      <c r="AF31" s="526">
        <v>10.5</v>
      </c>
      <c r="AG31" s="527">
        <v>22</v>
      </c>
      <c r="AH31" s="528" t="s">
        <v>4757</v>
      </c>
      <c r="AI31" s="444"/>
      <c r="AJ31" s="444"/>
      <c r="AK31" s="444"/>
      <c r="AL31" s="444"/>
      <c r="AM31" s="501"/>
      <c r="AN31" s="501"/>
      <c r="AO31" s="501"/>
      <c r="AP31" s="501"/>
      <c r="AQ31" s="502"/>
      <c r="AR31" s="502"/>
      <c r="AS31" s="502"/>
      <c r="AT31" s="502"/>
      <c r="AU31" s="504"/>
      <c r="AV31" s="504"/>
    </row>
    <row r="32" s="431" customFormat="1" ht="26" customHeight="1" spans="1:48">
      <c r="A32" s="533"/>
      <c r="B32" s="534" t="s">
        <v>4758</v>
      </c>
      <c r="C32" s="535">
        <f t="shared" ref="C32:K32" si="56">C31</f>
        <v>35.8</v>
      </c>
      <c r="D32" s="535">
        <f>D30</f>
        <v>35.8</v>
      </c>
      <c r="E32" s="535">
        <f>E30</f>
        <v>35.5</v>
      </c>
      <c r="F32" s="536">
        <f t="shared" si="41"/>
        <v>7.58303666666667</v>
      </c>
      <c r="G32" s="537">
        <f t="shared" si="56"/>
        <v>5.35</v>
      </c>
      <c r="H32" s="510">
        <f t="shared" si="56"/>
        <v>169</v>
      </c>
      <c r="I32" s="539">
        <f t="shared" si="56"/>
        <v>24.8529411764706</v>
      </c>
      <c r="J32" s="540">
        <f t="shared" si="56"/>
        <v>0.289021295225847</v>
      </c>
      <c r="K32" s="541">
        <f t="shared" si="56"/>
        <v>6.8</v>
      </c>
      <c r="L32" s="542">
        <f t="shared" si="42"/>
        <v>37.9151833333333</v>
      </c>
      <c r="M32" s="543">
        <f>M31</f>
        <v>14.26</v>
      </c>
      <c r="N32" s="543">
        <f t="shared" si="43"/>
        <v>19.835762254902</v>
      </c>
      <c r="O32" s="544">
        <f t="shared" si="44"/>
        <v>0.230675221012931</v>
      </c>
      <c r="P32" s="545">
        <f>P31</f>
        <v>85.99</v>
      </c>
      <c r="Q32" s="545">
        <f t="shared" si="45"/>
        <v>12.8985</v>
      </c>
      <c r="R32" s="545">
        <v>0</v>
      </c>
      <c r="S32" s="545">
        <f t="shared" si="46"/>
        <v>73.0915</v>
      </c>
      <c r="T32" s="546">
        <f>T31</f>
        <v>0.01</v>
      </c>
      <c r="U32" s="547">
        <v>0.01</v>
      </c>
      <c r="V32" s="547">
        <f>V31</f>
        <v>0</v>
      </c>
      <c r="W32" s="548">
        <f>W31</f>
        <v>0.03</v>
      </c>
      <c r="X32" s="549">
        <f t="shared" si="47"/>
        <v>24.1032965686274</v>
      </c>
      <c r="Y32" s="550">
        <f t="shared" si="48"/>
        <v>0.280303483761221</v>
      </c>
      <c r="Z32" s="549">
        <f t="shared" si="49"/>
        <v>11.8497215686274</v>
      </c>
      <c r="AA32" s="551">
        <f t="shared" si="50"/>
        <v>0.137803483761221</v>
      </c>
      <c r="AB32" s="552">
        <f t="shared" si="51"/>
        <v>0.0648419845900914</v>
      </c>
      <c r="AC32" s="552">
        <f t="shared" si="52"/>
        <v>0.16583323642284</v>
      </c>
      <c r="AD32" s="552">
        <f t="shared" si="53"/>
        <v>0.289021295225847</v>
      </c>
      <c r="AE32" s="553">
        <f t="shared" si="54"/>
        <v>0</v>
      </c>
      <c r="AF32" s="554">
        <v>5</v>
      </c>
      <c r="AG32" s="555">
        <v>28</v>
      </c>
      <c r="AH32" s="556" t="s">
        <v>4759</v>
      </c>
      <c r="AI32" s="444"/>
      <c r="AJ32" s="444"/>
      <c r="AK32" s="444"/>
      <c r="AL32" s="444"/>
      <c r="AM32" s="501"/>
      <c r="AN32" s="501"/>
      <c r="AO32" s="501"/>
      <c r="AP32" s="501"/>
      <c r="AQ32" s="502"/>
      <c r="AR32" s="502"/>
      <c r="AS32" s="502"/>
      <c r="AT32" s="502"/>
      <c r="AU32" s="504"/>
      <c r="AV32" s="504"/>
    </row>
    <row r="33" s="431" customFormat="1" ht="17" customHeight="1" spans="1:48">
      <c r="A33" s="565"/>
      <c r="B33" s="566"/>
      <c r="C33" s="567"/>
      <c r="D33" s="567"/>
      <c r="E33" s="567"/>
      <c r="F33" s="568"/>
      <c r="G33" s="569"/>
      <c r="H33" s="570"/>
      <c r="I33" s="571"/>
      <c r="J33" s="572"/>
      <c r="K33" s="573"/>
      <c r="L33" s="568"/>
      <c r="M33" s="571"/>
      <c r="N33" s="571"/>
      <c r="O33" s="574"/>
      <c r="P33" s="571"/>
      <c r="Q33" s="571"/>
      <c r="R33" s="571"/>
      <c r="S33" s="571"/>
      <c r="T33" s="575"/>
      <c r="U33" s="574"/>
      <c r="V33" s="574"/>
      <c r="W33" s="576"/>
      <c r="X33" s="571"/>
      <c r="Y33" s="577"/>
      <c r="Z33" s="571"/>
      <c r="AA33" s="578"/>
      <c r="AB33" s="579"/>
      <c r="AC33" s="579"/>
      <c r="AD33" s="579"/>
      <c r="AE33" s="580"/>
      <c r="AF33" s="444"/>
      <c r="AG33" s="447"/>
      <c r="AH33" s="447"/>
      <c r="AI33" s="444"/>
      <c r="AJ33" s="444"/>
      <c r="AK33" s="444"/>
      <c r="AL33" s="444"/>
      <c r="AM33" s="501"/>
      <c r="AN33" s="501"/>
      <c r="AO33" s="501"/>
      <c r="AP33" s="501"/>
      <c r="AQ33" s="502"/>
      <c r="AR33" s="502"/>
      <c r="AS33" s="502"/>
      <c r="AT33" s="502"/>
      <c r="AU33" s="504"/>
      <c r="AV33" s="504"/>
    </row>
    <row r="34" s="430" customFormat="1" ht="42.75" spans="1:48">
      <c r="A34" s="433" t="s">
        <v>4693</v>
      </c>
      <c r="B34" s="434" t="s">
        <v>4694</v>
      </c>
      <c r="C34" s="434" t="s">
        <v>4695</v>
      </c>
      <c r="D34" s="434" t="s">
        <v>4696</v>
      </c>
      <c r="E34" s="434" t="s">
        <v>4697</v>
      </c>
      <c r="F34" s="434" t="s">
        <v>4698</v>
      </c>
      <c r="G34" s="434" t="s">
        <v>4699</v>
      </c>
      <c r="H34" s="434" t="s">
        <v>4700</v>
      </c>
      <c r="I34" s="434" t="s">
        <v>4701</v>
      </c>
      <c r="J34" s="434" t="s">
        <v>4702</v>
      </c>
      <c r="K34" s="434" t="s">
        <v>4703</v>
      </c>
      <c r="L34" s="434" t="s">
        <v>4704</v>
      </c>
      <c r="M34" s="434" t="s">
        <v>4705</v>
      </c>
      <c r="N34" s="434" t="s">
        <v>4706</v>
      </c>
      <c r="O34" s="434" t="s">
        <v>4707</v>
      </c>
      <c r="P34" s="434" t="s">
        <v>4708</v>
      </c>
      <c r="Q34" s="434" t="s">
        <v>4709</v>
      </c>
      <c r="R34" s="434" t="s">
        <v>4710</v>
      </c>
      <c r="S34" s="435"/>
      <c r="T34" s="435"/>
      <c r="U34" s="435"/>
      <c r="V34" s="435"/>
      <c r="W34" s="435"/>
      <c r="X34" s="435"/>
      <c r="Y34" s="435"/>
      <c r="Z34" s="435"/>
      <c r="AA34" s="435"/>
      <c r="AB34" s="435"/>
      <c r="AC34" s="435"/>
      <c r="AD34" s="435"/>
      <c r="AE34" s="436"/>
    </row>
    <row r="35" s="430" customFormat="1" ht="18" customHeight="1" spans="1:48">
      <c r="A35" s="437" t="s">
        <v>4767</v>
      </c>
      <c r="B35" s="430" t="s">
        <v>1110</v>
      </c>
      <c r="C35" s="438">
        <v>188</v>
      </c>
      <c r="D35" s="439">
        <v>89.99</v>
      </c>
      <c r="E35" s="440"/>
      <c r="F35" s="441"/>
      <c r="G35" s="440"/>
      <c r="H35" s="440">
        <v>35.5</v>
      </c>
      <c r="I35" s="440">
        <v>35.5</v>
      </c>
      <c r="J35" s="440">
        <v>20.5</v>
      </c>
      <c r="K35" s="440">
        <v>6</v>
      </c>
      <c r="L35" s="440">
        <v>6.5</v>
      </c>
      <c r="P35" s="430">
        <v>60</v>
      </c>
      <c r="Q35" s="440">
        <f>M35*N35*O35/6000</f>
        <v>0</v>
      </c>
      <c r="R35" s="440">
        <f>Q35/P35</f>
        <v>0</v>
      </c>
      <c r="V35" s="430" t="s">
        <v>4712</v>
      </c>
      <c r="Y35" s="430">
        <f>104.5*0.9</f>
        <v>94.05</v>
      </c>
      <c r="AE35" s="442"/>
    </row>
    <row r="36" s="431" customFormat="1" ht="18" customHeight="1" spans="1:48">
      <c r="A36" s="443"/>
      <c r="B36" s="444" t="s">
        <v>4713</v>
      </c>
      <c r="C36" s="444">
        <f t="shared" ref="C36:R36" si="57">C35</f>
        <v>188</v>
      </c>
      <c r="D36" s="445"/>
      <c r="E36" s="440">
        <f t="shared" si="57"/>
        <v>0</v>
      </c>
      <c r="F36" s="441">
        <f t="shared" si="57"/>
        <v>0</v>
      </c>
      <c r="G36" s="440">
        <f t="shared" si="57"/>
        <v>0</v>
      </c>
      <c r="H36" s="440">
        <f t="shared" si="57"/>
        <v>35.5</v>
      </c>
      <c r="I36" s="440">
        <f t="shared" si="57"/>
        <v>35.5</v>
      </c>
      <c r="J36" s="440">
        <f t="shared" si="57"/>
        <v>20.5</v>
      </c>
      <c r="K36" s="440">
        <f t="shared" si="57"/>
        <v>6</v>
      </c>
      <c r="L36" s="440">
        <f t="shared" si="57"/>
        <v>6.5</v>
      </c>
      <c r="M36" s="430">
        <f t="shared" si="57"/>
        <v>0</v>
      </c>
      <c r="N36" s="430">
        <f t="shared" si="57"/>
        <v>0</v>
      </c>
      <c r="O36" s="430">
        <f t="shared" si="57"/>
        <v>0</v>
      </c>
      <c r="P36" s="430">
        <f t="shared" si="57"/>
        <v>60</v>
      </c>
      <c r="Q36" s="440">
        <f t="shared" si="57"/>
        <v>0</v>
      </c>
      <c r="R36" s="440">
        <f t="shared" si="57"/>
        <v>0</v>
      </c>
      <c r="S36" s="444"/>
      <c r="T36" s="444"/>
      <c r="U36" s="444"/>
      <c r="V36" s="444">
        <f>0.32*1.96+7.17</f>
        <v>7.7972</v>
      </c>
      <c r="W36" s="444">
        <f>7.17+0.53*0.32</f>
        <v>7.3396</v>
      </c>
      <c r="X36" s="444"/>
      <c r="Y36" s="444"/>
      <c r="Z36" s="444"/>
      <c r="AA36" s="444"/>
      <c r="AB36" s="444"/>
      <c r="AC36" s="444"/>
      <c r="AD36" s="444"/>
      <c r="AE36" s="446"/>
      <c r="AF36" s="444"/>
      <c r="AG36" s="447"/>
      <c r="AH36" s="447"/>
      <c r="AI36" s="448"/>
      <c r="AJ36" s="448"/>
      <c r="AK36" s="448"/>
      <c r="AL36" s="448"/>
      <c r="AM36" s="448"/>
      <c r="AN36" s="448"/>
      <c r="AO36" s="448"/>
      <c r="AP36" s="448"/>
      <c r="AQ36" s="448"/>
      <c r="AR36" s="448"/>
      <c r="AS36" s="448"/>
      <c r="AT36" s="448"/>
      <c r="AU36" s="448"/>
      <c r="AV36" s="448"/>
    </row>
    <row r="37" s="431" customFormat="1" ht="18" customHeight="1" spans="1:48">
      <c r="A37" s="443"/>
      <c r="B37" s="444" t="s">
        <v>4714</v>
      </c>
      <c r="C37" s="444">
        <f t="shared" ref="C37:R37" si="58">C36</f>
        <v>188</v>
      </c>
      <c r="D37" s="449"/>
      <c r="E37" s="440">
        <f t="shared" si="58"/>
        <v>0</v>
      </c>
      <c r="F37" s="441">
        <f t="shared" si="58"/>
        <v>0</v>
      </c>
      <c r="G37" s="440">
        <f t="shared" si="58"/>
        <v>0</v>
      </c>
      <c r="H37" s="440">
        <f t="shared" si="58"/>
        <v>35.5</v>
      </c>
      <c r="I37" s="440">
        <f t="shared" si="58"/>
        <v>35.5</v>
      </c>
      <c r="J37" s="440">
        <f t="shared" si="58"/>
        <v>20.5</v>
      </c>
      <c r="K37" s="440">
        <f t="shared" si="58"/>
        <v>6</v>
      </c>
      <c r="L37" s="440">
        <f t="shared" si="58"/>
        <v>6.5</v>
      </c>
      <c r="M37" s="430">
        <f t="shared" si="58"/>
        <v>0</v>
      </c>
      <c r="N37" s="430">
        <f t="shared" si="58"/>
        <v>0</v>
      </c>
      <c r="O37" s="430">
        <f t="shared" si="58"/>
        <v>0</v>
      </c>
      <c r="P37" s="430">
        <f t="shared" si="58"/>
        <v>60</v>
      </c>
      <c r="Q37" s="440">
        <f t="shared" si="58"/>
        <v>0</v>
      </c>
      <c r="R37" s="440">
        <f t="shared" si="58"/>
        <v>0</v>
      </c>
      <c r="S37" s="444"/>
      <c r="T37" s="444"/>
      <c r="U37" s="444"/>
      <c r="V37" s="444"/>
      <c r="W37" s="444"/>
      <c r="X37" s="444"/>
      <c r="Y37" s="444"/>
      <c r="Z37" s="444"/>
      <c r="AA37" s="444"/>
      <c r="AB37" s="444"/>
      <c r="AC37" s="444"/>
      <c r="AD37" s="444"/>
      <c r="AE37" s="446"/>
      <c r="AF37" s="444"/>
      <c r="AG37" s="447"/>
      <c r="AH37" s="447"/>
      <c r="AI37" s="448"/>
      <c r="AJ37" s="448"/>
      <c r="AK37" s="448"/>
      <c r="AL37" s="448"/>
      <c r="AM37" s="448"/>
      <c r="AN37" s="448"/>
      <c r="AO37" s="448"/>
      <c r="AP37" s="448"/>
      <c r="AQ37" s="448"/>
      <c r="AR37" s="448"/>
      <c r="AS37" s="448"/>
      <c r="AT37" s="448"/>
      <c r="AU37" s="448"/>
      <c r="AV37" s="448"/>
    </row>
    <row r="38" s="432" customFormat="1" ht="25" customHeight="1" spans="1:48">
      <c r="A38" s="450" t="s">
        <v>4768</v>
      </c>
      <c r="B38" s="451" t="s">
        <v>4716</v>
      </c>
      <c r="C38" s="451"/>
      <c r="D38" s="451"/>
      <c r="E38" s="451"/>
      <c r="F38" s="451"/>
      <c r="G38" s="451"/>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2"/>
      <c r="AF38" s="453" t="s">
        <v>4717</v>
      </c>
      <c r="AG38" s="454"/>
      <c r="AH38" s="454"/>
      <c r="AI38" s="455"/>
      <c r="AJ38" s="455"/>
      <c r="AK38" s="455"/>
      <c r="AL38" s="455"/>
      <c r="AM38" s="455"/>
      <c r="AN38" s="455"/>
      <c r="AO38" s="455"/>
      <c r="AP38" s="455"/>
      <c r="AQ38" s="455"/>
      <c r="AR38" s="455"/>
      <c r="AS38" s="455"/>
      <c r="AT38" s="455"/>
      <c r="AU38" s="455"/>
      <c r="AV38" s="455"/>
    </row>
    <row r="39" s="431" customFormat="1" ht="26" customHeight="1" spans="1:48">
      <c r="A39" s="456">
        <v>4</v>
      </c>
      <c r="B39" s="457" t="s">
        <v>4718</v>
      </c>
      <c r="C39" s="458"/>
      <c r="D39" s="458"/>
      <c r="E39" s="458"/>
      <c r="F39" s="458"/>
      <c r="G39" s="458"/>
      <c r="H39" s="459"/>
      <c r="I39" s="460"/>
      <c r="J39" s="460"/>
      <c r="K39" s="461"/>
      <c r="L39" s="462" t="s">
        <v>4719</v>
      </c>
      <c r="M39" s="462"/>
      <c r="N39" s="462"/>
      <c r="O39" s="462"/>
      <c r="P39" s="463" t="s">
        <v>4720</v>
      </c>
      <c r="Q39" s="464"/>
      <c r="R39" s="464"/>
      <c r="S39" s="465"/>
      <c r="T39" s="466" t="s">
        <v>4721</v>
      </c>
      <c r="U39" s="467"/>
      <c r="V39" s="467"/>
      <c r="W39" s="467"/>
      <c r="X39" s="467"/>
      <c r="Y39" s="468"/>
      <c r="Z39" s="467"/>
      <c r="AA39" s="469"/>
      <c r="AB39" s="470" t="s">
        <v>4722</v>
      </c>
      <c r="AC39" s="471"/>
      <c r="AD39" s="471"/>
      <c r="AE39" s="472"/>
      <c r="AF39" s="473" t="s">
        <v>4723</v>
      </c>
      <c r="AG39" s="474" t="s">
        <v>4724</v>
      </c>
      <c r="AH39" s="475" t="s">
        <v>4725</v>
      </c>
      <c r="AI39" s="476" t="s">
        <v>4726</v>
      </c>
      <c r="AJ39" s="476"/>
      <c r="AK39" s="476"/>
      <c r="AL39" s="476"/>
      <c r="AM39" s="476" t="s">
        <v>809</v>
      </c>
      <c r="AN39" s="476"/>
      <c r="AO39" s="476"/>
      <c r="AP39" s="476"/>
      <c r="AQ39" s="476" t="s">
        <v>4727</v>
      </c>
      <c r="AR39" s="476"/>
      <c r="AS39" s="476"/>
      <c r="AT39" s="476"/>
      <c r="AU39" s="447"/>
      <c r="AV39" s="447"/>
    </row>
    <row r="40" s="431" customFormat="1" ht="26" customHeight="1" spans="1:48">
      <c r="A40" s="477"/>
      <c r="B40" s="478" t="s">
        <v>812</v>
      </c>
      <c r="C40" s="479" t="s">
        <v>4728</v>
      </c>
      <c r="D40" s="480"/>
      <c r="E40" s="481"/>
      <c r="F40" s="481" t="s">
        <v>4729</v>
      </c>
      <c r="G40" s="479" t="s">
        <v>4730</v>
      </c>
      <c r="H40" s="482" t="s">
        <v>4731</v>
      </c>
      <c r="I40" s="479" t="s">
        <v>4732</v>
      </c>
      <c r="J40" s="479" t="s">
        <v>4733</v>
      </c>
      <c r="K40" s="479" t="s">
        <v>4734</v>
      </c>
      <c r="L40" s="483" t="s">
        <v>4735</v>
      </c>
      <c r="M40" s="484" t="s">
        <v>4736</v>
      </c>
      <c r="N40" s="484" t="s">
        <v>4737</v>
      </c>
      <c r="O40" s="485" t="s">
        <v>4733</v>
      </c>
      <c r="P40" s="486" t="s">
        <v>4696</v>
      </c>
      <c r="Q40" s="487" t="s">
        <v>4738</v>
      </c>
      <c r="R40" s="487" t="s">
        <v>4739</v>
      </c>
      <c r="S40" s="488" t="s">
        <v>4740</v>
      </c>
      <c r="T40" s="489" t="s">
        <v>4741</v>
      </c>
      <c r="U40" s="489" t="s">
        <v>4742</v>
      </c>
      <c r="V40" s="490" t="s">
        <v>4743</v>
      </c>
      <c r="W40" s="490" t="s">
        <v>4744</v>
      </c>
      <c r="X40" s="491" t="s">
        <v>4745</v>
      </c>
      <c r="Y40" s="492" t="s">
        <v>4746</v>
      </c>
      <c r="Z40" s="493" t="s">
        <v>4747</v>
      </c>
      <c r="AA40" s="494" t="s">
        <v>4748</v>
      </c>
      <c r="AB40" s="495" t="s">
        <v>4749</v>
      </c>
      <c r="AC40" s="495" t="s">
        <v>4750</v>
      </c>
      <c r="AD40" s="495" t="s">
        <v>4751</v>
      </c>
      <c r="AE40" s="496" t="s">
        <v>4752</v>
      </c>
      <c r="AF40" s="497"/>
      <c r="AG40" s="498"/>
      <c r="AH40" s="499"/>
      <c r="AI40" s="564" t="s">
        <v>4769</v>
      </c>
      <c r="AJ40" s="444"/>
      <c r="AK40" s="444"/>
      <c r="AL40" s="444"/>
      <c r="AM40" s="447"/>
      <c r="AN40" s="501"/>
      <c r="AO40" s="501"/>
      <c r="AP40" s="501"/>
      <c r="AQ40" s="502"/>
      <c r="AR40" s="503"/>
      <c r="AS40" s="503"/>
      <c r="AT40" s="503"/>
      <c r="AU40" s="504"/>
      <c r="AV40" s="504"/>
    </row>
    <row r="41" s="431" customFormat="1" ht="26" customHeight="1" spans="1:48">
      <c r="A41" s="505" t="str">
        <f>_xlfn.DISPIMG("ID_EFAC88B1860949689DE632C9B88E061F",1)</f>
        <v>=DISPIMG("ID_EFAC88B1860949689DE632C9B88E061F",1)</v>
      </c>
      <c r="B41" s="506" t="s">
        <v>4754</v>
      </c>
      <c r="C41" s="507">
        <f>H35</f>
        <v>35.5</v>
      </c>
      <c r="D41" s="507">
        <f>I35</f>
        <v>35.5</v>
      </c>
      <c r="E41" s="507">
        <f>J35</f>
        <v>20.5</v>
      </c>
      <c r="F41" s="508">
        <f t="shared" ref="F41:F43" si="59">C41*D41*E41/6000</f>
        <v>4.30585416666667</v>
      </c>
      <c r="G41" s="509">
        <f>L35</f>
        <v>6.5</v>
      </c>
      <c r="H41" s="510">
        <f>C35</f>
        <v>188</v>
      </c>
      <c r="I41" s="511">
        <f>H41/K41</f>
        <v>27.6470588235294</v>
      </c>
      <c r="J41" s="512">
        <f>I41/P41</f>
        <v>0.307223678447932</v>
      </c>
      <c r="K41" s="513">
        <v>6.8</v>
      </c>
      <c r="L41" s="514">
        <f>MAX(F41:G41)*AF41</f>
        <v>182</v>
      </c>
      <c r="M41" s="515">
        <v>15.32</v>
      </c>
      <c r="N41" s="515">
        <f t="shared" ref="N41:N43" si="60">L41/K41+M41</f>
        <v>42.0847058823529</v>
      </c>
      <c r="O41" s="516">
        <f t="shared" ref="O41:O43" si="61">N41/P41</f>
        <v>0.467659805337848</v>
      </c>
      <c r="P41" s="517">
        <f>D35</f>
        <v>89.99</v>
      </c>
      <c r="Q41" s="517">
        <f t="shared" ref="Q41:Q43" si="62">P41*0.15</f>
        <v>13.4985</v>
      </c>
      <c r="R41" s="517">
        <v>0</v>
      </c>
      <c r="S41" s="517">
        <f t="shared" ref="S41:S43" si="63">0.85*P41</f>
        <v>76.4915</v>
      </c>
      <c r="T41" s="518">
        <v>0.01</v>
      </c>
      <c r="U41" s="519">
        <v>0.01</v>
      </c>
      <c r="V41" s="519">
        <v>0</v>
      </c>
      <c r="W41" s="520">
        <v>0.03</v>
      </c>
      <c r="X41" s="521">
        <f t="shared" ref="X41:X43" si="64">(100%-T41-U41-V41-W41)*P41-N41-I41-Q41-R41</f>
        <v>2.26023529411764</v>
      </c>
      <c r="Y41" s="522">
        <f>X41/P41</f>
        <v>0.0251165162142198</v>
      </c>
      <c r="Z41" s="521">
        <f t="shared" ref="Z41:Z43" si="65">(100%-T41-U41-V41-W41)*S41-N41-I41-Q41</f>
        <v>-10.5633397058824</v>
      </c>
      <c r="AA41" s="523">
        <f t="shared" ref="AA41:AA43" si="66">Z41/P41</f>
        <v>-0.11738348378578</v>
      </c>
      <c r="AB41" s="524">
        <f t="shared" ref="AB41:AB43" si="67">L41/K41/P41*100%</f>
        <v>0.297418667433636</v>
      </c>
      <c r="AC41" s="524">
        <f t="shared" ref="AC41:AC43" si="68">M41/P41*100%</f>
        <v>0.170241137904212</v>
      </c>
      <c r="AD41" s="524">
        <f t="shared" ref="AD41:AD43" si="69">H41/K41/P41*100%</f>
        <v>0.307223678447932</v>
      </c>
      <c r="AE41" s="525">
        <f t="shared" ref="AE41:AE43" si="70">V41/P41*100%</f>
        <v>0</v>
      </c>
      <c r="AF41" s="526">
        <v>28</v>
      </c>
      <c r="AG41" s="527">
        <v>30</v>
      </c>
      <c r="AH41" s="528" t="s">
        <v>4755</v>
      </c>
      <c r="AI41" s="444"/>
      <c r="AJ41" s="444"/>
      <c r="AK41" s="444"/>
      <c r="AL41" s="444"/>
      <c r="AM41" s="501"/>
      <c r="AN41" s="501"/>
      <c r="AO41" s="501"/>
      <c r="AP41" s="501"/>
      <c r="AQ41" s="503"/>
      <c r="AR41" s="503"/>
      <c r="AS41" s="503"/>
      <c r="AT41" s="503"/>
      <c r="AU41" s="504"/>
      <c r="AV41" s="504"/>
    </row>
    <row r="42" s="431" customFormat="1" ht="26" customHeight="1" spans="1:48">
      <c r="A42" s="529"/>
      <c r="B42" s="530" t="s">
        <v>4756</v>
      </c>
      <c r="C42" s="531">
        <f t="shared" ref="C42:K42" si="71">C41</f>
        <v>35.5</v>
      </c>
      <c r="D42" s="531">
        <f t="shared" si="71"/>
        <v>35.5</v>
      </c>
      <c r="E42" s="531">
        <f t="shared" si="71"/>
        <v>20.5</v>
      </c>
      <c r="F42" s="532">
        <f t="shared" si="59"/>
        <v>4.30585416666667</v>
      </c>
      <c r="G42" s="509">
        <f t="shared" si="71"/>
        <v>6.5</v>
      </c>
      <c r="H42" s="510">
        <f t="shared" si="71"/>
        <v>188</v>
      </c>
      <c r="I42" s="511">
        <f t="shared" si="71"/>
        <v>27.6470588235294</v>
      </c>
      <c r="J42" s="512">
        <f t="shared" si="71"/>
        <v>0.307223678447932</v>
      </c>
      <c r="K42" s="513">
        <f t="shared" si="71"/>
        <v>6.8</v>
      </c>
      <c r="L42" s="514">
        <f>MAX(F42:G42)*AF42</f>
        <v>68.25</v>
      </c>
      <c r="M42" s="515">
        <f>M41</f>
        <v>15.32</v>
      </c>
      <c r="N42" s="515">
        <f t="shared" si="60"/>
        <v>25.3567647058824</v>
      </c>
      <c r="O42" s="516">
        <f t="shared" si="61"/>
        <v>0.281773138191825</v>
      </c>
      <c r="P42" s="517">
        <f>P41</f>
        <v>89.99</v>
      </c>
      <c r="Q42" s="517">
        <f t="shared" si="62"/>
        <v>13.4985</v>
      </c>
      <c r="R42" s="517">
        <v>0</v>
      </c>
      <c r="S42" s="517">
        <f t="shared" si="63"/>
        <v>76.4915</v>
      </c>
      <c r="T42" s="518">
        <f>T41</f>
        <v>0.01</v>
      </c>
      <c r="U42" s="519">
        <v>0.01</v>
      </c>
      <c r="V42" s="519">
        <f>V41</f>
        <v>0</v>
      </c>
      <c r="W42" s="520">
        <f>W41</f>
        <v>0.03</v>
      </c>
      <c r="X42" s="521">
        <f t="shared" si="64"/>
        <v>18.9881764705882</v>
      </c>
      <c r="Y42" s="522">
        <f>X42/P42</f>
        <v>0.211003183360243</v>
      </c>
      <c r="Z42" s="521">
        <f t="shared" si="65"/>
        <v>6.16460147058823</v>
      </c>
      <c r="AA42" s="523">
        <f t="shared" si="66"/>
        <v>0.0685031833602425</v>
      </c>
      <c r="AB42" s="524">
        <f t="shared" si="67"/>
        <v>0.111532000287614</v>
      </c>
      <c r="AC42" s="524">
        <f t="shared" si="68"/>
        <v>0.170241137904212</v>
      </c>
      <c r="AD42" s="524">
        <f t="shared" si="69"/>
        <v>0.307223678447932</v>
      </c>
      <c r="AE42" s="525">
        <f t="shared" si="70"/>
        <v>0</v>
      </c>
      <c r="AF42" s="526">
        <v>10.5</v>
      </c>
      <c r="AG42" s="527">
        <v>22</v>
      </c>
      <c r="AH42" s="528" t="s">
        <v>4757</v>
      </c>
      <c r="AI42" s="444"/>
      <c r="AJ42" s="444"/>
      <c r="AK42" s="444"/>
      <c r="AL42" s="444"/>
      <c r="AM42" s="501"/>
      <c r="AN42" s="501"/>
      <c r="AO42" s="501"/>
      <c r="AP42" s="501"/>
      <c r="AQ42" s="503"/>
      <c r="AR42" s="503"/>
      <c r="AS42" s="503"/>
      <c r="AT42" s="503"/>
      <c r="AU42" s="504"/>
      <c r="AV42" s="504"/>
    </row>
    <row r="43" s="431" customFormat="1" ht="26" customHeight="1" spans="1:48">
      <c r="A43" s="533"/>
      <c r="B43" s="534" t="s">
        <v>4758</v>
      </c>
      <c r="C43" s="535">
        <f t="shared" ref="C43:K43" si="72">C42</f>
        <v>35.5</v>
      </c>
      <c r="D43" s="535">
        <f>D41</f>
        <v>35.5</v>
      </c>
      <c r="E43" s="535">
        <f>E41</f>
        <v>20.5</v>
      </c>
      <c r="F43" s="536">
        <f t="shared" si="59"/>
        <v>4.30585416666667</v>
      </c>
      <c r="G43" s="537">
        <f t="shared" si="72"/>
        <v>6.5</v>
      </c>
      <c r="H43" s="538">
        <f t="shared" si="72"/>
        <v>188</v>
      </c>
      <c r="I43" s="539">
        <f t="shared" si="72"/>
        <v>27.6470588235294</v>
      </c>
      <c r="J43" s="540">
        <f t="shared" si="72"/>
        <v>0.307223678447932</v>
      </c>
      <c r="K43" s="541">
        <f t="shared" si="72"/>
        <v>6.8</v>
      </c>
      <c r="L43" s="542">
        <f>MAX(F43:G43)*AF43</f>
        <v>32.5</v>
      </c>
      <c r="M43" s="543">
        <f>M42</f>
        <v>15.32</v>
      </c>
      <c r="N43" s="543">
        <f t="shared" si="60"/>
        <v>20.0994117647059</v>
      </c>
      <c r="O43" s="544">
        <f t="shared" si="61"/>
        <v>0.223351614231647</v>
      </c>
      <c r="P43" s="517">
        <f>P42</f>
        <v>89.99</v>
      </c>
      <c r="Q43" s="545">
        <f t="shared" si="62"/>
        <v>13.4985</v>
      </c>
      <c r="R43" s="545">
        <v>0</v>
      </c>
      <c r="S43" s="545">
        <f t="shared" si="63"/>
        <v>76.4915</v>
      </c>
      <c r="T43" s="546">
        <f>T42</f>
        <v>0.01</v>
      </c>
      <c r="U43" s="547">
        <v>0.01</v>
      </c>
      <c r="V43" s="547">
        <f>V42</f>
        <v>0</v>
      </c>
      <c r="W43" s="548">
        <f>W42</f>
        <v>0.03</v>
      </c>
      <c r="X43" s="549">
        <f t="shared" si="64"/>
        <v>24.2455294117647</v>
      </c>
      <c r="Y43" s="550">
        <f>X43/P43</f>
        <v>0.269424707320421</v>
      </c>
      <c r="Z43" s="549">
        <f t="shared" si="65"/>
        <v>11.4219544117647</v>
      </c>
      <c r="AA43" s="551">
        <f t="shared" si="66"/>
        <v>0.126924707320421</v>
      </c>
      <c r="AB43" s="552">
        <f t="shared" si="67"/>
        <v>0.0531104763274351</v>
      </c>
      <c r="AC43" s="552">
        <f t="shared" si="68"/>
        <v>0.170241137904212</v>
      </c>
      <c r="AD43" s="552">
        <f t="shared" si="69"/>
        <v>0.307223678447932</v>
      </c>
      <c r="AE43" s="553">
        <f t="shared" si="70"/>
        <v>0</v>
      </c>
      <c r="AF43" s="554">
        <v>5</v>
      </c>
      <c r="AG43" s="555">
        <v>28</v>
      </c>
      <c r="AH43" s="556" t="s">
        <v>4759</v>
      </c>
      <c r="AI43" s="444"/>
      <c r="AJ43" s="444"/>
      <c r="AK43" s="444"/>
      <c r="AL43" s="444"/>
      <c r="AM43" s="501"/>
      <c r="AN43" s="501"/>
      <c r="AO43" s="501"/>
      <c r="AP43" s="501"/>
      <c r="AQ43" s="503"/>
      <c r="AR43" s="503"/>
      <c r="AS43" s="503"/>
      <c r="AT43" s="503"/>
      <c r="AU43" s="504"/>
      <c r="AV43" s="504"/>
    </row>
    <row r="44" customFormat="1" ht="14.25"/>
    <row r="45" s="430" customFormat="1" ht="42.75" spans="1:48">
      <c r="A45" s="433" t="s">
        <v>4693</v>
      </c>
      <c r="B45" s="434" t="s">
        <v>4694</v>
      </c>
      <c r="C45" s="434" t="s">
        <v>4695</v>
      </c>
      <c r="D45" s="434" t="s">
        <v>4696</v>
      </c>
      <c r="E45" s="434" t="s">
        <v>4697</v>
      </c>
      <c r="F45" s="434" t="s">
        <v>4698</v>
      </c>
      <c r="G45" s="434" t="s">
        <v>4699</v>
      </c>
      <c r="H45" s="434" t="s">
        <v>4700</v>
      </c>
      <c r="I45" s="434" t="s">
        <v>4701</v>
      </c>
      <c r="J45" s="434" t="s">
        <v>4702</v>
      </c>
      <c r="K45" s="434" t="s">
        <v>4703</v>
      </c>
      <c r="L45" s="434" t="s">
        <v>4704</v>
      </c>
      <c r="M45" s="434" t="s">
        <v>4705</v>
      </c>
      <c r="N45" s="434" t="s">
        <v>4706</v>
      </c>
      <c r="O45" s="434" t="s">
        <v>4707</v>
      </c>
      <c r="P45" s="434" t="s">
        <v>4708</v>
      </c>
      <c r="Q45" s="434" t="s">
        <v>4709</v>
      </c>
      <c r="R45" s="434" t="s">
        <v>4710</v>
      </c>
      <c r="S45" s="435"/>
      <c r="T45" s="435"/>
      <c r="U45" s="435"/>
      <c r="V45" s="435"/>
      <c r="W45" s="435"/>
      <c r="X45" s="435"/>
      <c r="Y45" s="435"/>
      <c r="Z45" s="435"/>
      <c r="AA45" s="435"/>
      <c r="AB45" s="435"/>
      <c r="AC45" s="435"/>
      <c r="AD45" s="435"/>
      <c r="AE45" s="436"/>
    </row>
    <row r="46" s="430" customFormat="1" ht="18" customHeight="1" spans="1:48">
      <c r="A46" s="437" t="s">
        <v>4770</v>
      </c>
      <c r="B46" s="430" t="s">
        <v>1110</v>
      </c>
      <c r="C46" s="557">
        <v>194.48</v>
      </c>
      <c r="D46" s="439">
        <v>89.99</v>
      </c>
      <c r="E46" s="440"/>
      <c r="F46" s="440"/>
      <c r="G46" s="440"/>
      <c r="H46" s="440">
        <v>35.8</v>
      </c>
      <c r="I46" s="440">
        <v>35.8</v>
      </c>
      <c r="J46" s="440">
        <v>35.5</v>
      </c>
      <c r="K46" s="440">
        <v>6</v>
      </c>
      <c r="L46" s="440">
        <v>6.5</v>
      </c>
      <c r="M46" s="440"/>
      <c r="N46" s="440"/>
      <c r="O46" s="440"/>
      <c r="P46" s="440">
        <v>30</v>
      </c>
      <c r="Q46" s="440">
        <f>M46*N46*O46/6000</f>
        <v>0</v>
      </c>
      <c r="R46" s="440">
        <f>Q46/P46</f>
        <v>0</v>
      </c>
      <c r="V46" s="430">
        <f>7.17+0.32*5.04</f>
        <v>8.7828</v>
      </c>
      <c r="X46" s="430">
        <f>9.73+13.33*0.42</f>
        <v>15.3286</v>
      </c>
      <c r="AE46" s="442"/>
    </row>
    <row r="47" s="431" customFormat="1" ht="18" customHeight="1" spans="1:48">
      <c r="A47" s="443"/>
      <c r="B47" s="444" t="s">
        <v>4713</v>
      </c>
      <c r="C47" s="444">
        <f t="shared" ref="C47:R47" si="73">C46</f>
        <v>194.48</v>
      </c>
      <c r="D47" s="445"/>
      <c r="E47" s="440">
        <f t="shared" si="73"/>
        <v>0</v>
      </c>
      <c r="F47" s="440">
        <f t="shared" si="73"/>
        <v>0</v>
      </c>
      <c r="G47" s="440">
        <f t="shared" si="73"/>
        <v>0</v>
      </c>
      <c r="H47" s="440">
        <f t="shared" si="73"/>
        <v>35.8</v>
      </c>
      <c r="I47" s="440">
        <f t="shared" si="73"/>
        <v>35.8</v>
      </c>
      <c r="J47" s="440">
        <f t="shared" si="73"/>
        <v>35.5</v>
      </c>
      <c r="K47" s="440">
        <f t="shared" si="73"/>
        <v>6</v>
      </c>
      <c r="L47" s="440">
        <f t="shared" si="73"/>
        <v>6.5</v>
      </c>
      <c r="M47" s="440">
        <f t="shared" si="73"/>
        <v>0</v>
      </c>
      <c r="N47" s="440">
        <f t="shared" si="73"/>
        <v>0</v>
      </c>
      <c r="O47" s="440">
        <f t="shared" si="73"/>
        <v>0</v>
      </c>
      <c r="P47" s="440">
        <f t="shared" si="73"/>
        <v>30</v>
      </c>
      <c r="Q47" s="440">
        <f t="shared" si="73"/>
        <v>0</v>
      </c>
      <c r="R47" s="440">
        <f t="shared" si="73"/>
        <v>0</v>
      </c>
      <c r="S47" s="444"/>
      <c r="T47" s="444"/>
      <c r="U47" s="444"/>
      <c r="V47" s="444"/>
      <c r="W47" s="444"/>
      <c r="X47" s="444"/>
      <c r="Y47" s="444"/>
      <c r="Z47" s="444"/>
      <c r="AA47" s="444"/>
      <c r="AB47" s="444"/>
      <c r="AC47" s="444"/>
      <c r="AD47" s="444"/>
      <c r="AE47" s="446"/>
      <c r="AF47" s="444"/>
      <c r="AG47" s="447"/>
      <c r="AH47" s="447"/>
      <c r="AI47" s="448"/>
      <c r="AJ47" s="448"/>
      <c r="AK47" s="448"/>
      <c r="AL47" s="448"/>
      <c r="AM47" s="448"/>
      <c r="AN47" s="448"/>
      <c r="AO47" s="448"/>
      <c r="AP47" s="448"/>
      <c r="AQ47" s="448"/>
      <c r="AR47" s="448"/>
      <c r="AS47" s="448"/>
      <c r="AT47" s="448"/>
      <c r="AU47" s="448"/>
      <c r="AV47" s="448"/>
    </row>
    <row r="48" s="431" customFormat="1" ht="18" customHeight="1" spans="1:48">
      <c r="A48" s="443"/>
      <c r="B48" s="444" t="s">
        <v>4714</v>
      </c>
      <c r="C48" s="444">
        <f t="shared" ref="C48:R48" si="74">C47</f>
        <v>194.48</v>
      </c>
      <c r="D48" s="449"/>
      <c r="E48" s="440">
        <f t="shared" si="74"/>
        <v>0</v>
      </c>
      <c r="F48" s="440">
        <f t="shared" si="74"/>
        <v>0</v>
      </c>
      <c r="G48" s="440">
        <f t="shared" si="74"/>
        <v>0</v>
      </c>
      <c r="H48" s="440">
        <f t="shared" si="74"/>
        <v>35.8</v>
      </c>
      <c r="I48" s="440">
        <f t="shared" si="74"/>
        <v>35.8</v>
      </c>
      <c r="J48" s="440">
        <f t="shared" si="74"/>
        <v>35.5</v>
      </c>
      <c r="K48" s="440">
        <f t="shared" si="74"/>
        <v>6</v>
      </c>
      <c r="L48" s="440">
        <f t="shared" si="74"/>
        <v>6.5</v>
      </c>
      <c r="M48" s="440">
        <f t="shared" si="74"/>
        <v>0</v>
      </c>
      <c r="N48" s="440">
        <f t="shared" si="74"/>
        <v>0</v>
      </c>
      <c r="O48" s="440">
        <f t="shared" si="74"/>
        <v>0</v>
      </c>
      <c r="P48" s="440">
        <f t="shared" si="74"/>
        <v>30</v>
      </c>
      <c r="Q48" s="440">
        <f t="shared" si="74"/>
        <v>0</v>
      </c>
      <c r="R48" s="440">
        <f t="shared" si="74"/>
        <v>0</v>
      </c>
      <c r="S48" s="444"/>
      <c r="T48" s="444"/>
      <c r="U48" s="444"/>
      <c r="V48" s="444">
        <f>7.17+0.32*0.96</f>
        <v>7.4772</v>
      </c>
      <c r="W48" s="444"/>
      <c r="X48" s="444"/>
      <c r="Y48" s="444"/>
      <c r="Z48" s="444"/>
      <c r="AA48" s="444"/>
      <c r="AB48" s="444"/>
      <c r="AC48" s="444"/>
      <c r="AD48" s="444"/>
      <c r="AE48" s="446"/>
      <c r="AF48" s="444"/>
      <c r="AG48" s="447"/>
      <c r="AH48" s="447"/>
      <c r="AI48" s="448"/>
      <c r="AJ48" s="448"/>
      <c r="AK48" s="448"/>
      <c r="AL48" s="448"/>
      <c r="AM48" s="448"/>
      <c r="AN48" s="448"/>
      <c r="AO48" s="448"/>
      <c r="AP48" s="448"/>
      <c r="AQ48" s="448"/>
      <c r="AR48" s="448"/>
      <c r="AS48" s="448"/>
      <c r="AT48" s="448"/>
      <c r="AU48" s="448"/>
      <c r="AV48" s="448"/>
    </row>
    <row r="49" s="432" customFormat="1" ht="25" customHeight="1" spans="1:48">
      <c r="A49" s="450" t="s">
        <v>4771</v>
      </c>
      <c r="B49" s="451" t="s">
        <v>4716</v>
      </c>
      <c r="C49" s="451"/>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2"/>
      <c r="AF49" s="453" t="s">
        <v>4717</v>
      </c>
      <c r="AG49" s="454"/>
      <c r="AH49" s="454"/>
      <c r="AI49" s="455"/>
      <c r="AJ49" s="455"/>
      <c r="AK49" s="455"/>
      <c r="AL49" s="455"/>
      <c r="AM49" s="455"/>
      <c r="AN49" s="455"/>
      <c r="AO49" s="455"/>
      <c r="AP49" s="455"/>
      <c r="AQ49" s="455"/>
      <c r="AR49" s="455"/>
      <c r="AS49" s="455"/>
      <c r="AT49" s="455"/>
      <c r="AU49" s="455"/>
      <c r="AV49" s="455"/>
    </row>
    <row r="50" s="431" customFormat="1" ht="26" customHeight="1" spans="1:48">
      <c r="A50" s="456">
        <v>5</v>
      </c>
      <c r="B50" s="559" t="s">
        <v>4718</v>
      </c>
      <c r="C50" s="560"/>
      <c r="D50" s="560"/>
      <c r="E50" s="560"/>
      <c r="F50" s="560"/>
      <c r="G50" s="560"/>
      <c r="H50" s="561"/>
      <c r="I50" s="562"/>
      <c r="J50" s="562"/>
      <c r="K50" s="563"/>
      <c r="L50" s="462" t="s">
        <v>4719</v>
      </c>
      <c r="M50" s="462"/>
      <c r="N50" s="462"/>
      <c r="O50" s="462"/>
      <c r="P50" s="463" t="s">
        <v>4720</v>
      </c>
      <c r="Q50" s="464"/>
      <c r="R50" s="464"/>
      <c r="S50" s="465"/>
      <c r="T50" s="466" t="s">
        <v>4721</v>
      </c>
      <c r="U50" s="467"/>
      <c r="V50" s="467"/>
      <c r="W50" s="467"/>
      <c r="X50" s="467"/>
      <c r="Y50" s="468"/>
      <c r="Z50" s="467"/>
      <c r="AA50" s="469"/>
      <c r="AB50" s="470" t="s">
        <v>4722</v>
      </c>
      <c r="AC50" s="471"/>
      <c r="AD50" s="471"/>
      <c r="AE50" s="472"/>
      <c r="AF50" s="473" t="s">
        <v>4723</v>
      </c>
      <c r="AG50" s="474" t="s">
        <v>4724</v>
      </c>
      <c r="AH50" s="475" t="s">
        <v>4725</v>
      </c>
      <c r="AI50" s="476" t="s">
        <v>4726</v>
      </c>
      <c r="AJ50" s="476"/>
      <c r="AK50" s="476"/>
      <c r="AL50" s="476"/>
      <c r="AM50" s="476" t="s">
        <v>809</v>
      </c>
      <c r="AN50" s="476"/>
      <c r="AO50" s="476"/>
      <c r="AP50" s="476"/>
      <c r="AQ50" s="476" t="s">
        <v>4727</v>
      </c>
      <c r="AR50" s="476"/>
      <c r="AS50" s="476"/>
      <c r="AT50" s="476"/>
      <c r="AU50" s="447"/>
      <c r="AV50" s="447"/>
    </row>
    <row r="51" s="431" customFormat="1" ht="26" customHeight="1" spans="1:48">
      <c r="A51" s="477"/>
      <c r="B51" s="478" t="s">
        <v>812</v>
      </c>
      <c r="C51" s="479" t="s">
        <v>4728</v>
      </c>
      <c r="D51" s="480"/>
      <c r="E51" s="481"/>
      <c r="F51" s="481" t="s">
        <v>4729</v>
      </c>
      <c r="G51" s="479" t="s">
        <v>4730</v>
      </c>
      <c r="H51" s="482" t="s">
        <v>4731</v>
      </c>
      <c r="I51" s="479" t="s">
        <v>4732</v>
      </c>
      <c r="J51" s="479" t="s">
        <v>4733</v>
      </c>
      <c r="K51" s="479" t="s">
        <v>4734</v>
      </c>
      <c r="L51" s="483" t="s">
        <v>4735</v>
      </c>
      <c r="M51" s="484" t="s">
        <v>4736</v>
      </c>
      <c r="N51" s="484" t="s">
        <v>4737</v>
      </c>
      <c r="O51" s="485" t="s">
        <v>4733</v>
      </c>
      <c r="P51" s="486" t="s">
        <v>4696</v>
      </c>
      <c r="Q51" s="487" t="s">
        <v>4738</v>
      </c>
      <c r="R51" s="487" t="s">
        <v>4739</v>
      </c>
      <c r="S51" s="488" t="s">
        <v>4740</v>
      </c>
      <c r="T51" s="489" t="s">
        <v>4741</v>
      </c>
      <c r="U51" s="489" t="s">
        <v>4742</v>
      </c>
      <c r="V51" s="490" t="s">
        <v>4743</v>
      </c>
      <c r="W51" s="490" t="s">
        <v>4744</v>
      </c>
      <c r="X51" s="491" t="s">
        <v>4745</v>
      </c>
      <c r="Y51" s="492" t="s">
        <v>4746</v>
      </c>
      <c r="Z51" s="493" t="s">
        <v>4747</v>
      </c>
      <c r="AA51" s="494" t="s">
        <v>4748</v>
      </c>
      <c r="AB51" s="495" t="s">
        <v>4749</v>
      </c>
      <c r="AC51" s="495" t="s">
        <v>4750</v>
      </c>
      <c r="AD51" s="495" t="s">
        <v>4751</v>
      </c>
      <c r="AE51" s="496" t="s">
        <v>4752</v>
      </c>
      <c r="AF51" s="497"/>
      <c r="AG51" s="498"/>
      <c r="AH51" s="499"/>
      <c r="AI51" s="564" t="s">
        <v>4769</v>
      </c>
      <c r="AJ51" s="444"/>
      <c r="AK51" s="444"/>
      <c r="AL51" s="444"/>
      <c r="AM51" s="447"/>
      <c r="AN51" s="501"/>
      <c r="AO51" s="501"/>
      <c r="AP51" s="501"/>
      <c r="AQ51" s="502"/>
      <c r="AR51" s="502"/>
      <c r="AS51" s="502"/>
      <c r="AT51" s="502"/>
      <c r="AU51" s="504"/>
      <c r="AV51" s="504"/>
    </row>
    <row r="52" s="431" customFormat="1" ht="26" customHeight="1" spans="1:48">
      <c r="A52" s="505" t="str">
        <f>_xlfn.DISPIMG("ID_278C291D48D74AEEABB53F97DADB2DD4",1)</f>
        <v>=DISPIMG("ID_278C291D48D74AEEABB53F97DADB2DD4",1)</v>
      </c>
      <c r="B52" s="506" t="s">
        <v>4754</v>
      </c>
      <c r="C52" s="507">
        <v>35.8</v>
      </c>
      <c r="D52" s="507">
        <v>35.8</v>
      </c>
      <c r="E52" s="507">
        <v>35.5</v>
      </c>
      <c r="F52" s="508">
        <f t="shared" ref="F52:F54" si="75">C52*D52*E52/6000</f>
        <v>7.58303666666667</v>
      </c>
      <c r="G52" s="509">
        <f>L46</f>
        <v>6.5</v>
      </c>
      <c r="H52" s="510">
        <f>C46</f>
        <v>194.48</v>
      </c>
      <c r="I52" s="511">
        <f>H52/K52</f>
        <v>28.6</v>
      </c>
      <c r="J52" s="512">
        <f>I52/P52</f>
        <v>0.317813090343371</v>
      </c>
      <c r="K52" s="513">
        <v>6.8</v>
      </c>
      <c r="L52" s="514">
        <f t="shared" ref="L52:L54" si="76">MAX(F52:G52)*AF52</f>
        <v>212.325026666667</v>
      </c>
      <c r="M52" s="515">
        <v>15.32</v>
      </c>
      <c r="N52" s="515">
        <f t="shared" ref="N52:N54" si="77">L52/K52+M52</f>
        <v>46.544268627451</v>
      </c>
      <c r="O52" s="516">
        <f t="shared" ref="O52:O54" si="78">N52/P52</f>
        <v>0.517216008750428</v>
      </c>
      <c r="P52" s="517">
        <f>D46</f>
        <v>89.99</v>
      </c>
      <c r="Q52" s="517">
        <f t="shared" ref="Q52:Q54" si="79">P52*0.15</f>
        <v>13.4985</v>
      </c>
      <c r="R52" s="517">
        <v>0</v>
      </c>
      <c r="S52" s="517">
        <f t="shared" ref="S52:S54" si="80">0.85*P52</f>
        <v>76.4915</v>
      </c>
      <c r="T52" s="518">
        <v>0.01</v>
      </c>
      <c r="U52" s="519">
        <v>0.01</v>
      </c>
      <c r="V52" s="519">
        <v>0</v>
      </c>
      <c r="W52" s="520">
        <v>0.03</v>
      </c>
      <c r="X52" s="521">
        <f t="shared" ref="X52:X54" si="81">(100%-T52-U52-V52-W52)*P52-N52-I52-Q52-R52</f>
        <v>-3.15226862745097</v>
      </c>
      <c r="Y52" s="522">
        <f t="shared" ref="Y52:Y54" si="82">X52/P52</f>
        <v>-0.035029099093799</v>
      </c>
      <c r="Z52" s="521">
        <f t="shared" ref="Z52:Z54" si="83">(100%-T52-U52-V52-W52)*S52-N52-I52-Q52</f>
        <v>-15.975843627451</v>
      </c>
      <c r="AA52" s="523">
        <f t="shared" ref="AA52:AA54" si="84">Z52/P52</f>
        <v>-0.177529099093799</v>
      </c>
      <c r="AB52" s="524">
        <f t="shared" ref="AB52:AB54" si="85">L52/K52/P52*100%</f>
        <v>0.346974870846216</v>
      </c>
      <c r="AC52" s="524">
        <f t="shared" ref="AC52:AC54" si="86">M52/P52*100%</f>
        <v>0.170241137904212</v>
      </c>
      <c r="AD52" s="524">
        <f t="shared" ref="AD52:AD54" si="87">H52/K52/P52*100%</f>
        <v>0.317813090343371</v>
      </c>
      <c r="AE52" s="525">
        <f t="shared" ref="AE52:AE54" si="88">V52/P52*100%</f>
        <v>0</v>
      </c>
      <c r="AF52" s="526">
        <v>28</v>
      </c>
      <c r="AG52" s="527">
        <v>30</v>
      </c>
      <c r="AH52" s="528" t="s">
        <v>4755</v>
      </c>
      <c r="AI52" s="444"/>
      <c r="AJ52" s="444"/>
      <c r="AK52" s="444"/>
      <c r="AL52" s="444"/>
      <c r="AM52" s="501"/>
      <c r="AN52" s="501"/>
      <c r="AO52" s="501"/>
      <c r="AP52" s="501"/>
      <c r="AQ52" s="502"/>
      <c r="AR52" s="502"/>
      <c r="AS52" s="502"/>
      <c r="AT52" s="502"/>
      <c r="AU52" s="504"/>
      <c r="AV52" s="504"/>
    </row>
    <row r="53" s="431" customFormat="1" ht="26" customHeight="1" spans="1:48">
      <c r="A53" s="529"/>
      <c r="B53" s="530" t="s">
        <v>4756</v>
      </c>
      <c r="C53" s="531">
        <f t="shared" ref="C53:K53" si="89">C52</f>
        <v>35.8</v>
      </c>
      <c r="D53" s="531">
        <f t="shared" si="89"/>
        <v>35.8</v>
      </c>
      <c r="E53" s="531">
        <f t="shared" si="89"/>
        <v>35.5</v>
      </c>
      <c r="F53" s="532">
        <f t="shared" si="75"/>
        <v>7.58303666666667</v>
      </c>
      <c r="G53" s="509">
        <f t="shared" si="89"/>
        <v>6.5</v>
      </c>
      <c r="H53" s="510">
        <f t="shared" si="89"/>
        <v>194.48</v>
      </c>
      <c r="I53" s="511">
        <f t="shared" si="89"/>
        <v>28.6</v>
      </c>
      <c r="J53" s="512">
        <f t="shared" si="89"/>
        <v>0.317813090343371</v>
      </c>
      <c r="K53" s="513">
        <f t="shared" si="89"/>
        <v>6.8</v>
      </c>
      <c r="L53" s="514">
        <f t="shared" si="76"/>
        <v>79.621885</v>
      </c>
      <c r="M53" s="515">
        <f>M52</f>
        <v>15.32</v>
      </c>
      <c r="N53" s="515">
        <f t="shared" si="77"/>
        <v>27.0291007352941</v>
      </c>
      <c r="O53" s="516">
        <f t="shared" si="78"/>
        <v>0.300356714471543</v>
      </c>
      <c r="P53" s="517">
        <f>P52</f>
        <v>89.99</v>
      </c>
      <c r="Q53" s="517">
        <f t="shared" si="79"/>
        <v>13.4985</v>
      </c>
      <c r="R53" s="517">
        <v>0</v>
      </c>
      <c r="S53" s="517">
        <f t="shared" si="80"/>
        <v>76.4915</v>
      </c>
      <c r="T53" s="518">
        <f>T52</f>
        <v>0.01</v>
      </c>
      <c r="U53" s="519">
        <v>0.01</v>
      </c>
      <c r="V53" s="519">
        <f>V52</f>
        <v>0</v>
      </c>
      <c r="W53" s="520">
        <f>W52</f>
        <v>0.03</v>
      </c>
      <c r="X53" s="521">
        <f t="shared" si="81"/>
        <v>16.3628992647059</v>
      </c>
      <c r="Y53" s="522">
        <f t="shared" si="82"/>
        <v>0.181830195185086</v>
      </c>
      <c r="Z53" s="521">
        <f t="shared" si="83"/>
        <v>3.53932426470588</v>
      </c>
      <c r="AA53" s="523">
        <f t="shared" si="84"/>
        <v>0.0393301951850859</v>
      </c>
      <c r="AB53" s="524">
        <f t="shared" si="85"/>
        <v>0.130115576567331</v>
      </c>
      <c r="AC53" s="524">
        <f t="shared" si="86"/>
        <v>0.170241137904212</v>
      </c>
      <c r="AD53" s="524">
        <f t="shared" si="87"/>
        <v>0.317813090343371</v>
      </c>
      <c r="AE53" s="525">
        <f t="shared" si="88"/>
        <v>0</v>
      </c>
      <c r="AF53" s="526">
        <v>10.5</v>
      </c>
      <c r="AG53" s="527">
        <v>22</v>
      </c>
      <c r="AH53" s="528" t="s">
        <v>4757</v>
      </c>
      <c r="AI53" s="444"/>
      <c r="AJ53" s="444"/>
      <c r="AK53" s="444"/>
      <c r="AL53" s="444"/>
      <c r="AM53" s="501"/>
      <c r="AN53" s="501"/>
      <c r="AO53" s="501"/>
      <c r="AP53" s="501"/>
      <c r="AQ53" s="502"/>
      <c r="AR53" s="502"/>
      <c r="AS53" s="502"/>
      <c r="AT53" s="502"/>
      <c r="AU53" s="504"/>
      <c r="AV53" s="504"/>
    </row>
    <row r="54" s="431" customFormat="1" ht="26" customHeight="1" spans="1:48">
      <c r="A54" s="533"/>
      <c r="B54" s="534" t="s">
        <v>4758</v>
      </c>
      <c r="C54" s="535">
        <f t="shared" ref="C54:K54" si="90">C53</f>
        <v>35.8</v>
      </c>
      <c r="D54" s="535">
        <f>D52</f>
        <v>35.8</v>
      </c>
      <c r="E54" s="535">
        <f>E52</f>
        <v>35.5</v>
      </c>
      <c r="F54" s="536">
        <f t="shared" si="75"/>
        <v>7.58303666666667</v>
      </c>
      <c r="G54" s="537">
        <f t="shared" si="90"/>
        <v>6.5</v>
      </c>
      <c r="H54" s="510">
        <f t="shared" si="90"/>
        <v>194.48</v>
      </c>
      <c r="I54" s="539">
        <f t="shared" si="90"/>
        <v>28.6</v>
      </c>
      <c r="J54" s="540">
        <f t="shared" si="90"/>
        <v>0.317813090343371</v>
      </c>
      <c r="K54" s="541">
        <f t="shared" si="90"/>
        <v>6.8</v>
      </c>
      <c r="L54" s="542">
        <f t="shared" si="76"/>
        <v>37.9151833333333</v>
      </c>
      <c r="M54" s="543">
        <f>M53</f>
        <v>15.32</v>
      </c>
      <c r="N54" s="543">
        <f t="shared" si="77"/>
        <v>20.895762254902</v>
      </c>
      <c r="O54" s="544">
        <f t="shared" si="78"/>
        <v>0.232200936269607</v>
      </c>
      <c r="P54" s="545">
        <f>P53</f>
        <v>89.99</v>
      </c>
      <c r="Q54" s="545">
        <f t="shared" si="79"/>
        <v>13.4985</v>
      </c>
      <c r="R54" s="545">
        <v>0</v>
      </c>
      <c r="S54" s="545">
        <f t="shared" si="80"/>
        <v>76.4915</v>
      </c>
      <c r="T54" s="546">
        <f>T53</f>
        <v>0.01</v>
      </c>
      <c r="U54" s="547">
        <v>0.01</v>
      </c>
      <c r="V54" s="547">
        <f>V53</f>
        <v>0</v>
      </c>
      <c r="W54" s="548">
        <f>W53</f>
        <v>0.03</v>
      </c>
      <c r="X54" s="549">
        <f t="shared" si="81"/>
        <v>22.496237745098</v>
      </c>
      <c r="Y54" s="550">
        <f t="shared" si="82"/>
        <v>0.249985973387021</v>
      </c>
      <c r="Z54" s="549">
        <f t="shared" si="83"/>
        <v>9.67266274509804</v>
      </c>
      <c r="AA54" s="551">
        <f t="shared" si="84"/>
        <v>0.107485973387021</v>
      </c>
      <c r="AB54" s="552">
        <f t="shared" si="85"/>
        <v>0.0619597983653957</v>
      </c>
      <c r="AC54" s="552">
        <f t="shared" si="86"/>
        <v>0.170241137904212</v>
      </c>
      <c r="AD54" s="552">
        <f t="shared" si="87"/>
        <v>0.317813090343371</v>
      </c>
      <c r="AE54" s="553">
        <f t="shared" si="88"/>
        <v>0</v>
      </c>
      <c r="AF54" s="554">
        <v>5</v>
      </c>
      <c r="AG54" s="555">
        <v>28</v>
      </c>
      <c r="AH54" s="556" t="s">
        <v>4759</v>
      </c>
      <c r="AI54" s="444"/>
      <c r="AJ54" s="444"/>
      <c r="AK54" s="444"/>
      <c r="AL54" s="444"/>
      <c r="AM54" s="501"/>
      <c r="AN54" s="501"/>
      <c r="AO54" s="501"/>
      <c r="AP54" s="501"/>
      <c r="AQ54" s="502"/>
      <c r="AR54" s="502"/>
      <c r="AS54" s="502"/>
      <c r="AT54" s="502"/>
      <c r="AU54" s="504"/>
      <c r="AV54" s="504"/>
    </row>
    <row r="55" customFormat="1" ht="14.25"/>
    <row r="56" s="430" customFormat="1" ht="42.75" spans="1:48">
      <c r="A56" s="433" t="s">
        <v>4693</v>
      </c>
      <c r="B56" s="434" t="s">
        <v>4694</v>
      </c>
      <c r="C56" s="434" t="s">
        <v>4695</v>
      </c>
      <c r="D56" s="434" t="s">
        <v>4696</v>
      </c>
      <c r="E56" s="434" t="s">
        <v>4697</v>
      </c>
      <c r="F56" s="434" t="s">
        <v>4698</v>
      </c>
      <c r="G56" s="434" t="s">
        <v>4699</v>
      </c>
      <c r="H56" s="434" t="s">
        <v>4700</v>
      </c>
      <c r="I56" s="434" t="s">
        <v>4701</v>
      </c>
      <c r="J56" s="434" t="s">
        <v>4702</v>
      </c>
      <c r="K56" s="434" t="s">
        <v>4703</v>
      </c>
      <c r="L56" s="434" t="s">
        <v>4704</v>
      </c>
      <c r="M56" s="434" t="s">
        <v>4705</v>
      </c>
      <c r="N56" s="434" t="s">
        <v>4706</v>
      </c>
      <c r="O56" s="434" t="s">
        <v>4707</v>
      </c>
      <c r="P56" s="434" t="s">
        <v>4708</v>
      </c>
      <c r="Q56" s="434" t="s">
        <v>4709</v>
      </c>
      <c r="R56" s="434" t="s">
        <v>4710</v>
      </c>
      <c r="S56" s="435"/>
      <c r="T56" s="435"/>
      <c r="U56" s="435"/>
      <c r="V56" s="435"/>
      <c r="W56" s="435"/>
      <c r="X56" s="435"/>
      <c r="Y56" s="435"/>
      <c r="Z56" s="435"/>
      <c r="AA56" s="435"/>
      <c r="AB56" s="435"/>
      <c r="AC56" s="435"/>
      <c r="AD56" s="435"/>
      <c r="AE56" s="436"/>
    </row>
    <row r="57" s="430" customFormat="1" ht="18" customHeight="1" spans="1:48">
      <c r="A57" s="437" t="s">
        <v>4772</v>
      </c>
      <c r="B57" s="430" t="s">
        <v>1110</v>
      </c>
      <c r="C57" s="557">
        <v>260</v>
      </c>
      <c r="D57" s="439">
        <v>129.99</v>
      </c>
      <c r="E57" s="440"/>
      <c r="F57" s="440"/>
      <c r="G57" s="440"/>
      <c r="H57" s="440">
        <v>43.8</v>
      </c>
      <c r="I57" s="440">
        <v>40.6</v>
      </c>
      <c r="J57" s="440">
        <v>33</v>
      </c>
      <c r="K57" s="440">
        <v>6.66</v>
      </c>
      <c r="L57" s="440">
        <v>7.41</v>
      </c>
      <c r="M57" s="440"/>
      <c r="N57" s="440"/>
      <c r="O57" s="440"/>
      <c r="P57" s="440">
        <v>30</v>
      </c>
      <c r="Q57" s="440">
        <f>M57*N57*O57/6000</f>
        <v>0</v>
      </c>
      <c r="R57" s="440">
        <f>Q57/P57</f>
        <v>0</v>
      </c>
      <c r="AA57" s="430">
        <f>9.73+0.42*5.4</f>
        <v>11.998</v>
      </c>
      <c r="AE57" s="442"/>
    </row>
    <row r="58" s="431" customFormat="1" ht="18" customHeight="1" spans="1:48">
      <c r="A58" s="443"/>
      <c r="B58" s="444" t="s">
        <v>4713</v>
      </c>
      <c r="C58" s="444">
        <f t="shared" ref="C58:R58" si="91">C57</f>
        <v>260</v>
      </c>
      <c r="D58" s="445"/>
      <c r="E58" s="440">
        <f t="shared" si="91"/>
        <v>0</v>
      </c>
      <c r="F58" s="440">
        <f t="shared" si="91"/>
        <v>0</v>
      </c>
      <c r="G58" s="440">
        <f t="shared" si="91"/>
        <v>0</v>
      </c>
      <c r="H58" s="440">
        <f t="shared" si="91"/>
        <v>43.8</v>
      </c>
      <c r="I58" s="440">
        <f t="shared" si="91"/>
        <v>40.6</v>
      </c>
      <c r="J58" s="440">
        <f t="shared" si="91"/>
        <v>33</v>
      </c>
      <c r="K58" s="440">
        <f t="shared" si="91"/>
        <v>6.66</v>
      </c>
      <c r="L58" s="440">
        <f t="shared" si="91"/>
        <v>7.41</v>
      </c>
      <c r="M58" s="440">
        <f t="shared" si="91"/>
        <v>0</v>
      </c>
      <c r="N58" s="440">
        <f t="shared" si="91"/>
        <v>0</v>
      </c>
      <c r="O58" s="440">
        <f t="shared" si="91"/>
        <v>0</v>
      </c>
      <c r="P58" s="440">
        <f t="shared" si="91"/>
        <v>30</v>
      </c>
      <c r="Q58" s="440">
        <f t="shared" si="91"/>
        <v>0</v>
      </c>
      <c r="R58" s="440">
        <f t="shared" si="91"/>
        <v>0</v>
      </c>
      <c r="S58" s="444"/>
      <c r="T58" s="444"/>
      <c r="U58" s="444"/>
      <c r="V58" s="444"/>
      <c r="W58" s="444"/>
      <c r="X58" s="444">
        <f>9.73+15.33*0.42</f>
        <v>16.1686</v>
      </c>
      <c r="Y58" s="444"/>
      <c r="Z58" s="444"/>
      <c r="AA58" s="444"/>
      <c r="AB58" s="444"/>
      <c r="AC58" s="444"/>
      <c r="AD58" s="444"/>
      <c r="AE58" s="446"/>
      <c r="AF58" s="444"/>
      <c r="AG58" s="447"/>
      <c r="AH58" s="447"/>
      <c r="AI58" s="448"/>
      <c r="AJ58" s="448"/>
      <c r="AK58" s="448"/>
      <c r="AL58" s="448"/>
      <c r="AM58" s="448"/>
      <c r="AN58" s="448"/>
      <c r="AO58" s="448"/>
      <c r="AP58" s="448"/>
      <c r="AQ58" s="448"/>
      <c r="AR58" s="448"/>
      <c r="AS58" s="448"/>
      <c r="AT58" s="448"/>
      <c r="AU58" s="448"/>
      <c r="AV58" s="448"/>
    </row>
    <row r="59" s="431" customFormat="1" ht="18" customHeight="1" spans="1:48">
      <c r="A59" s="443"/>
      <c r="B59" s="444" t="s">
        <v>4714</v>
      </c>
      <c r="C59" s="444">
        <f t="shared" ref="C59:R59" si="92">C58</f>
        <v>260</v>
      </c>
      <c r="D59" s="449"/>
      <c r="E59" s="440">
        <f t="shared" si="92"/>
        <v>0</v>
      </c>
      <c r="F59" s="440">
        <f t="shared" si="92"/>
        <v>0</v>
      </c>
      <c r="G59" s="440">
        <f t="shared" si="92"/>
        <v>0</v>
      </c>
      <c r="H59" s="440">
        <f t="shared" si="92"/>
        <v>43.8</v>
      </c>
      <c r="I59" s="440">
        <f t="shared" si="92"/>
        <v>40.6</v>
      </c>
      <c r="J59" s="440">
        <f t="shared" si="92"/>
        <v>33</v>
      </c>
      <c r="K59" s="440">
        <f t="shared" si="92"/>
        <v>6.66</v>
      </c>
      <c r="L59" s="440">
        <f t="shared" si="92"/>
        <v>7.41</v>
      </c>
      <c r="M59" s="440">
        <f t="shared" si="92"/>
        <v>0</v>
      </c>
      <c r="N59" s="440">
        <f t="shared" si="92"/>
        <v>0</v>
      </c>
      <c r="O59" s="440">
        <f t="shared" si="92"/>
        <v>0</v>
      </c>
      <c r="P59" s="440">
        <f t="shared" si="92"/>
        <v>30</v>
      </c>
      <c r="Q59" s="440">
        <f t="shared" si="92"/>
        <v>0</v>
      </c>
      <c r="R59" s="440">
        <f t="shared" si="92"/>
        <v>0</v>
      </c>
      <c r="S59" s="444"/>
      <c r="T59" s="444"/>
      <c r="U59" s="444"/>
      <c r="V59" s="444"/>
      <c r="W59" s="444"/>
      <c r="X59" s="444"/>
      <c r="Y59" s="444"/>
      <c r="Z59" s="444"/>
      <c r="AA59" s="444"/>
      <c r="AB59" s="444"/>
      <c r="AC59" s="444"/>
      <c r="AD59" s="444"/>
      <c r="AE59" s="446"/>
      <c r="AF59" s="444"/>
      <c r="AG59" s="447"/>
      <c r="AH59" s="447"/>
      <c r="AI59" s="448"/>
      <c r="AJ59" s="448"/>
      <c r="AK59" s="448"/>
      <c r="AL59" s="448"/>
      <c r="AM59" s="448"/>
      <c r="AN59" s="448"/>
      <c r="AO59" s="448"/>
      <c r="AP59" s="448"/>
      <c r="AQ59" s="448"/>
      <c r="AR59" s="448"/>
      <c r="AS59" s="448"/>
      <c r="AT59" s="448"/>
      <c r="AU59" s="448"/>
      <c r="AV59" s="448"/>
    </row>
    <row r="60" s="432" customFormat="1" ht="25" customHeight="1" spans="1:48">
      <c r="A60" s="450" t="s">
        <v>4773</v>
      </c>
      <c r="B60" s="451" t="s">
        <v>4716</v>
      </c>
      <c r="C60" s="451"/>
      <c r="D60" s="451"/>
      <c r="E60" s="451"/>
      <c r="F60" s="451"/>
      <c r="G60" s="451"/>
      <c r="H60" s="451"/>
      <c r="I60" s="451"/>
      <c r="J60" s="451"/>
      <c r="K60" s="451"/>
      <c r="L60" s="451"/>
      <c r="M60" s="451"/>
      <c r="N60" s="451"/>
      <c r="O60" s="451"/>
      <c r="P60" s="451"/>
      <c r="Q60" s="451"/>
      <c r="R60" s="451"/>
      <c r="S60" s="451"/>
      <c r="T60" s="451"/>
      <c r="U60" s="451"/>
      <c r="V60" s="451"/>
      <c r="W60" s="451"/>
      <c r="X60" s="451"/>
      <c r="Y60" s="451"/>
      <c r="Z60" s="451"/>
      <c r="AA60" s="451"/>
      <c r="AB60" s="451"/>
      <c r="AC60" s="451"/>
      <c r="AD60" s="451"/>
      <c r="AE60" s="452"/>
      <c r="AF60" s="453" t="s">
        <v>4774</v>
      </c>
      <c r="AG60" s="454"/>
      <c r="AH60" s="454"/>
      <c r="AI60" s="455"/>
      <c r="AJ60" s="455"/>
      <c r="AK60" s="455"/>
      <c r="AL60" s="455"/>
      <c r="AM60" s="455"/>
      <c r="AN60" s="455"/>
      <c r="AO60" s="455"/>
      <c r="AP60" s="455"/>
      <c r="AQ60" s="455"/>
      <c r="AR60" s="455"/>
      <c r="AS60" s="455"/>
      <c r="AT60" s="455"/>
      <c r="AU60" s="455"/>
      <c r="AV60" s="455"/>
    </row>
    <row r="61" s="431" customFormat="1" ht="26" customHeight="1" spans="1:48">
      <c r="A61" s="456">
        <v>6</v>
      </c>
      <c r="B61" s="559" t="s">
        <v>4718</v>
      </c>
      <c r="C61" s="560"/>
      <c r="D61" s="560"/>
      <c r="E61" s="560"/>
      <c r="F61" s="560"/>
      <c r="G61" s="560"/>
      <c r="H61" s="561"/>
      <c r="I61" s="562"/>
      <c r="J61" s="562"/>
      <c r="K61" s="563"/>
      <c r="L61" s="462" t="s">
        <v>4719</v>
      </c>
      <c r="M61" s="462"/>
      <c r="N61" s="462"/>
      <c r="O61" s="462"/>
      <c r="P61" s="463" t="s">
        <v>4720</v>
      </c>
      <c r="Q61" s="464"/>
      <c r="R61" s="464"/>
      <c r="S61" s="465"/>
      <c r="T61" s="466" t="s">
        <v>4721</v>
      </c>
      <c r="U61" s="467"/>
      <c r="V61" s="467"/>
      <c r="W61" s="467"/>
      <c r="X61" s="467"/>
      <c r="Y61" s="468"/>
      <c r="Z61" s="467"/>
      <c r="AA61" s="469"/>
      <c r="AB61" s="470" t="s">
        <v>4722</v>
      </c>
      <c r="AC61" s="471"/>
      <c r="AD61" s="471"/>
      <c r="AE61" s="472"/>
      <c r="AF61" s="473" t="s">
        <v>4723</v>
      </c>
      <c r="AG61" s="474" t="s">
        <v>4724</v>
      </c>
      <c r="AH61" s="475" t="s">
        <v>4725</v>
      </c>
      <c r="AI61" s="476" t="s">
        <v>4726</v>
      </c>
      <c r="AJ61" s="476"/>
      <c r="AK61" s="476"/>
      <c r="AL61" s="476"/>
      <c r="AM61" s="476" t="s">
        <v>809</v>
      </c>
      <c r="AN61" s="476"/>
      <c r="AO61" s="476"/>
      <c r="AP61" s="476"/>
      <c r="AQ61" s="476" t="s">
        <v>4727</v>
      </c>
      <c r="AR61" s="476"/>
      <c r="AS61" s="476"/>
      <c r="AT61" s="476"/>
      <c r="AU61" s="447"/>
      <c r="AV61" s="447"/>
    </row>
    <row r="62" s="431" customFormat="1" ht="26" customHeight="1" spans="1:48">
      <c r="A62" s="477"/>
      <c r="B62" s="478" t="s">
        <v>812</v>
      </c>
      <c r="C62" s="479" t="s">
        <v>4728</v>
      </c>
      <c r="D62" s="480"/>
      <c r="E62" s="481"/>
      <c r="F62" s="481" t="s">
        <v>4729</v>
      </c>
      <c r="G62" s="479" t="s">
        <v>4730</v>
      </c>
      <c r="H62" s="482" t="s">
        <v>4731</v>
      </c>
      <c r="I62" s="479" t="s">
        <v>4732</v>
      </c>
      <c r="J62" s="479" t="s">
        <v>4733</v>
      </c>
      <c r="K62" s="479" t="s">
        <v>4734</v>
      </c>
      <c r="L62" s="483" t="s">
        <v>4735</v>
      </c>
      <c r="M62" s="484" t="s">
        <v>4736</v>
      </c>
      <c r="N62" s="484" t="s">
        <v>4737</v>
      </c>
      <c r="O62" s="485" t="s">
        <v>4733</v>
      </c>
      <c r="P62" s="486" t="s">
        <v>4696</v>
      </c>
      <c r="Q62" s="487" t="s">
        <v>4738</v>
      </c>
      <c r="R62" s="487" t="s">
        <v>4739</v>
      </c>
      <c r="S62" s="488" t="s">
        <v>4740</v>
      </c>
      <c r="T62" s="489" t="s">
        <v>4741</v>
      </c>
      <c r="U62" s="489" t="s">
        <v>4742</v>
      </c>
      <c r="V62" s="490" t="s">
        <v>4743</v>
      </c>
      <c r="W62" s="490" t="s">
        <v>4744</v>
      </c>
      <c r="X62" s="491" t="s">
        <v>4745</v>
      </c>
      <c r="Y62" s="492" t="s">
        <v>4746</v>
      </c>
      <c r="Z62" s="493" t="s">
        <v>4747</v>
      </c>
      <c r="AA62" s="494" t="s">
        <v>4748</v>
      </c>
      <c r="AB62" s="495" t="s">
        <v>4749</v>
      </c>
      <c r="AC62" s="495" t="s">
        <v>4750</v>
      </c>
      <c r="AD62" s="495" t="s">
        <v>4751</v>
      </c>
      <c r="AE62" s="496" t="s">
        <v>4752</v>
      </c>
      <c r="AF62" s="497"/>
      <c r="AG62" s="498"/>
      <c r="AH62" s="499"/>
      <c r="AI62" s="581" t="s">
        <v>4775</v>
      </c>
      <c r="AJ62" s="444"/>
      <c r="AK62" s="444"/>
      <c r="AL62" s="444"/>
      <c r="AM62" s="447"/>
      <c r="AN62" s="501"/>
      <c r="AO62" s="501"/>
      <c r="AP62" s="501"/>
      <c r="AQ62" s="502" t="s">
        <v>4776</v>
      </c>
      <c r="AR62" s="503"/>
      <c r="AS62" s="503"/>
      <c r="AT62" s="503"/>
      <c r="AU62" s="504"/>
      <c r="AV62" s="504"/>
    </row>
    <row r="63" s="431" customFormat="1" ht="26" customHeight="1" spans="1:48">
      <c r="A63" s="505" t="str">
        <f>_xlfn.DISPIMG("ID_279315D7EC164217A4A866C45C573469",1)</f>
        <v>=DISPIMG("ID_279315D7EC164217A4A866C45C573469",1)</v>
      </c>
      <c r="B63" s="506" t="s">
        <v>4754</v>
      </c>
      <c r="C63" s="507">
        <v>43.8</v>
      </c>
      <c r="D63" s="507">
        <f t="shared" ref="C63:G63" si="93">I57</f>
        <v>40.6</v>
      </c>
      <c r="E63" s="507">
        <f t="shared" si="93"/>
        <v>33</v>
      </c>
      <c r="F63" s="508">
        <f>C63*D63*E63/6000</f>
        <v>9.78054</v>
      </c>
      <c r="G63" s="509">
        <v>3.5</v>
      </c>
      <c r="H63" s="510">
        <f>C57</f>
        <v>260</v>
      </c>
      <c r="I63" s="511">
        <f>H63/K63</f>
        <v>38.2352941176471</v>
      </c>
      <c r="J63" s="512">
        <f>I63/P63</f>
        <v>0.294140273233688</v>
      </c>
      <c r="K63" s="513">
        <v>6.8</v>
      </c>
      <c r="L63" s="514">
        <f t="shared" ref="L63:L65" si="94">MAX(F63:G63)*AF63</f>
        <v>273.85512</v>
      </c>
      <c r="M63" s="515">
        <v>16.17</v>
      </c>
      <c r="N63" s="515">
        <f t="shared" ref="N63:N65" si="95">L63/K63+M63</f>
        <v>56.4428117647059</v>
      </c>
      <c r="O63" s="516">
        <f t="shared" ref="O63:O65" si="96">N63/P63</f>
        <v>0.434208875795876</v>
      </c>
      <c r="P63" s="517">
        <f>D57</f>
        <v>129.99</v>
      </c>
      <c r="Q63" s="517">
        <f t="shared" ref="Q63:Q65" si="97">P63*0.15</f>
        <v>19.4985</v>
      </c>
      <c r="R63" s="517">
        <v>0</v>
      </c>
      <c r="S63" s="517">
        <f t="shared" ref="S63:S65" si="98">0.85*P63</f>
        <v>110.4915</v>
      </c>
      <c r="T63" s="518">
        <v>0.01</v>
      </c>
      <c r="U63" s="519">
        <v>0.01</v>
      </c>
      <c r="V63" s="519">
        <v>0</v>
      </c>
      <c r="W63" s="520">
        <v>0.03</v>
      </c>
      <c r="X63" s="521">
        <f t="shared" ref="X63:X65" si="99">(100%-T63-U63-V63-W63)*P63-N63-I63-Q63-R63</f>
        <v>9.31389411764706</v>
      </c>
      <c r="Y63" s="522">
        <f t="shared" ref="Y63:Y65" si="100">X63/P63</f>
        <v>0.0716508509704366</v>
      </c>
      <c r="Z63" s="521">
        <f t="shared" ref="Z63:Z65" si="101">(100%-T63-U63-V63-W63)*S63-N63-I63-Q63</f>
        <v>-9.20968088235294</v>
      </c>
      <c r="AA63" s="523">
        <f t="shared" ref="AA63:AA65" si="102">Z63/P63</f>
        <v>-0.0708491490295634</v>
      </c>
      <c r="AB63" s="524">
        <f t="shared" ref="AB63:AB65" si="103">L63/K63/P63*100%</f>
        <v>0.309814691627863</v>
      </c>
      <c r="AC63" s="524">
        <f t="shared" ref="AC63:AC65" si="104">M63/P63*100%</f>
        <v>0.124394184168013</v>
      </c>
      <c r="AD63" s="524">
        <f t="shared" ref="AD63:AD65" si="105">H63/K63/P63*100%</f>
        <v>0.294140273233688</v>
      </c>
      <c r="AE63" s="525">
        <f t="shared" ref="AE63:AE65" si="106">V63/P63*100%</f>
        <v>0</v>
      </c>
      <c r="AF63" s="526">
        <v>28</v>
      </c>
      <c r="AG63" s="527">
        <v>30</v>
      </c>
      <c r="AH63" s="528" t="s">
        <v>4755</v>
      </c>
      <c r="AI63" s="444"/>
      <c r="AJ63" s="444"/>
      <c r="AK63" s="444"/>
      <c r="AL63" s="444"/>
      <c r="AM63" s="501"/>
      <c r="AN63" s="501"/>
      <c r="AO63" s="501"/>
      <c r="AP63" s="501"/>
      <c r="AQ63" s="503"/>
      <c r="AR63" s="503"/>
      <c r="AS63" s="503"/>
      <c r="AT63" s="503"/>
      <c r="AU63" s="504"/>
      <c r="AV63" s="504"/>
    </row>
    <row r="64" s="431" customFormat="1" ht="26" customHeight="1" spans="1:48">
      <c r="A64" s="529"/>
      <c r="B64" s="530" t="s">
        <v>4756</v>
      </c>
      <c r="C64" s="531">
        <f t="shared" ref="C64:K64" si="107">C63</f>
        <v>43.8</v>
      </c>
      <c r="D64" s="531">
        <f t="shared" si="107"/>
        <v>40.6</v>
      </c>
      <c r="E64" s="531">
        <f t="shared" si="107"/>
        <v>33</v>
      </c>
      <c r="F64" s="532">
        <f t="shared" ref="F63:F65" si="108">C64*D64*E64/6000</f>
        <v>9.78054</v>
      </c>
      <c r="G64" s="509">
        <f t="shared" si="107"/>
        <v>3.5</v>
      </c>
      <c r="H64" s="510">
        <f t="shared" si="107"/>
        <v>260</v>
      </c>
      <c r="I64" s="511">
        <f t="shared" si="107"/>
        <v>38.2352941176471</v>
      </c>
      <c r="J64" s="512">
        <f t="shared" si="107"/>
        <v>0.294140273233688</v>
      </c>
      <c r="K64" s="513">
        <f t="shared" si="107"/>
        <v>6.8</v>
      </c>
      <c r="L64" s="514">
        <f t="shared" si="94"/>
        <v>102.69567</v>
      </c>
      <c r="M64" s="515">
        <f>M63</f>
        <v>16.17</v>
      </c>
      <c r="N64" s="515">
        <f t="shared" si="95"/>
        <v>31.2723044117647</v>
      </c>
      <c r="O64" s="516">
        <f t="shared" si="96"/>
        <v>0.240574693528461</v>
      </c>
      <c r="P64" s="517">
        <f>P63</f>
        <v>129.99</v>
      </c>
      <c r="Q64" s="517">
        <f t="shared" si="97"/>
        <v>19.4985</v>
      </c>
      <c r="R64" s="517">
        <v>0</v>
      </c>
      <c r="S64" s="517">
        <f t="shared" si="98"/>
        <v>110.4915</v>
      </c>
      <c r="T64" s="518">
        <f>T63</f>
        <v>0.01</v>
      </c>
      <c r="U64" s="519">
        <v>0.01</v>
      </c>
      <c r="V64" s="519">
        <f>V63</f>
        <v>0</v>
      </c>
      <c r="W64" s="520">
        <f>W63</f>
        <v>0.03</v>
      </c>
      <c r="X64" s="521">
        <f t="shared" si="99"/>
        <v>34.4844014705882</v>
      </c>
      <c r="Y64" s="522">
        <f t="shared" si="100"/>
        <v>0.265285033237851</v>
      </c>
      <c r="Z64" s="521">
        <f t="shared" si="101"/>
        <v>15.9608264705882</v>
      </c>
      <c r="AA64" s="523">
        <f t="shared" si="102"/>
        <v>0.122785033237851</v>
      </c>
      <c r="AB64" s="524">
        <f t="shared" si="103"/>
        <v>0.116180509360449</v>
      </c>
      <c r="AC64" s="524">
        <f t="shared" si="104"/>
        <v>0.124394184168013</v>
      </c>
      <c r="AD64" s="524">
        <f t="shared" si="105"/>
        <v>0.294140273233688</v>
      </c>
      <c r="AE64" s="525">
        <f t="shared" si="106"/>
        <v>0</v>
      </c>
      <c r="AF64" s="526">
        <v>10.5</v>
      </c>
      <c r="AG64" s="527">
        <v>22</v>
      </c>
      <c r="AH64" s="528" t="s">
        <v>4757</v>
      </c>
      <c r="AI64" s="444"/>
      <c r="AJ64" s="444"/>
      <c r="AK64" s="444"/>
      <c r="AL64" s="444"/>
      <c r="AM64" s="501"/>
      <c r="AN64" s="501"/>
      <c r="AO64" s="501"/>
      <c r="AP64" s="501"/>
      <c r="AQ64" s="503"/>
      <c r="AR64" s="503"/>
      <c r="AS64" s="503"/>
      <c r="AT64" s="503"/>
      <c r="AU64" s="504"/>
      <c r="AV64" s="504"/>
    </row>
    <row r="65" s="431" customFormat="1" ht="26" customHeight="1" spans="1:48">
      <c r="A65" s="533"/>
      <c r="B65" s="534" t="s">
        <v>4758</v>
      </c>
      <c r="C65" s="535">
        <f t="shared" ref="C65:K65" si="109">C64</f>
        <v>43.8</v>
      </c>
      <c r="D65" s="535">
        <f>D63</f>
        <v>40.6</v>
      </c>
      <c r="E65" s="535">
        <f>E63</f>
        <v>33</v>
      </c>
      <c r="F65" s="536">
        <f t="shared" si="108"/>
        <v>9.78054</v>
      </c>
      <c r="G65" s="537">
        <f t="shared" si="109"/>
        <v>3.5</v>
      </c>
      <c r="H65" s="510">
        <f t="shared" si="109"/>
        <v>260</v>
      </c>
      <c r="I65" s="539">
        <f t="shared" si="109"/>
        <v>38.2352941176471</v>
      </c>
      <c r="J65" s="540">
        <f t="shared" si="109"/>
        <v>0.294140273233688</v>
      </c>
      <c r="K65" s="541">
        <f t="shared" si="109"/>
        <v>6.8</v>
      </c>
      <c r="L65" s="542">
        <f t="shared" si="94"/>
        <v>48.9027</v>
      </c>
      <c r="M65" s="543">
        <f>M64</f>
        <v>16.17</v>
      </c>
      <c r="N65" s="543">
        <f t="shared" si="95"/>
        <v>23.3615735294118</v>
      </c>
      <c r="O65" s="544">
        <f t="shared" si="96"/>
        <v>0.179718236244417</v>
      </c>
      <c r="P65" s="517">
        <f>P64</f>
        <v>129.99</v>
      </c>
      <c r="Q65" s="545">
        <f t="shared" si="97"/>
        <v>19.4985</v>
      </c>
      <c r="R65" s="545">
        <v>0</v>
      </c>
      <c r="S65" s="545">
        <f t="shared" si="98"/>
        <v>110.4915</v>
      </c>
      <c r="T65" s="546">
        <f>T64</f>
        <v>0.01</v>
      </c>
      <c r="U65" s="547">
        <v>0.01</v>
      </c>
      <c r="V65" s="547">
        <f>V64</f>
        <v>0</v>
      </c>
      <c r="W65" s="548">
        <f>W64</f>
        <v>0.03</v>
      </c>
      <c r="X65" s="549">
        <f t="shared" si="99"/>
        <v>42.3951323529412</v>
      </c>
      <c r="Y65" s="550">
        <f t="shared" si="100"/>
        <v>0.326141490521895</v>
      </c>
      <c r="Z65" s="549">
        <f t="shared" si="101"/>
        <v>23.8715573529412</v>
      </c>
      <c r="AA65" s="551">
        <f t="shared" si="102"/>
        <v>0.183641490521895</v>
      </c>
      <c r="AB65" s="552">
        <f t="shared" si="103"/>
        <v>0.0553240520764041</v>
      </c>
      <c r="AC65" s="552">
        <f t="shared" si="104"/>
        <v>0.124394184168013</v>
      </c>
      <c r="AD65" s="552">
        <f t="shared" si="105"/>
        <v>0.294140273233688</v>
      </c>
      <c r="AE65" s="553">
        <f t="shared" si="106"/>
        <v>0</v>
      </c>
      <c r="AF65" s="554">
        <v>5</v>
      </c>
      <c r="AG65" s="555">
        <v>28</v>
      </c>
      <c r="AH65" s="556" t="s">
        <v>4759</v>
      </c>
      <c r="AI65" s="444"/>
      <c r="AJ65" s="444"/>
      <c r="AK65" s="444"/>
      <c r="AL65" s="444"/>
      <c r="AM65" s="501"/>
      <c r="AN65" s="501"/>
      <c r="AO65" s="501"/>
      <c r="AP65" s="501"/>
      <c r="AQ65" s="503"/>
      <c r="AR65" s="503"/>
      <c r="AS65" s="503"/>
      <c r="AT65" s="503"/>
      <c r="AU65" s="504"/>
      <c r="AV65" s="504"/>
    </row>
    <row r="66" customFormat="1"/>
    <row r="67" ht="14.25"/>
    <row r="68" s="430" customFormat="1" ht="42.75" spans="1:48">
      <c r="A68" s="433" t="s">
        <v>4693</v>
      </c>
      <c r="B68" s="434" t="s">
        <v>4694</v>
      </c>
      <c r="C68" s="434" t="s">
        <v>4695</v>
      </c>
      <c r="D68" s="434" t="s">
        <v>4696</v>
      </c>
      <c r="E68" s="434" t="s">
        <v>4697</v>
      </c>
      <c r="F68" s="434" t="s">
        <v>4698</v>
      </c>
      <c r="G68" s="434" t="s">
        <v>4699</v>
      </c>
      <c r="H68" s="434" t="s">
        <v>4700</v>
      </c>
      <c r="I68" s="434" t="s">
        <v>4701</v>
      </c>
      <c r="J68" s="434" t="s">
        <v>4702</v>
      </c>
      <c r="K68" s="434" t="s">
        <v>4703</v>
      </c>
      <c r="L68" s="434" t="s">
        <v>4704</v>
      </c>
      <c r="M68" s="434" t="s">
        <v>4705</v>
      </c>
      <c r="N68" s="434" t="s">
        <v>4706</v>
      </c>
      <c r="O68" s="434" t="s">
        <v>4707</v>
      </c>
      <c r="P68" s="434" t="s">
        <v>4708</v>
      </c>
      <c r="Q68" s="434" t="s">
        <v>4709</v>
      </c>
      <c r="R68" s="434" t="s">
        <v>4710</v>
      </c>
      <c r="S68" s="435"/>
      <c r="T68" s="435"/>
      <c r="U68" s="435"/>
      <c r="V68" s="435"/>
      <c r="W68" s="435"/>
      <c r="X68" s="435"/>
      <c r="Y68" s="435"/>
      <c r="Z68" s="435"/>
      <c r="AA68" s="435"/>
      <c r="AB68" s="435"/>
      <c r="AC68" s="435"/>
      <c r="AD68" s="435"/>
      <c r="AE68" s="436"/>
      <c r="AG68" s="430">
        <f>26*6.8</f>
        <v>176.8</v>
      </c>
    </row>
    <row r="69" s="430" customFormat="1" ht="18" customHeight="1" spans="1:48">
      <c r="A69" s="437" t="s">
        <v>4772</v>
      </c>
      <c r="B69" s="430" t="s">
        <v>1110</v>
      </c>
      <c r="C69" s="557">
        <v>300</v>
      </c>
      <c r="D69" s="439">
        <v>139.99</v>
      </c>
      <c r="E69" s="440"/>
      <c r="F69" s="440"/>
      <c r="G69" s="440"/>
      <c r="H69" s="440">
        <v>37.8</v>
      </c>
      <c r="I69" s="440">
        <v>36.4</v>
      </c>
      <c r="J69" s="440">
        <v>31.9</v>
      </c>
      <c r="K69" s="440">
        <v>7.5</v>
      </c>
      <c r="L69" s="440">
        <v>9.1</v>
      </c>
      <c r="M69" s="440"/>
      <c r="N69" s="440"/>
      <c r="O69" s="440"/>
      <c r="P69" s="440">
        <v>30</v>
      </c>
      <c r="Q69" s="440">
        <f>M69*N69*O69/6000</f>
        <v>0</v>
      </c>
      <c r="R69" s="440">
        <f>Q69/P69</f>
        <v>0</v>
      </c>
      <c r="V69" s="444">
        <f>0.32*3.6+7.17</f>
        <v>8.322</v>
      </c>
      <c r="X69" s="430">
        <f>9.73+19*0.42</f>
        <v>17.71</v>
      </c>
      <c r="AE69" s="442"/>
    </row>
    <row r="70" s="431" customFormat="1" ht="18" customHeight="1" spans="1:48">
      <c r="A70" s="443"/>
      <c r="B70" s="444" t="s">
        <v>4713</v>
      </c>
      <c r="C70" s="444">
        <f t="shared" ref="C70:R70" si="110">C69</f>
        <v>300</v>
      </c>
      <c r="D70" s="445"/>
      <c r="E70" s="440">
        <f t="shared" si="110"/>
        <v>0</v>
      </c>
      <c r="F70" s="440">
        <f t="shared" si="110"/>
        <v>0</v>
      </c>
      <c r="G70" s="440">
        <f t="shared" si="110"/>
        <v>0</v>
      </c>
      <c r="H70" s="440">
        <f t="shared" si="110"/>
        <v>37.8</v>
      </c>
      <c r="I70" s="440">
        <f t="shared" si="110"/>
        <v>36.4</v>
      </c>
      <c r="J70" s="440">
        <f t="shared" si="110"/>
        <v>31.9</v>
      </c>
      <c r="K70" s="440">
        <f t="shared" si="110"/>
        <v>7.5</v>
      </c>
      <c r="L70" s="440">
        <f t="shared" si="110"/>
        <v>9.1</v>
      </c>
      <c r="M70" s="440">
        <f t="shared" si="110"/>
        <v>0</v>
      </c>
      <c r="N70" s="440">
        <f t="shared" si="110"/>
        <v>0</v>
      </c>
      <c r="O70" s="440">
        <f t="shared" si="110"/>
        <v>0</v>
      </c>
      <c r="P70" s="440">
        <f t="shared" si="110"/>
        <v>30</v>
      </c>
      <c r="Q70" s="440">
        <f t="shared" si="110"/>
        <v>0</v>
      </c>
      <c r="R70" s="440">
        <f t="shared" si="110"/>
        <v>0</v>
      </c>
      <c r="S70" s="444"/>
      <c r="T70" s="444"/>
      <c r="U70" s="444"/>
      <c r="V70" s="444"/>
      <c r="W70" s="444"/>
      <c r="X70" s="444"/>
      <c r="Y70" s="444"/>
      <c r="Z70" s="444"/>
      <c r="AA70" s="444"/>
      <c r="AB70" s="444"/>
      <c r="AC70" s="444"/>
      <c r="AD70" s="444"/>
      <c r="AE70" s="446"/>
      <c r="AF70" s="444"/>
      <c r="AG70" s="447"/>
      <c r="AH70" s="447"/>
      <c r="AI70" s="448"/>
      <c r="AJ70" s="448"/>
      <c r="AK70" s="448"/>
      <c r="AL70" s="448"/>
      <c r="AM70" s="448"/>
      <c r="AN70" s="448"/>
      <c r="AO70" s="448"/>
      <c r="AP70" s="448"/>
      <c r="AQ70" s="448"/>
      <c r="AR70" s="448"/>
      <c r="AS70" s="448"/>
      <c r="AT70" s="448"/>
      <c r="AU70" s="448"/>
      <c r="AV70" s="448"/>
    </row>
    <row r="71" s="431" customFormat="1" ht="18" customHeight="1" spans="1:48">
      <c r="A71" s="443"/>
      <c r="B71" s="444" t="s">
        <v>4714</v>
      </c>
      <c r="C71" s="444">
        <f t="shared" ref="C71:R71" si="111">C70</f>
        <v>300</v>
      </c>
      <c r="D71" s="449"/>
      <c r="E71" s="440">
        <f t="shared" si="111"/>
        <v>0</v>
      </c>
      <c r="F71" s="440">
        <f t="shared" si="111"/>
        <v>0</v>
      </c>
      <c r="G71" s="440">
        <f t="shared" si="111"/>
        <v>0</v>
      </c>
      <c r="H71" s="440">
        <f t="shared" si="111"/>
        <v>37.8</v>
      </c>
      <c r="I71" s="440">
        <f t="shared" si="111"/>
        <v>36.4</v>
      </c>
      <c r="J71" s="440">
        <f t="shared" si="111"/>
        <v>31.9</v>
      </c>
      <c r="K71" s="440">
        <f t="shared" si="111"/>
        <v>7.5</v>
      </c>
      <c r="L71" s="440">
        <f t="shared" si="111"/>
        <v>9.1</v>
      </c>
      <c r="M71" s="440">
        <f t="shared" si="111"/>
        <v>0</v>
      </c>
      <c r="N71" s="440">
        <f t="shared" si="111"/>
        <v>0</v>
      </c>
      <c r="O71" s="440">
        <f t="shared" si="111"/>
        <v>0</v>
      </c>
      <c r="P71" s="440">
        <f t="shared" si="111"/>
        <v>30</v>
      </c>
      <c r="Q71" s="440">
        <f t="shared" si="111"/>
        <v>0</v>
      </c>
      <c r="R71" s="440">
        <f t="shared" si="111"/>
        <v>0</v>
      </c>
      <c r="S71" s="444"/>
      <c r="T71" s="444"/>
      <c r="U71" s="444"/>
      <c r="V71" s="444"/>
      <c r="W71" s="444"/>
      <c r="X71" s="444"/>
      <c r="Y71" s="444"/>
      <c r="Z71" s="444"/>
      <c r="AA71" s="444"/>
      <c r="AB71" s="444"/>
      <c r="AC71" s="444"/>
      <c r="AD71" s="444"/>
      <c r="AE71" s="446"/>
      <c r="AF71" s="444"/>
      <c r="AG71" s="447"/>
      <c r="AH71" s="447"/>
      <c r="AI71" s="448"/>
      <c r="AJ71" s="448"/>
      <c r="AK71" s="448"/>
      <c r="AL71" s="448"/>
      <c r="AM71" s="448"/>
      <c r="AN71" s="448"/>
      <c r="AO71" s="448"/>
      <c r="AP71" s="448"/>
      <c r="AQ71" s="448"/>
      <c r="AR71" s="448"/>
      <c r="AS71" s="448"/>
      <c r="AT71" s="448"/>
      <c r="AU71" s="448"/>
      <c r="AV71" s="448"/>
    </row>
    <row r="72" s="432" customFormat="1" ht="25" customHeight="1" spans="1:48">
      <c r="A72" s="450" t="s">
        <v>4777</v>
      </c>
      <c r="B72" s="451" t="s">
        <v>4716</v>
      </c>
      <c r="C72" s="451"/>
      <c r="D72" s="451"/>
      <c r="E72" s="451"/>
      <c r="F72" s="451"/>
      <c r="G72" s="451"/>
      <c r="H72" s="451"/>
      <c r="I72" s="451"/>
      <c r="J72" s="451"/>
      <c r="K72" s="451"/>
      <c r="L72" s="451"/>
      <c r="M72" s="451"/>
      <c r="N72" s="451"/>
      <c r="O72" s="451"/>
      <c r="P72" s="451"/>
      <c r="Q72" s="451"/>
      <c r="R72" s="451"/>
      <c r="S72" s="451"/>
      <c r="T72" s="451"/>
      <c r="U72" s="451"/>
      <c r="V72" s="451"/>
      <c r="W72" s="451"/>
      <c r="X72" s="451"/>
      <c r="Y72" s="451"/>
      <c r="Z72" s="451"/>
      <c r="AA72" s="451"/>
      <c r="AB72" s="451"/>
      <c r="AC72" s="451"/>
      <c r="AD72" s="451"/>
      <c r="AE72" s="452"/>
      <c r="AF72" s="453" t="s">
        <v>4778</v>
      </c>
      <c r="AG72" s="453"/>
      <c r="AH72" s="454"/>
      <c r="AI72" s="455"/>
      <c r="AJ72" s="455"/>
      <c r="AK72" s="455"/>
      <c r="AL72" s="455"/>
      <c r="AM72" s="455"/>
      <c r="AN72" s="455"/>
      <c r="AO72" s="455"/>
      <c r="AP72" s="455"/>
      <c r="AQ72" s="455"/>
      <c r="AR72" s="455"/>
      <c r="AS72" s="455"/>
      <c r="AT72" s="455"/>
      <c r="AU72" s="455"/>
      <c r="AV72" s="455"/>
    </row>
    <row r="73" s="431" customFormat="1" ht="26" customHeight="1" spans="1:48">
      <c r="A73" s="456">
        <v>7</v>
      </c>
      <c r="B73" s="559" t="s">
        <v>4718</v>
      </c>
      <c r="C73" s="560"/>
      <c r="D73" s="560"/>
      <c r="E73" s="560"/>
      <c r="F73" s="560"/>
      <c r="G73" s="560"/>
      <c r="H73" s="561"/>
      <c r="I73" s="562"/>
      <c r="J73" s="562"/>
      <c r="K73" s="563"/>
      <c r="L73" s="462" t="s">
        <v>4719</v>
      </c>
      <c r="M73" s="462"/>
      <c r="N73" s="462"/>
      <c r="O73" s="462"/>
      <c r="P73" s="463" t="s">
        <v>4720</v>
      </c>
      <c r="Q73" s="464"/>
      <c r="R73" s="464"/>
      <c r="S73" s="465"/>
      <c r="T73" s="466" t="s">
        <v>4721</v>
      </c>
      <c r="U73" s="467"/>
      <c r="V73" s="467"/>
      <c r="W73" s="467"/>
      <c r="X73" s="467"/>
      <c r="Y73" s="468"/>
      <c r="Z73" s="467"/>
      <c r="AA73" s="469"/>
      <c r="AB73" s="470" t="s">
        <v>4722</v>
      </c>
      <c r="AC73" s="471"/>
      <c r="AD73" s="471"/>
      <c r="AE73" s="472"/>
      <c r="AF73" s="473" t="s">
        <v>4723</v>
      </c>
      <c r="AG73" s="474" t="s">
        <v>4724</v>
      </c>
      <c r="AH73" s="475" t="s">
        <v>4725</v>
      </c>
      <c r="AI73" s="476" t="s">
        <v>4726</v>
      </c>
      <c r="AJ73" s="476"/>
      <c r="AK73" s="476"/>
      <c r="AL73" s="476"/>
      <c r="AM73" s="476" t="s">
        <v>809</v>
      </c>
      <c r="AN73" s="476"/>
      <c r="AO73" s="476"/>
      <c r="AP73" s="476"/>
      <c r="AQ73" s="476" t="s">
        <v>4727</v>
      </c>
      <c r="AR73" s="476"/>
      <c r="AS73" s="476"/>
      <c r="AT73" s="476"/>
      <c r="AU73" s="447"/>
      <c r="AV73" s="447"/>
    </row>
    <row r="74" s="431" customFormat="1" ht="26" customHeight="1" spans="1:48">
      <c r="A74" s="477"/>
      <c r="B74" s="478" t="s">
        <v>812</v>
      </c>
      <c r="C74" s="479" t="s">
        <v>4728</v>
      </c>
      <c r="D74" s="480"/>
      <c r="E74" s="481"/>
      <c r="F74" s="481" t="s">
        <v>4729</v>
      </c>
      <c r="G74" s="479" t="s">
        <v>4730</v>
      </c>
      <c r="H74" s="482" t="s">
        <v>4731</v>
      </c>
      <c r="I74" s="479" t="s">
        <v>4732</v>
      </c>
      <c r="J74" s="479" t="s">
        <v>4733</v>
      </c>
      <c r="K74" s="479" t="s">
        <v>4734</v>
      </c>
      <c r="L74" s="483" t="s">
        <v>4735</v>
      </c>
      <c r="M74" s="484" t="s">
        <v>4736</v>
      </c>
      <c r="N74" s="484" t="s">
        <v>4737</v>
      </c>
      <c r="O74" s="485" t="s">
        <v>4733</v>
      </c>
      <c r="P74" s="486" t="s">
        <v>4696</v>
      </c>
      <c r="Q74" s="487" t="s">
        <v>4738</v>
      </c>
      <c r="R74" s="487" t="s">
        <v>4739</v>
      </c>
      <c r="S74" s="488" t="s">
        <v>4740</v>
      </c>
      <c r="T74" s="489" t="s">
        <v>4741</v>
      </c>
      <c r="U74" s="489" t="s">
        <v>4742</v>
      </c>
      <c r="V74" s="490" t="s">
        <v>4743</v>
      </c>
      <c r="W74" s="490" t="s">
        <v>4744</v>
      </c>
      <c r="X74" s="491" t="s">
        <v>4745</v>
      </c>
      <c r="Y74" s="492" t="s">
        <v>4746</v>
      </c>
      <c r="Z74" s="493" t="s">
        <v>4747</v>
      </c>
      <c r="AA74" s="494" t="s">
        <v>4748</v>
      </c>
      <c r="AB74" s="495" t="s">
        <v>4749</v>
      </c>
      <c r="AC74" s="495" t="s">
        <v>4750</v>
      </c>
      <c r="AD74" s="495" t="s">
        <v>4751</v>
      </c>
      <c r="AE74" s="496" t="s">
        <v>4752</v>
      </c>
      <c r="AF74" s="497"/>
      <c r="AG74" s="498"/>
      <c r="AH74" s="499"/>
      <c r="AI74" s="582" t="s">
        <v>4779</v>
      </c>
      <c r="AJ74" s="444"/>
      <c r="AK74" s="444"/>
      <c r="AL74" s="444"/>
      <c r="AM74" s="447"/>
      <c r="AN74" s="501"/>
      <c r="AO74" s="501"/>
      <c r="AP74" s="501"/>
      <c r="AQ74" s="502"/>
      <c r="AR74" s="503"/>
      <c r="AS74" s="503"/>
      <c r="AT74" s="503"/>
      <c r="AU74" s="504"/>
      <c r="AV74" s="504"/>
    </row>
    <row r="75" s="431" customFormat="1" ht="26" customHeight="1" spans="1:48">
      <c r="A75" s="505" t="str">
        <f>_xlfn.DISPIMG("ID_38098777F50340029881000E221BEAF1",1)</f>
        <v>=DISPIMG("ID_38098777F50340029881000E221BEAF1",1)</v>
      </c>
      <c r="B75" s="506" t="s">
        <v>4754</v>
      </c>
      <c r="C75" s="507">
        <f t="shared" ref="C75:G75" si="112">H69</f>
        <v>37.8</v>
      </c>
      <c r="D75" s="507">
        <f t="shared" si="112"/>
        <v>36.4</v>
      </c>
      <c r="E75" s="507">
        <f t="shared" si="112"/>
        <v>31.9</v>
      </c>
      <c r="F75" s="508">
        <f t="shared" ref="F75:F77" si="113">C75*D75*E75/6000</f>
        <v>7.315308</v>
      </c>
      <c r="G75" s="509">
        <f>L69</f>
        <v>9.1</v>
      </c>
      <c r="H75" s="510">
        <f>C69</f>
        <v>300</v>
      </c>
      <c r="I75" s="511">
        <f>H75/K75</f>
        <v>44.1176470588235</v>
      </c>
      <c r="J75" s="512">
        <f>I75/P75</f>
        <v>0.31514856103167</v>
      </c>
      <c r="K75" s="513">
        <v>6.8</v>
      </c>
      <c r="L75" s="514">
        <f t="shared" ref="L75:L77" si="114">MAX(F75:G75)*AF75</f>
        <v>254.8</v>
      </c>
      <c r="M75" s="515">
        <v>17.71</v>
      </c>
      <c r="N75" s="515">
        <f t="shared" ref="N75:N77" si="115">L75/K75+M75</f>
        <v>55.1805882352941</v>
      </c>
      <c r="O75" s="516">
        <f t="shared" ref="O75:O77" si="116">N75/P75</f>
        <v>0.394175214195972</v>
      </c>
      <c r="P75" s="517">
        <f>D69</f>
        <v>139.99</v>
      </c>
      <c r="Q75" s="517">
        <f t="shared" ref="Q75:Q77" si="117">P75*0.15</f>
        <v>20.9985</v>
      </c>
      <c r="R75" s="517">
        <v>0</v>
      </c>
      <c r="S75" s="517">
        <f t="shared" ref="S75:S77" si="118">0.85*P75</f>
        <v>118.9915</v>
      </c>
      <c r="T75" s="518">
        <v>0.01</v>
      </c>
      <c r="U75" s="519">
        <v>0.01</v>
      </c>
      <c r="V75" s="519">
        <v>0</v>
      </c>
      <c r="W75" s="520">
        <v>0.03</v>
      </c>
      <c r="X75" s="521">
        <f t="shared" ref="X75:X77" si="119">(100%-T75-U75-V75-W75)*P75-N75-I75-Q75-R75</f>
        <v>12.6937647058823</v>
      </c>
      <c r="Y75" s="522">
        <f>X75/P75</f>
        <v>0.0906762247723576</v>
      </c>
      <c r="Z75" s="521">
        <f t="shared" ref="Z75:Z77" si="120">(100%-T75-U75-V75-W75)*S75-N75-I75-Q75</f>
        <v>-7.25481029411765</v>
      </c>
      <c r="AA75" s="523">
        <f t="shared" ref="AA75:AA77" si="121">Z75/P75</f>
        <v>-0.0518237752276424</v>
      </c>
      <c r="AB75" s="524">
        <f t="shared" ref="AB75:AB77" si="122">L75/K75/P75*100%</f>
        <v>0.267666177836232</v>
      </c>
      <c r="AC75" s="524">
        <f t="shared" ref="AC75:AC77" si="123">M75/P75*100%</f>
        <v>0.12650903635974</v>
      </c>
      <c r="AD75" s="524">
        <f t="shared" ref="AD75:AD77" si="124">H75/K75/P75*100%</f>
        <v>0.31514856103167</v>
      </c>
      <c r="AE75" s="525">
        <f t="shared" ref="AE75:AE77" si="125">V75/P75*100%</f>
        <v>0</v>
      </c>
      <c r="AF75" s="526">
        <v>28</v>
      </c>
      <c r="AG75" s="527">
        <v>30</v>
      </c>
      <c r="AH75" s="528" t="s">
        <v>4755</v>
      </c>
      <c r="AI75" s="444"/>
      <c r="AJ75" s="444"/>
      <c r="AK75" s="444"/>
      <c r="AL75" s="444"/>
      <c r="AM75" s="501"/>
      <c r="AN75" s="501"/>
      <c r="AO75" s="501"/>
      <c r="AP75" s="501"/>
      <c r="AQ75" s="503"/>
      <c r="AR75" s="502"/>
      <c r="AS75" s="503"/>
      <c r="AT75" s="503"/>
      <c r="AU75" s="504"/>
      <c r="AV75" s="504"/>
    </row>
    <row r="76" s="431" customFormat="1" ht="26" customHeight="1" spans="1:48">
      <c r="A76" s="529"/>
      <c r="B76" s="530" t="s">
        <v>4756</v>
      </c>
      <c r="C76" s="531">
        <f t="shared" ref="C76:K76" si="126">C75</f>
        <v>37.8</v>
      </c>
      <c r="D76" s="531">
        <f t="shared" si="126"/>
        <v>36.4</v>
      </c>
      <c r="E76" s="531">
        <f t="shared" si="126"/>
        <v>31.9</v>
      </c>
      <c r="F76" s="532">
        <f t="shared" si="113"/>
        <v>7.315308</v>
      </c>
      <c r="G76" s="509">
        <f t="shared" si="126"/>
        <v>9.1</v>
      </c>
      <c r="H76" s="510">
        <f t="shared" si="126"/>
        <v>300</v>
      </c>
      <c r="I76" s="511">
        <f t="shared" si="126"/>
        <v>44.1176470588235</v>
      </c>
      <c r="J76" s="512">
        <f t="shared" si="126"/>
        <v>0.31514856103167</v>
      </c>
      <c r="K76" s="513">
        <f t="shared" si="126"/>
        <v>6.8</v>
      </c>
      <c r="L76" s="514">
        <f t="shared" si="114"/>
        <v>95.55</v>
      </c>
      <c r="M76" s="515">
        <f>M75</f>
        <v>17.71</v>
      </c>
      <c r="N76" s="515">
        <f t="shared" si="115"/>
        <v>31.7614705882353</v>
      </c>
      <c r="O76" s="516">
        <f t="shared" si="116"/>
        <v>0.226883853048327</v>
      </c>
      <c r="P76" s="517">
        <f>P75</f>
        <v>139.99</v>
      </c>
      <c r="Q76" s="517">
        <f t="shared" si="117"/>
        <v>20.9985</v>
      </c>
      <c r="R76" s="517">
        <v>0</v>
      </c>
      <c r="S76" s="517">
        <f t="shared" si="118"/>
        <v>118.9915</v>
      </c>
      <c r="T76" s="518">
        <f>T75</f>
        <v>0.01</v>
      </c>
      <c r="U76" s="519">
        <v>0.01</v>
      </c>
      <c r="V76" s="519">
        <f>V75</f>
        <v>0</v>
      </c>
      <c r="W76" s="520">
        <f>W75</f>
        <v>0.03</v>
      </c>
      <c r="X76" s="521">
        <f t="shared" si="119"/>
        <v>36.1128823529412</v>
      </c>
      <c r="Y76" s="522">
        <f t="shared" ref="Y75:Y77" si="127">X76/P76</f>
        <v>0.257967585920003</v>
      </c>
      <c r="Z76" s="521">
        <f t="shared" si="120"/>
        <v>16.1643073529412</v>
      </c>
      <c r="AA76" s="523">
        <f t="shared" si="121"/>
        <v>0.115467585920003</v>
      </c>
      <c r="AB76" s="524">
        <f t="shared" si="122"/>
        <v>0.100374816688587</v>
      </c>
      <c r="AC76" s="524">
        <f t="shared" si="123"/>
        <v>0.12650903635974</v>
      </c>
      <c r="AD76" s="524">
        <f t="shared" si="124"/>
        <v>0.31514856103167</v>
      </c>
      <c r="AE76" s="525">
        <f t="shared" si="125"/>
        <v>0</v>
      </c>
      <c r="AF76" s="526">
        <v>10.5</v>
      </c>
      <c r="AG76" s="527">
        <v>22</v>
      </c>
      <c r="AH76" s="528" t="s">
        <v>4757</v>
      </c>
      <c r="AI76" s="444"/>
      <c r="AJ76" s="444"/>
      <c r="AK76" s="444"/>
      <c r="AL76" s="444"/>
      <c r="AM76" s="501"/>
      <c r="AN76" s="501"/>
      <c r="AO76" s="501"/>
      <c r="AP76" s="501"/>
      <c r="AQ76" s="503"/>
      <c r="AR76" s="503"/>
      <c r="AS76" s="503"/>
      <c r="AT76" s="503"/>
      <c r="AU76" s="504"/>
      <c r="AV76" s="504"/>
    </row>
    <row r="77" s="431" customFormat="1" ht="26" customHeight="1" spans="1:48">
      <c r="A77" s="533"/>
      <c r="B77" s="534" t="s">
        <v>4758</v>
      </c>
      <c r="C77" s="535">
        <f t="shared" ref="C77:K77" si="128">C76</f>
        <v>37.8</v>
      </c>
      <c r="D77" s="535">
        <f>D75</f>
        <v>36.4</v>
      </c>
      <c r="E77" s="535">
        <f>E75</f>
        <v>31.9</v>
      </c>
      <c r="F77" s="536">
        <f t="shared" si="113"/>
        <v>7.315308</v>
      </c>
      <c r="G77" s="537">
        <f t="shared" si="128"/>
        <v>9.1</v>
      </c>
      <c r="H77" s="510">
        <f t="shared" si="128"/>
        <v>300</v>
      </c>
      <c r="I77" s="539">
        <f t="shared" si="128"/>
        <v>44.1176470588235</v>
      </c>
      <c r="J77" s="540">
        <f t="shared" si="128"/>
        <v>0.31514856103167</v>
      </c>
      <c r="K77" s="541">
        <f t="shared" si="128"/>
        <v>6.8</v>
      </c>
      <c r="L77" s="542">
        <f t="shared" si="114"/>
        <v>45.5</v>
      </c>
      <c r="M77" s="543">
        <f>M76</f>
        <v>17.71</v>
      </c>
      <c r="N77" s="543">
        <f t="shared" si="115"/>
        <v>24.4011764705882</v>
      </c>
      <c r="O77" s="544">
        <f t="shared" si="116"/>
        <v>0.17430656811621</v>
      </c>
      <c r="P77" s="545">
        <f>P75</f>
        <v>139.99</v>
      </c>
      <c r="Q77" s="545">
        <f t="shared" si="117"/>
        <v>20.9985</v>
      </c>
      <c r="R77" s="545">
        <v>0</v>
      </c>
      <c r="S77" s="545">
        <f t="shared" si="118"/>
        <v>118.9915</v>
      </c>
      <c r="T77" s="546">
        <f>T76</f>
        <v>0.01</v>
      </c>
      <c r="U77" s="547">
        <v>0.01</v>
      </c>
      <c r="V77" s="547">
        <f>V76</f>
        <v>0</v>
      </c>
      <c r="W77" s="548">
        <f>W76</f>
        <v>0.03</v>
      </c>
      <c r="X77" s="549">
        <f t="shared" si="119"/>
        <v>43.4731764705882</v>
      </c>
      <c r="Y77" s="550">
        <f t="shared" si="127"/>
        <v>0.31054487085212</v>
      </c>
      <c r="Z77" s="549">
        <f t="shared" si="120"/>
        <v>23.5246014705882</v>
      </c>
      <c r="AA77" s="551">
        <f t="shared" si="121"/>
        <v>0.16804487085212</v>
      </c>
      <c r="AB77" s="552">
        <f t="shared" si="122"/>
        <v>0.04779753175647</v>
      </c>
      <c r="AC77" s="552">
        <f t="shared" si="123"/>
        <v>0.12650903635974</v>
      </c>
      <c r="AD77" s="552">
        <f t="shared" si="124"/>
        <v>0.31514856103167</v>
      </c>
      <c r="AE77" s="553">
        <f t="shared" si="125"/>
        <v>0</v>
      </c>
      <c r="AF77" s="554">
        <v>5</v>
      </c>
      <c r="AG77" s="555">
        <v>28</v>
      </c>
      <c r="AH77" s="556" t="s">
        <v>4759</v>
      </c>
      <c r="AI77" s="444"/>
      <c r="AJ77" s="444"/>
      <c r="AK77" s="444"/>
      <c r="AL77" s="444"/>
      <c r="AM77" s="501"/>
      <c r="AN77" s="501"/>
      <c r="AO77" s="501"/>
      <c r="AP77" s="501"/>
      <c r="AQ77" s="503"/>
      <c r="AR77" s="503"/>
      <c r="AS77" s="503"/>
      <c r="AT77" s="503"/>
      <c r="AU77" s="504"/>
      <c r="AV77" s="504"/>
    </row>
    <row r="78" ht="14.25"/>
    <row r="79" s="430" customFormat="1" ht="42.75" spans="1:48">
      <c r="A79" s="433" t="s">
        <v>4693</v>
      </c>
      <c r="B79" s="434" t="s">
        <v>4694</v>
      </c>
      <c r="C79" s="434" t="s">
        <v>4695</v>
      </c>
      <c r="D79" s="434" t="s">
        <v>4696</v>
      </c>
      <c r="E79" s="434" t="s">
        <v>4697</v>
      </c>
      <c r="F79" s="434" t="s">
        <v>4698</v>
      </c>
      <c r="G79" s="434" t="s">
        <v>4699</v>
      </c>
      <c r="H79" s="434" t="s">
        <v>4700</v>
      </c>
      <c r="I79" s="434" t="s">
        <v>4701</v>
      </c>
      <c r="J79" s="434" t="s">
        <v>4702</v>
      </c>
      <c r="K79" s="434" t="s">
        <v>4703</v>
      </c>
      <c r="L79" s="434" t="s">
        <v>4704</v>
      </c>
      <c r="M79" s="434" t="s">
        <v>4705</v>
      </c>
      <c r="N79" s="434" t="s">
        <v>4706</v>
      </c>
      <c r="O79" s="434" t="s">
        <v>4707</v>
      </c>
      <c r="P79" s="434" t="s">
        <v>4708</v>
      </c>
      <c r="Q79" s="434" t="s">
        <v>4709</v>
      </c>
      <c r="R79" s="434" t="s">
        <v>4710</v>
      </c>
      <c r="S79" s="435"/>
      <c r="T79" s="435"/>
      <c r="U79" s="435"/>
      <c r="V79" s="435"/>
      <c r="W79" s="435"/>
      <c r="X79" s="435"/>
      <c r="Y79" s="435"/>
      <c r="Z79" s="435"/>
      <c r="AA79" s="435"/>
      <c r="AB79" s="435"/>
      <c r="AC79" s="435"/>
      <c r="AD79" s="435"/>
      <c r="AE79" s="436"/>
    </row>
    <row r="80" s="430" customFormat="1" ht="18" customHeight="1" spans="1:48">
      <c r="A80" s="437" t="s">
        <v>4772</v>
      </c>
      <c r="B80" s="430" t="s">
        <v>1110</v>
      </c>
      <c r="C80" s="557">
        <v>325</v>
      </c>
      <c r="D80" s="439">
        <v>139.99</v>
      </c>
      <c r="E80" s="440"/>
      <c r="F80" s="440"/>
      <c r="G80" s="440"/>
      <c r="H80" s="440">
        <v>45</v>
      </c>
      <c r="I80" s="440">
        <v>40</v>
      </c>
      <c r="J80" s="440">
        <v>38</v>
      </c>
      <c r="K80" s="440">
        <v>10.1</v>
      </c>
      <c r="L80" s="440">
        <v>10.9</v>
      </c>
      <c r="M80" s="440"/>
      <c r="N80" s="440"/>
      <c r="O80" s="440"/>
      <c r="P80" s="440">
        <v>30</v>
      </c>
      <c r="Q80" s="440">
        <f>M80*N80*O80/6000</f>
        <v>0</v>
      </c>
      <c r="R80" s="440">
        <f>Q80/P80</f>
        <v>0</v>
      </c>
      <c r="V80" s="444">
        <f>0.32*3.6+7.17</f>
        <v>8.322</v>
      </c>
      <c r="AE80" s="442"/>
    </row>
    <row r="81" s="431" customFormat="1" ht="18" customHeight="1" spans="1:48">
      <c r="A81" s="443"/>
      <c r="B81" s="444" t="s">
        <v>4713</v>
      </c>
      <c r="C81" s="558">
        <f t="shared" ref="C81:R81" si="129">C80</f>
        <v>325</v>
      </c>
      <c r="D81" s="445"/>
      <c r="E81" s="440">
        <f t="shared" si="129"/>
        <v>0</v>
      </c>
      <c r="F81" s="440">
        <f t="shared" si="129"/>
        <v>0</v>
      </c>
      <c r="G81" s="440">
        <f t="shared" si="129"/>
        <v>0</v>
      </c>
      <c r="H81" s="440">
        <f t="shared" si="129"/>
        <v>45</v>
      </c>
      <c r="I81" s="440">
        <f t="shared" si="129"/>
        <v>40</v>
      </c>
      <c r="J81" s="440">
        <f t="shared" si="129"/>
        <v>38</v>
      </c>
      <c r="K81" s="440">
        <f t="shared" si="129"/>
        <v>10.1</v>
      </c>
      <c r="L81" s="440">
        <f t="shared" si="129"/>
        <v>10.9</v>
      </c>
      <c r="M81" s="440">
        <f t="shared" si="129"/>
        <v>0</v>
      </c>
      <c r="N81" s="440">
        <f t="shared" si="129"/>
        <v>0</v>
      </c>
      <c r="O81" s="440">
        <f t="shared" si="129"/>
        <v>0</v>
      </c>
      <c r="P81" s="440">
        <f t="shared" si="129"/>
        <v>30</v>
      </c>
      <c r="Q81" s="440">
        <f t="shared" si="129"/>
        <v>0</v>
      </c>
      <c r="R81" s="440">
        <f t="shared" si="129"/>
        <v>0</v>
      </c>
      <c r="S81" s="444"/>
      <c r="T81" s="444"/>
      <c r="U81" s="444"/>
      <c r="V81" s="444"/>
      <c r="W81" s="444"/>
      <c r="X81" s="444">
        <f>9.73+0.42*5.17</f>
        <v>11.9014</v>
      </c>
      <c r="Y81" s="444">
        <f>9.73+0.42*23</f>
        <v>19.39</v>
      </c>
      <c r="Z81" s="444"/>
      <c r="AA81" s="444"/>
      <c r="AB81" s="444"/>
      <c r="AC81" s="444"/>
      <c r="AD81" s="444"/>
      <c r="AE81" s="446"/>
      <c r="AF81" s="444"/>
      <c r="AG81" s="447"/>
      <c r="AH81" s="447"/>
      <c r="AI81" s="448"/>
      <c r="AJ81" s="448"/>
      <c r="AK81" s="448"/>
      <c r="AL81" s="448"/>
      <c r="AM81" s="448"/>
      <c r="AN81" s="448"/>
      <c r="AO81" s="448"/>
      <c r="AP81" s="448"/>
      <c r="AQ81" s="448"/>
      <c r="AR81" s="448"/>
      <c r="AS81" s="448"/>
      <c r="AT81" s="448"/>
      <c r="AU81" s="448"/>
      <c r="AV81" s="448"/>
    </row>
    <row r="82" s="431" customFormat="1" ht="18" customHeight="1" spans="1:48">
      <c r="A82" s="443"/>
      <c r="B82" s="444" t="s">
        <v>4714</v>
      </c>
      <c r="C82" s="558">
        <f t="shared" ref="C82:R82" si="130">C81</f>
        <v>325</v>
      </c>
      <c r="D82" s="449"/>
      <c r="E82" s="440">
        <f t="shared" si="130"/>
        <v>0</v>
      </c>
      <c r="F82" s="440">
        <f t="shared" si="130"/>
        <v>0</v>
      </c>
      <c r="G82" s="440">
        <f t="shared" si="130"/>
        <v>0</v>
      </c>
      <c r="H82" s="440">
        <f t="shared" si="130"/>
        <v>45</v>
      </c>
      <c r="I82" s="440">
        <f t="shared" si="130"/>
        <v>40</v>
      </c>
      <c r="J82" s="440">
        <f t="shared" si="130"/>
        <v>38</v>
      </c>
      <c r="K82" s="440">
        <f t="shared" si="130"/>
        <v>10.1</v>
      </c>
      <c r="L82" s="440">
        <f t="shared" si="130"/>
        <v>10.9</v>
      </c>
      <c r="M82" s="440">
        <f t="shared" si="130"/>
        <v>0</v>
      </c>
      <c r="N82" s="440">
        <f t="shared" si="130"/>
        <v>0</v>
      </c>
      <c r="O82" s="440">
        <f t="shared" si="130"/>
        <v>0</v>
      </c>
      <c r="P82" s="440">
        <f t="shared" si="130"/>
        <v>30</v>
      </c>
      <c r="Q82" s="440">
        <f t="shared" si="130"/>
        <v>0</v>
      </c>
      <c r="R82" s="440">
        <f t="shared" si="130"/>
        <v>0</v>
      </c>
      <c r="S82" s="444"/>
      <c r="T82" s="444"/>
      <c r="U82" s="444"/>
      <c r="V82" s="444"/>
      <c r="W82" s="444"/>
      <c r="X82" s="444"/>
      <c r="Y82" s="444"/>
      <c r="Z82" s="444"/>
      <c r="AA82" s="444"/>
      <c r="AB82" s="444"/>
      <c r="AC82" s="444"/>
      <c r="AD82" s="444"/>
      <c r="AE82" s="446"/>
      <c r="AF82" s="444"/>
      <c r="AG82" s="447"/>
      <c r="AH82" s="447"/>
      <c r="AI82" s="448"/>
      <c r="AJ82" s="448"/>
      <c r="AK82" s="448"/>
      <c r="AL82" s="448"/>
      <c r="AM82" s="448"/>
      <c r="AN82" s="448"/>
      <c r="AO82" s="448"/>
      <c r="AP82" s="448"/>
      <c r="AQ82" s="448"/>
      <c r="AR82" s="448"/>
      <c r="AS82" s="448"/>
      <c r="AT82" s="448"/>
      <c r="AU82" s="448"/>
      <c r="AV82" s="448"/>
    </row>
    <row r="83" s="432" customFormat="1" ht="25" customHeight="1" spans="1:48">
      <c r="A83" s="450" t="s">
        <v>4780</v>
      </c>
      <c r="B83" s="451" t="s">
        <v>4716</v>
      </c>
      <c r="C83" s="451"/>
      <c r="D83" s="451"/>
      <c r="E83" s="451"/>
      <c r="F83" s="451"/>
      <c r="G83" s="451"/>
      <c r="H83" s="451"/>
      <c r="I83" s="451"/>
      <c r="J83" s="451"/>
      <c r="K83" s="451"/>
      <c r="L83" s="451"/>
      <c r="M83" s="451"/>
      <c r="N83" s="451"/>
      <c r="O83" s="451"/>
      <c r="P83" s="451"/>
      <c r="Q83" s="451"/>
      <c r="R83" s="451"/>
      <c r="S83" s="451"/>
      <c r="T83" s="451"/>
      <c r="U83" s="451"/>
      <c r="V83" s="451"/>
      <c r="W83" s="451"/>
      <c r="X83" s="451"/>
      <c r="Y83" s="451"/>
      <c r="Z83" s="451"/>
      <c r="AA83" s="451"/>
      <c r="AB83" s="451"/>
      <c r="AC83" s="451"/>
      <c r="AD83" s="451"/>
      <c r="AE83" s="452"/>
      <c r="AF83" s="453" t="s">
        <v>4774</v>
      </c>
      <c r="AG83" s="453"/>
      <c r="AH83" s="454"/>
      <c r="AI83" s="455"/>
      <c r="AJ83" s="455"/>
      <c r="AK83" s="455"/>
      <c r="AL83" s="455"/>
      <c r="AM83" s="455"/>
      <c r="AN83" s="455"/>
      <c r="AO83" s="455"/>
      <c r="AP83" s="455"/>
      <c r="AQ83" s="455"/>
      <c r="AR83" s="455"/>
      <c r="AS83" s="455"/>
      <c r="AT83" s="455"/>
      <c r="AU83" s="455"/>
      <c r="AV83" s="455"/>
    </row>
    <row r="84" s="431" customFormat="1" ht="26" customHeight="1" spans="1:48">
      <c r="A84" s="456">
        <v>8</v>
      </c>
      <c r="B84" s="559" t="s">
        <v>4718</v>
      </c>
      <c r="C84" s="560"/>
      <c r="D84" s="560"/>
      <c r="E84" s="560"/>
      <c r="F84" s="560"/>
      <c r="G84" s="560"/>
      <c r="H84" s="561"/>
      <c r="I84" s="562"/>
      <c r="J84" s="562"/>
      <c r="K84" s="563"/>
      <c r="L84" s="462" t="s">
        <v>4719</v>
      </c>
      <c r="M84" s="462"/>
      <c r="N84" s="462"/>
      <c r="O84" s="462"/>
      <c r="P84" s="463" t="s">
        <v>4720</v>
      </c>
      <c r="Q84" s="464"/>
      <c r="R84" s="464"/>
      <c r="S84" s="465"/>
      <c r="T84" s="466" t="s">
        <v>4721</v>
      </c>
      <c r="U84" s="467"/>
      <c r="V84" s="467"/>
      <c r="W84" s="467"/>
      <c r="X84" s="467"/>
      <c r="Y84" s="468"/>
      <c r="Z84" s="467"/>
      <c r="AA84" s="469"/>
      <c r="AB84" s="470" t="s">
        <v>4722</v>
      </c>
      <c r="AC84" s="471"/>
      <c r="AD84" s="471"/>
      <c r="AE84" s="472"/>
      <c r="AF84" s="473" t="s">
        <v>4723</v>
      </c>
      <c r="AG84" s="474" t="s">
        <v>4724</v>
      </c>
      <c r="AH84" s="475" t="s">
        <v>4725</v>
      </c>
      <c r="AI84" s="476" t="s">
        <v>4726</v>
      </c>
      <c r="AJ84" s="476"/>
      <c r="AK84" s="476"/>
      <c r="AL84" s="476"/>
      <c r="AM84" s="476" t="s">
        <v>809</v>
      </c>
      <c r="AN84" s="476"/>
      <c r="AO84" s="476"/>
      <c r="AP84" s="476"/>
      <c r="AQ84" s="476" t="s">
        <v>4727</v>
      </c>
      <c r="AR84" s="476"/>
      <c r="AS84" s="476"/>
      <c r="AT84" s="476"/>
      <c r="AU84" s="447"/>
      <c r="AV84" s="447"/>
    </row>
    <row r="85" s="431" customFormat="1" ht="26" customHeight="1" spans="1:48">
      <c r="A85" s="477"/>
      <c r="B85" s="478" t="s">
        <v>812</v>
      </c>
      <c r="C85" s="479" t="s">
        <v>4728</v>
      </c>
      <c r="D85" s="480"/>
      <c r="E85" s="481"/>
      <c r="F85" s="481" t="s">
        <v>4729</v>
      </c>
      <c r="G85" s="479" t="s">
        <v>4730</v>
      </c>
      <c r="H85" s="482" t="s">
        <v>4731</v>
      </c>
      <c r="I85" s="479" t="s">
        <v>4732</v>
      </c>
      <c r="J85" s="479" t="s">
        <v>4733</v>
      </c>
      <c r="K85" s="479" t="s">
        <v>4734</v>
      </c>
      <c r="L85" s="483" t="s">
        <v>4735</v>
      </c>
      <c r="M85" s="484" t="s">
        <v>4736</v>
      </c>
      <c r="N85" s="484" t="s">
        <v>4737</v>
      </c>
      <c r="O85" s="485" t="s">
        <v>4733</v>
      </c>
      <c r="P85" s="486" t="s">
        <v>4696</v>
      </c>
      <c r="Q85" s="487" t="s">
        <v>4738</v>
      </c>
      <c r="R85" s="487" t="s">
        <v>4739</v>
      </c>
      <c r="S85" s="488" t="s">
        <v>4740</v>
      </c>
      <c r="T85" s="489" t="s">
        <v>4741</v>
      </c>
      <c r="U85" s="489" t="s">
        <v>4742</v>
      </c>
      <c r="V85" s="490" t="s">
        <v>4743</v>
      </c>
      <c r="W85" s="490" t="s">
        <v>4744</v>
      </c>
      <c r="X85" s="491" t="s">
        <v>4745</v>
      </c>
      <c r="Y85" s="492" t="s">
        <v>4746</v>
      </c>
      <c r="Z85" s="493" t="s">
        <v>4747</v>
      </c>
      <c r="AA85" s="494" t="s">
        <v>4748</v>
      </c>
      <c r="AB85" s="495" t="s">
        <v>4749</v>
      </c>
      <c r="AC85" s="495" t="s">
        <v>4750</v>
      </c>
      <c r="AD85" s="495" t="s">
        <v>4751</v>
      </c>
      <c r="AE85" s="496" t="s">
        <v>4752</v>
      </c>
      <c r="AF85" s="497"/>
      <c r="AG85" s="498"/>
      <c r="AH85" s="499"/>
      <c r="AI85" s="582" t="s">
        <v>4769</v>
      </c>
      <c r="AJ85" s="444"/>
      <c r="AK85" s="444"/>
      <c r="AL85" s="444"/>
      <c r="AM85" s="447"/>
      <c r="AN85" s="501"/>
      <c r="AO85" s="501"/>
      <c r="AP85" s="501"/>
      <c r="AQ85" s="502" t="s">
        <v>4781</v>
      </c>
      <c r="AR85" s="503"/>
      <c r="AS85" s="503"/>
      <c r="AT85" s="503"/>
      <c r="AU85" s="504"/>
      <c r="AV85" s="504"/>
    </row>
    <row r="86" s="431" customFormat="1" ht="26" customHeight="1" spans="1:48">
      <c r="A86" s="505" t="str">
        <f>_xlfn.DISPIMG("ID_B9A391075D0B4F08A8F681ACCD8C5470",1)</f>
        <v>=DISPIMG("ID_B9A391075D0B4F08A8F681ACCD8C5470",1)</v>
      </c>
      <c r="B86" s="506" t="s">
        <v>4754</v>
      </c>
      <c r="C86" s="507">
        <f t="shared" ref="C86:G86" si="131">H80</f>
        <v>45</v>
      </c>
      <c r="D86" s="507">
        <f t="shared" si="131"/>
        <v>40</v>
      </c>
      <c r="E86" s="507">
        <f t="shared" si="131"/>
        <v>38</v>
      </c>
      <c r="F86" s="508">
        <f t="shared" ref="F86:F88" si="132">C86*D86*E86/6000</f>
        <v>11.4</v>
      </c>
      <c r="G86" s="509">
        <f t="shared" si="131"/>
        <v>10.9</v>
      </c>
      <c r="H86" s="510">
        <f>C80</f>
        <v>325</v>
      </c>
      <c r="I86" s="511">
        <f>H86/K86</f>
        <v>47.7941176470588</v>
      </c>
      <c r="J86" s="512">
        <f>I86/P86</f>
        <v>0.341410941117643</v>
      </c>
      <c r="K86" s="513">
        <v>6.8</v>
      </c>
      <c r="L86" s="514">
        <f t="shared" ref="L86:L88" si="133">MAX(F86:G86)*AF86</f>
        <v>319.2</v>
      </c>
      <c r="M86" s="515">
        <v>19.39</v>
      </c>
      <c r="N86" s="515">
        <f t="shared" ref="N86:N88" si="134">L86/K86+M86</f>
        <v>66.3311764705882</v>
      </c>
      <c r="O86" s="516">
        <f t="shared" ref="O86:O88" si="135">N86/P86</f>
        <v>0.473827962501523</v>
      </c>
      <c r="P86" s="517">
        <f>D80</f>
        <v>139.99</v>
      </c>
      <c r="Q86" s="517">
        <f t="shared" ref="Q86:Q88" si="136">P86*0.15</f>
        <v>20.9985</v>
      </c>
      <c r="R86" s="517">
        <v>0</v>
      </c>
      <c r="S86" s="517">
        <f t="shared" ref="S86:S88" si="137">0.85*P86</f>
        <v>118.9915</v>
      </c>
      <c r="T86" s="518">
        <v>0.01</v>
      </c>
      <c r="U86" s="519">
        <v>0.01</v>
      </c>
      <c r="V86" s="519">
        <v>0</v>
      </c>
      <c r="W86" s="520">
        <v>0.03</v>
      </c>
      <c r="X86" s="521">
        <f t="shared" ref="X86:X88" si="138">(100%-T86-U86-V86-W86)*P86-N86-I86-Q86-R86</f>
        <v>-2.13329411764706</v>
      </c>
      <c r="Y86" s="522">
        <f t="shared" ref="Y86:Y88" si="139">X86/P86</f>
        <v>-0.0152389036191661</v>
      </c>
      <c r="Z86" s="521">
        <f t="shared" ref="Z86:Z88" si="140">(100%-T86-U86-V86-W86)*S86-N86-I86-Q86</f>
        <v>-22.0818691176471</v>
      </c>
      <c r="AA86" s="523">
        <f t="shared" ref="AA86:AA88" si="141">Z86/P86</f>
        <v>-0.157738903619166</v>
      </c>
      <c r="AB86" s="524">
        <f t="shared" ref="AB86:AB88" si="142">L86/K86/P86*100%</f>
        <v>0.335318068937697</v>
      </c>
      <c r="AC86" s="524">
        <f t="shared" ref="AC86:AC88" si="143">M86/P86*100%</f>
        <v>0.138509893563826</v>
      </c>
      <c r="AD86" s="524">
        <f t="shared" ref="AD86:AD88" si="144">H86/K86/P86*100%</f>
        <v>0.341410941117643</v>
      </c>
      <c r="AE86" s="525">
        <f t="shared" ref="AE86:AE88" si="145">V86/P86*100%</f>
        <v>0</v>
      </c>
      <c r="AF86" s="526">
        <v>28</v>
      </c>
      <c r="AG86" s="527">
        <v>30</v>
      </c>
      <c r="AH86" s="528" t="s">
        <v>4755</v>
      </c>
      <c r="AI86" s="444"/>
      <c r="AJ86" s="444"/>
      <c r="AK86" s="444"/>
      <c r="AL86" s="444"/>
      <c r="AM86" s="501"/>
      <c r="AN86" s="501"/>
      <c r="AO86" s="501"/>
      <c r="AP86" s="501"/>
      <c r="AQ86" s="503"/>
      <c r="AR86" s="502"/>
      <c r="AS86" s="503"/>
      <c r="AT86" s="503"/>
      <c r="AU86" s="504"/>
      <c r="AV86" s="504"/>
    </row>
    <row r="87" s="431" customFormat="1" ht="26" customHeight="1" spans="1:48">
      <c r="A87" s="529"/>
      <c r="B87" s="530" t="s">
        <v>4756</v>
      </c>
      <c r="C87" s="531">
        <f t="shared" ref="C87:K87" si="146">C86</f>
        <v>45</v>
      </c>
      <c r="D87" s="531">
        <f t="shared" si="146"/>
        <v>40</v>
      </c>
      <c r="E87" s="531">
        <f t="shared" si="146"/>
        <v>38</v>
      </c>
      <c r="F87" s="532">
        <f t="shared" si="132"/>
        <v>11.4</v>
      </c>
      <c r="G87" s="509">
        <f t="shared" si="146"/>
        <v>10.9</v>
      </c>
      <c r="H87" s="510">
        <f t="shared" si="146"/>
        <v>325</v>
      </c>
      <c r="I87" s="511">
        <f t="shared" si="146"/>
        <v>47.7941176470588</v>
      </c>
      <c r="J87" s="512">
        <f t="shared" si="146"/>
        <v>0.341410941117643</v>
      </c>
      <c r="K87" s="513">
        <f t="shared" si="146"/>
        <v>6.8</v>
      </c>
      <c r="L87" s="514">
        <f t="shared" si="133"/>
        <v>119.7</v>
      </c>
      <c r="M87" s="515">
        <f>M86</f>
        <v>19.39</v>
      </c>
      <c r="N87" s="515">
        <f t="shared" si="134"/>
        <v>36.9929411764706</v>
      </c>
      <c r="O87" s="516">
        <f t="shared" si="135"/>
        <v>0.264254169415462</v>
      </c>
      <c r="P87" s="517">
        <f>P86</f>
        <v>139.99</v>
      </c>
      <c r="Q87" s="517">
        <f t="shared" si="136"/>
        <v>20.9985</v>
      </c>
      <c r="R87" s="517">
        <v>0</v>
      </c>
      <c r="S87" s="517">
        <f t="shared" si="137"/>
        <v>118.9915</v>
      </c>
      <c r="T87" s="518">
        <f>T86</f>
        <v>0.01</v>
      </c>
      <c r="U87" s="519">
        <v>0.01</v>
      </c>
      <c r="V87" s="519">
        <f>V86</f>
        <v>0</v>
      </c>
      <c r="W87" s="520">
        <f>W86</f>
        <v>0.03</v>
      </c>
      <c r="X87" s="521">
        <f t="shared" si="138"/>
        <v>27.2049411764706</v>
      </c>
      <c r="Y87" s="522">
        <f t="shared" si="139"/>
        <v>0.194334889466895</v>
      </c>
      <c r="Z87" s="521">
        <f t="shared" si="140"/>
        <v>7.25636617647057</v>
      </c>
      <c r="AA87" s="523">
        <f t="shared" si="141"/>
        <v>0.0518348894668946</v>
      </c>
      <c r="AB87" s="524">
        <f t="shared" si="142"/>
        <v>0.125744275851636</v>
      </c>
      <c r="AC87" s="524">
        <f t="shared" si="143"/>
        <v>0.138509893563826</v>
      </c>
      <c r="AD87" s="524">
        <f t="shared" si="144"/>
        <v>0.341410941117643</v>
      </c>
      <c r="AE87" s="525">
        <f t="shared" si="145"/>
        <v>0</v>
      </c>
      <c r="AF87" s="526">
        <v>10.5</v>
      </c>
      <c r="AG87" s="527">
        <v>22</v>
      </c>
      <c r="AH87" s="528" t="s">
        <v>4757</v>
      </c>
      <c r="AI87" s="444"/>
      <c r="AJ87" s="444"/>
      <c r="AK87" s="444"/>
      <c r="AL87" s="444"/>
      <c r="AM87" s="501"/>
      <c r="AN87" s="501"/>
      <c r="AO87" s="501"/>
      <c r="AP87" s="501"/>
      <c r="AQ87" s="503"/>
      <c r="AR87" s="503"/>
      <c r="AS87" s="503"/>
      <c r="AT87" s="503"/>
      <c r="AU87" s="504"/>
      <c r="AV87" s="504"/>
    </row>
    <row r="88" s="431" customFormat="1" ht="26" customHeight="1" spans="1:48">
      <c r="A88" s="533"/>
      <c r="B88" s="534" t="s">
        <v>4758</v>
      </c>
      <c r="C88" s="535">
        <f t="shared" ref="C88:K88" si="147">C87</f>
        <v>45</v>
      </c>
      <c r="D88" s="535">
        <f>D86</f>
        <v>40</v>
      </c>
      <c r="E88" s="535">
        <f>E86</f>
        <v>38</v>
      </c>
      <c r="F88" s="536">
        <f t="shared" si="132"/>
        <v>11.4</v>
      </c>
      <c r="G88" s="537">
        <f t="shared" si="147"/>
        <v>10.9</v>
      </c>
      <c r="H88" s="510">
        <f t="shared" si="147"/>
        <v>325</v>
      </c>
      <c r="I88" s="539">
        <f t="shared" si="147"/>
        <v>47.7941176470588</v>
      </c>
      <c r="J88" s="540">
        <f t="shared" si="147"/>
        <v>0.341410941117643</v>
      </c>
      <c r="K88" s="541">
        <f t="shared" si="147"/>
        <v>6.8</v>
      </c>
      <c r="L88" s="542">
        <f t="shared" si="133"/>
        <v>57</v>
      </c>
      <c r="M88" s="543">
        <f>M87</f>
        <v>19.39</v>
      </c>
      <c r="N88" s="543">
        <f t="shared" si="134"/>
        <v>27.7723529411765</v>
      </c>
      <c r="O88" s="544">
        <f t="shared" si="135"/>
        <v>0.198388120159843</v>
      </c>
      <c r="P88" s="545">
        <f>P86</f>
        <v>139.99</v>
      </c>
      <c r="Q88" s="545">
        <f t="shared" si="136"/>
        <v>20.9985</v>
      </c>
      <c r="R88" s="545">
        <v>0</v>
      </c>
      <c r="S88" s="545">
        <f t="shared" si="137"/>
        <v>118.9915</v>
      </c>
      <c r="T88" s="546">
        <f>T87</f>
        <v>0.01</v>
      </c>
      <c r="U88" s="547">
        <v>0.01</v>
      </c>
      <c r="V88" s="547">
        <f>V87</f>
        <v>0</v>
      </c>
      <c r="W88" s="548">
        <f>W87</f>
        <v>0.03</v>
      </c>
      <c r="X88" s="549">
        <f t="shared" si="138"/>
        <v>36.4255294117647</v>
      </c>
      <c r="Y88" s="550">
        <f t="shared" si="139"/>
        <v>0.260200938722514</v>
      </c>
      <c r="Z88" s="549">
        <f t="shared" si="140"/>
        <v>16.4769544117647</v>
      </c>
      <c r="AA88" s="551">
        <f t="shared" si="141"/>
        <v>0.117700938722514</v>
      </c>
      <c r="AB88" s="552">
        <f t="shared" si="142"/>
        <v>0.0598782265960174</v>
      </c>
      <c r="AC88" s="552">
        <f t="shared" si="143"/>
        <v>0.138509893563826</v>
      </c>
      <c r="AD88" s="552">
        <f t="shared" si="144"/>
        <v>0.341410941117643</v>
      </c>
      <c r="AE88" s="553">
        <f t="shared" si="145"/>
        <v>0</v>
      </c>
      <c r="AF88" s="554">
        <v>5</v>
      </c>
      <c r="AG88" s="555">
        <v>28</v>
      </c>
      <c r="AH88" s="556" t="s">
        <v>4759</v>
      </c>
      <c r="AI88" s="444"/>
      <c r="AJ88" s="444"/>
      <c r="AK88" s="444"/>
      <c r="AL88" s="444"/>
      <c r="AM88" s="501"/>
      <c r="AN88" s="501"/>
      <c r="AO88" s="501"/>
      <c r="AP88" s="501"/>
      <c r="AQ88" s="503"/>
      <c r="AR88" s="503"/>
      <c r="AS88" s="503"/>
      <c r="AT88" s="503"/>
      <c r="AU88" s="504"/>
      <c r="AV88" s="504"/>
    </row>
    <row r="89" ht="14.25"/>
    <row r="90" s="430" customFormat="1" ht="42.75" spans="1:48">
      <c r="A90" s="433" t="s">
        <v>4693</v>
      </c>
      <c r="B90" s="434" t="s">
        <v>4694</v>
      </c>
      <c r="C90" s="434" t="s">
        <v>4695</v>
      </c>
      <c r="D90" s="434" t="s">
        <v>4696</v>
      </c>
      <c r="E90" s="434" t="s">
        <v>4697</v>
      </c>
      <c r="F90" s="434" t="s">
        <v>4698</v>
      </c>
      <c r="G90" s="434" t="s">
        <v>4699</v>
      </c>
      <c r="H90" s="434" t="s">
        <v>4700</v>
      </c>
      <c r="I90" s="434" t="s">
        <v>4701</v>
      </c>
      <c r="J90" s="434" t="s">
        <v>4702</v>
      </c>
      <c r="K90" s="434" t="s">
        <v>4703</v>
      </c>
      <c r="L90" s="434" t="s">
        <v>4704</v>
      </c>
      <c r="M90" s="434" t="s">
        <v>4705</v>
      </c>
      <c r="N90" s="434" t="s">
        <v>4706</v>
      </c>
      <c r="O90" s="434" t="s">
        <v>4707</v>
      </c>
      <c r="P90" s="434" t="s">
        <v>4708</v>
      </c>
      <c r="Q90" s="434" t="s">
        <v>4709</v>
      </c>
      <c r="R90" s="434" t="s">
        <v>4710</v>
      </c>
      <c r="S90" s="435"/>
      <c r="T90" s="435"/>
      <c r="U90" s="435"/>
      <c r="V90" s="435"/>
      <c r="W90" s="435"/>
      <c r="X90" s="435"/>
      <c r="Y90" s="435"/>
      <c r="Z90" s="435"/>
      <c r="AA90" s="435"/>
      <c r="AB90" s="435"/>
      <c r="AC90" s="435"/>
      <c r="AD90" s="435"/>
      <c r="AE90" s="436"/>
    </row>
    <row r="91" s="430" customFormat="1" ht="18" customHeight="1" spans="1:48">
      <c r="A91" s="437" t="s">
        <v>4782</v>
      </c>
      <c r="B91" s="430" t="s">
        <v>1110</v>
      </c>
      <c r="C91" s="557">
        <v>150</v>
      </c>
      <c r="D91" s="439">
        <v>79.99</v>
      </c>
      <c r="E91" s="440"/>
      <c r="F91" s="440"/>
      <c r="G91" s="440"/>
      <c r="H91" s="440">
        <v>15</v>
      </c>
      <c r="I91" s="440">
        <v>40</v>
      </c>
      <c r="J91" s="440">
        <v>38</v>
      </c>
      <c r="K91" s="440">
        <v>4.5</v>
      </c>
      <c r="L91" s="440">
        <v>5</v>
      </c>
      <c r="M91" s="440"/>
      <c r="N91" s="440"/>
      <c r="O91" s="440"/>
      <c r="P91" s="440">
        <v>30</v>
      </c>
      <c r="Q91" s="440">
        <f>M91*N91*O91/6000</f>
        <v>0</v>
      </c>
      <c r="R91" s="440">
        <f>Q91/P91</f>
        <v>0</v>
      </c>
      <c r="V91" s="444">
        <f>0.32*3.6+7.17</f>
        <v>8.322</v>
      </c>
      <c r="AE91" s="442"/>
    </row>
    <row r="92" s="431" customFormat="1" ht="18" customHeight="1" spans="1:48">
      <c r="A92" s="443"/>
      <c r="B92" s="444" t="s">
        <v>4713</v>
      </c>
      <c r="C92" s="558">
        <f t="shared" ref="C92:R92" si="148">C91</f>
        <v>150</v>
      </c>
      <c r="D92" s="445"/>
      <c r="E92" s="440">
        <f t="shared" si="148"/>
        <v>0</v>
      </c>
      <c r="F92" s="440">
        <f t="shared" si="148"/>
        <v>0</v>
      </c>
      <c r="G92" s="440">
        <f t="shared" si="148"/>
        <v>0</v>
      </c>
      <c r="H92" s="440">
        <f t="shared" si="148"/>
        <v>15</v>
      </c>
      <c r="I92" s="440">
        <f t="shared" si="148"/>
        <v>40</v>
      </c>
      <c r="J92" s="440">
        <f t="shared" si="148"/>
        <v>38</v>
      </c>
      <c r="K92" s="440">
        <f t="shared" si="148"/>
        <v>4.5</v>
      </c>
      <c r="L92" s="440">
        <f t="shared" si="148"/>
        <v>5</v>
      </c>
      <c r="M92" s="440">
        <f t="shared" si="148"/>
        <v>0</v>
      </c>
      <c r="N92" s="440">
        <f t="shared" si="148"/>
        <v>0</v>
      </c>
      <c r="O92" s="440">
        <f t="shared" si="148"/>
        <v>0</v>
      </c>
      <c r="P92" s="440">
        <f t="shared" si="148"/>
        <v>30</v>
      </c>
      <c r="Q92" s="440">
        <f t="shared" si="148"/>
        <v>0</v>
      </c>
      <c r="R92" s="440">
        <f t="shared" si="148"/>
        <v>0</v>
      </c>
      <c r="S92" s="444"/>
      <c r="T92" s="444"/>
      <c r="U92" s="444"/>
      <c r="V92" s="444"/>
      <c r="W92" s="444"/>
      <c r="X92" s="444">
        <f>9.73+0.42*5.17</f>
        <v>11.9014</v>
      </c>
      <c r="Y92" s="444">
        <f>9.73+0.42*10</f>
        <v>13.93</v>
      </c>
      <c r="Z92" s="444"/>
      <c r="AA92" s="444"/>
      <c r="AB92" s="444"/>
      <c r="AC92" s="444"/>
      <c r="AD92" s="444"/>
      <c r="AE92" s="446"/>
      <c r="AF92" s="444"/>
      <c r="AG92" s="447"/>
      <c r="AH92" s="447"/>
      <c r="AI92" s="448"/>
      <c r="AJ92" s="448"/>
      <c r="AK92" s="448"/>
      <c r="AL92" s="448"/>
      <c r="AM92" s="448"/>
      <c r="AN92" s="448"/>
      <c r="AO92" s="448"/>
      <c r="AP92" s="448"/>
      <c r="AQ92" s="448"/>
      <c r="AR92" s="448"/>
      <c r="AS92" s="448"/>
      <c r="AT92" s="448"/>
      <c r="AU92" s="448"/>
      <c r="AV92" s="448"/>
    </row>
    <row r="93" s="431" customFormat="1" ht="18" customHeight="1" spans="1:48">
      <c r="A93" s="443"/>
      <c r="B93" s="444" t="s">
        <v>4714</v>
      </c>
      <c r="C93" s="558">
        <f t="shared" ref="C93:R93" si="149">C92</f>
        <v>150</v>
      </c>
      <c r="D93" s="449"/>
      <c r="E93" s="440">
        <f t="shared" si="149"/>
        <v>0</v>
      </c>
      <c r="F93" s="440">
        <f t="shared" si="149"/>
        <v>0</v>
      </c>
      <c r="G93" s="440">
        <f t="shared" si="149"/>
        <v>0</v>
      </c>
      <c r="H93" s="440">
        <f t="shared" si="149"/>
        <v>15</v>
      </c>
      <c r="I93" s="440">
        <f t="shared" si="149"/>
        <v>40</v>
      </c>
      <c r="J93" s="440">
        <f t="shared" si="149"/>
        <v>38</v>
      </c>
      <c r="K93" s="440">
        <f t="shared" si="149"/>
        <v>4.5</v>
      </c>
      <c r="L93" s="440">
        <f t="shared" si="149"/>
        <v>5</v>
      </c>
      <c r="M93" s="440">
        <f t="shared" si="149"/>
        <v>0</v>
      </c>
      <c r="N93" s="440">
        <f t="shared" si="149"/>
        <v>0</v>
      </c>
      <c r="O93" s="440">
        <f t="shared" si="149"/>
        <v>0</v>
      </c>
      <c r="P93" s="440">
        <f t="shared" si="149"/>
        <v>30</v>
      </c>
      <c r="Q93" s="440">
        <f t="shared" si="149"/>
        <v>0</v>
      </c>
      <c r="R93" s="440">
        <f t="shared" si="149"/>
        <v>0</v>
      </c>
      <c r="S93" s="444"/>
      <c r="T93" s="444"/>
      <c r="U93" s="444"/>
      <c r="V93" s="444"/>
      <c r="W93" s="444"/>
      <c r="X93" s="444"/>
      <c r="Y93" s="444"/>
      <c r="Z93" s="444"/>
      <c r="AA93" s="444"/>
      <c r="AB93" s="444"/>
      <c r="AC93" s="444"/>
      <c r="AD93" s="444"/>
      <c r="AE93" s="446"/>
      <c r="AF93" s="444"/>
      <c r="AG93" s="447"/>
      <c r="AH93" s="447"/>
      <c r="AI93" s="448"/>
      <c r="AJ93" s="448"/>
      <c r="AK93" s="448"/>
      <c r="AL93" s="448"/>
      <c r="AM93" s="448"/>
      <c r="AN93" s="448"/>
      <c r="AO93" s="448"/>
      <c r="AP93" s="448"/>
      <c r="AQ93" s="448"/>
      <c r="AR93" s="448"/>
      <c r="AS93" s="448"/>
      <c r="AT93" s="448"/>
      <c r="AU93" s="448"/>
      <c r="AV93" s="448"/>
    </row>
    <row r="94" s="432" customFormat="1" ht="25" customHeight="1" spans="1:48">
      <c r="A94" s="450" t="s">
        <v>4780</v>
      </c>
      <c r="B94" s="451" t="s">
        <v>4716</v>
      </c>
      <c r="C94" s="451"/>
      <c r="D94" s="451"/>
      <c r="E94" s="451"/>
      <c r="F94" s="451"/>
      <c r="G94" s="451"/>
      <c r="H94" s="451"/>
      <c r="I94" s="451"/>
      <c r="J94" s="451"/>
      <c r="K94" s="451"/>
      <c r="L94" s="451"/>
      <c r="M94" s="451"/>
      <c r="N94" s="451"/>
      <c r="O94" s="451"/>
      <c r="P94" s="451"/>
      <c r="Q94" s="451"/>
      <c r="R94" s="451"/>
      <c r="S94" s="451"/>
      <c r="T94" s="451"/>
      <c r="U94" s="451"/>
      <c r="V94" s="451"/>
      <c r="W94" s="451"/>
      <c r="X94" s="451"/>
      <c r="Y94" s="451"/>
      <c r="Z94" s="451"/>
      <c r="AA94" s="451"/>
      <c r="AB94" s="451"/>
      <c r="AC94" s="451"/>
      <c r="AD94" s="451"/>
      <c r="AE94" s="452"/>
      <c r="AF94" s="453" t="s">
        <v>4783</v>
      </c>
      <c r="AG94" s="453"/>
      <c r="AH94" s="454"/>
      <c r="AI94" s="455"/>
      <c r="AJ94" s="455"/>
      <c r="AK94" s="455"/>
      <c r="AL94" s="455"/>
      <c r="AM94" s="455"/>
      <c r="AN94" s="455"/>
      <c r="AO94" s="455"/>
      <c r="AP94" s="455"/>
      <c r="AQ94" s="455"/>
      <c r="AR94" s="455"/>
      <c r="AS94" s="455"/>
      <c r="AT94" s="455"/>
      <c r="AU94" s="455"/>
      <c r="AV94" s="455"/>
    </row>
    <row r="95" s="431" customFormat="1" ht="26" customHeight="1" spans="1:48">
      <c r="A95" s="456">
        <v>8</v>
      </c>
      <c r="B95" s="559" t="s">
        <v>4718</v>
      </c>
      <c r="C95" s="560"/>
      <c r="D95" s="560"/>
      <c r="E95" s="560"/>
      <c r="F95" s="560"/>
      <c r="G95" s="560"/>
      <c r="H95" s="561"/>
      <c r="I95" s="562"/>
      <c r="J95" s="562"/>
      <c r="K95" s="563"/>
      <c r="L95" s="462" t="s">
        <v>4719</v>
      </c>
      <c r="M95" s="462"/>
      <c r="N95" s="462"/>
      <c r="O95" s="462"/>
      <c r="P95" s="463" t="s">
        <v>4720</v>
      </c>
      <c r="Q95" s="464"/>
      <c r="R95" s="464"/>
      <c r="S95" s="465"/>
      <c r="T95" s="466" t="s">
        <v>4721</v>
      </c>
      <c r="U95" s="467"/>
      <c r="V95" s="467"/>
      <c r="W95" s="467"/>
      <c r="X95" s="467"/>
      <c r="Y95" s="468"/>
      <c r="Z95" s="467"/>
      <c r="AA95" s="469"/>
      <c r="AB95" s="470" t="s">
        <v>4722</v>
      </c>
      <c r="AC95" s="471"/>
      <c r="AD95" s="471"/>
      <c r="AE95" s="472"/>
      <c r="AF95" s="473" t="s">
        <v>4723</v>
      </c>
      <c r="AG95" s="474" t="s">
        <v>4724</v>
      </c>
      <c r="AH95" s="475" t="s">
        <v>4725</v>
      </c>
      <c r="AI95" s="476" t="s">
        <v>4726</v>
      </c>
      <c r="AJ95" s="476"/>
      <c r="AK95" s="476"/>
      <c r="AL95" s="476"/>
      <c r="AM95" s="476" t="s">
        <v>809</v>
      </c>
      <c r="AN95" s="476"/>
      <c r="AO95" s="476"/>
      <c r="AP95" s="476"/>
      <c r="AQ95" s="476" t="s">
        <v>4727</v>
      </c>
      <c r="AR95" s="476"/>
      <c r="AS95" s="476"/>
      <c r="AT95" s="476"/>
      <c r="AU95" s="447"/>
      <c r="AV95" s="447"/>
    </row>
    <row r="96" s="431" customFormat="1" ht="26" customHeight="1" spans="1:48">
      <c r="A96" s="477"/>
      <c r="B96" s="478" t="s">
        <v>812</v>
      </c>
      <c r="C96" s="479" t="s">
        <v>4728</v>
      </c>
      <c r="D96" s="480"/>
      <c r="E96" s="481"/>
      <c r="F96" s="481" t="s">
        <v>4729</v>
      </c>
      <c r="G96" s="479" t="s">
        <v>4730</v>
      </c>
      <c r="H96" s="482" t="s">
        <v>4731</v>
      </c>
      <c r="I96" s="479" t="s">
        <v>4732</v>
      </c>
      <c r="J96" s="479" t="s">
        <v>4733</v>
      </c>
      <c r="K96" s="479" t="s">
        <v>4734</v>
      </c>
      <c r="L96" s="483" t="s">
        <v>4735</v>
      </c>
      <c r="M96" s="484" t="s">
        <v>4736</v>
      </c>
      <c r="N96" s="484" t="s">
        <v>4737</v>
      </c>
      <c r="O96" s="485" t="s">
        <v>4733</v>
      </c>
      <c r="P96" s="486" t="s">
        <v>4696</v>
      </c>
      <c r="Q96" s="487" t="s">
        <v>4738</v>
      </c>
      <c r="R96" s="487" t="s">
        <v>4739</v>
      </c>
      <c r="S96" s="488" t="s">
        <v>4740</v>
      </c>
      <c r="T96" s="489" t="s">
        <v>4741</v>
      </c>
      <c r="U96" s="489" t="s">
        <v>4742</v>
      </c>
      <c r="V96" s="490" t="s">
        <v>4743</v>
      </c>
      <c r="W96" s="490" t="s">
        <v>4744</v>
      </c>
      <c r="X96" s="491" t="s">
        <v>4745</v>
      </c>
      <c r="Y96" s="492" t="s">
        <v>4746</v>
      </c>
      <c r="Z96" s="493" t="s">
        <v>4747</v>
      </c>
      <c r="AA96" s="494" t="s">
        <v>4748</v>
      </c>
      <c r="AB96" s="495" t="s">
        <v>4749</v>
      </c>
      <c r="AC96" s="495" t="s">
        <v>4750</v>
      </c>
      <c r="AD96" s="495" t="s">
        <v>4751</v>
      </c>
      <c r="AE96" s="496" t="s">
        <v>4752</v>
      </c>
      <c r="AF96" s="497"/>
      <c r="AG96" s="498"/>
      <c r="AH96" s="499"/>
      <c r="AI96" s="582" t="s">
        <v>4784</v>
      </c>
      <c r="AJ96" s="444"/>
      <c r="AK96" s="444"/>
      <c r="AL96" s="444"/>
      <c r="AM96" s="447"/>
      <c r="AN96" s="501"/>
      <c r="AO96" s="501"/>
      <c r="AP96" s="501"/>
      <c r="AQ96" s="502" t="s">
        <v>4781</v>
      </c>
      <c r="AR96" s="503"/>
      <c r="AS96" s="503"/>
      <c r="AT96" s="503"/>
      <c r="AU96" s="504"/>
      <c r="AV96" s="504"/>
    </row>
    <row r="97" s="431" customFormat="1" ht="26" customHeight="1" spans="1:48">
      <c r="A97" s="505" t="str">
        <f>_xlfn.DISPIMG("ID_0638C53282A7483FB2432365468CAD6C",1)</f>
        <v>=DISPIMG("ID_0638C53282A7483FB2432365468CAD6C",1)</v>
      </c>
      <c r="B97" s="506" t="s">
        <v>4754</v>
      </c>
      <c r="C97" s="507">
        <f t="shared" ref="C97:G97" si="150">H91</f>
        <v>15</v>
      </c>
      <c r="D97" s="507">
        <f t="shared" si="150"/>
        <v>40</v>
      </c>
      <c r="E97" s="507">
        <f t="shared" si="150"/>
        <v>38</v>
      </c>
      <c r="F97" s="508">
        <f t="shared" ref="F97:F99" si="151">C97*D97*E97/6000</f>
        <v>3.8</v>
      </c>
      <c r="G97" s="509">
        <f t="shared" si="150"/>
        <v>5</v>
      </c>
      <c r="H97" s="510">
        <f>C91</f>
        <v>150</v>
      </c>
      <c r="I97" s="511">
        <f>H97/K97</f>
        <v>22.0588235294118</v>
      </c>
      <c r="J97" s="512">
        <f>I97/P97</f>
        <v>0.275769765338314</v>
      </c>
      <c r="K97" s="513">
        <v>6.8</v>
      </c>
      <c r="L97" s="514">
        <f t="shared" ref="L97:L99" si="152">MAX(F97:G97)*AF97</f>
        <v>140</v>
      </c>
      <c r="M97" s="515">
        <v>13.93</v>
      </c>
      <c r="N97" s="515">
        <f t="shared" ref="N97:N99" si="153">L97/K97+M97</f>
        <v>34.5182352941176</v>
      </c>
      <c r="O97" s="516">
        <f t="shared" ref="O97:O99" si="154">N97/P97</f>
        <v>0.431531882661803</v>
      </c>
      <c r="P97" s="517">
        <f>D91</f>
        <v>79.99</v>
      </c>
      <c r="Q97" s="517">
        <f t="shared" ref="Q97:Q99" si="155">P97*0.15</f>
        <v>11.9985</v>
      </c>
      <c r="R97" s="517">
        <v>0</v>
      </c>
      <c r="S97" s="517">
        <f t="shared" ref="S97:S99" si="156">0.85*P97</f>
        <v>67.9915</v>
      </c>
      <c r="T97" s="518">
        <v>0.01</v>
      </c>
      <c r="U97" s="519">
        <v>0.01</v>
      </c>
      <c r="V97" s="519">
        <v>0</v>
      </c>
      <c r="W97" s="520">
        <v>0.03</v>
      </c>
      <c r="X97" s="521">
        <f t="shared" ref="X97:X99" si="157">(100%-T97-U97-V97-W97)*P97-N97-I97-Q97-R97</f>
        <v>7.41494117647059</v>
      </c>
      <c r="Y97" s="522">
        <f t="shared" ref="Y97:Y99" si="158">X97/P97</f>
        <v>0.0926983519998824</v>
      </c>
      <c r="Z97" s="521">
        <f t="shared" ref="Z97:Z99" si="159">(100%-T97-U97-V97-W97)*S97-N97-I97-Q97</f>
        <v>-3.98363382352942</v>
      </c>
      <c r="AA97" s="523">
        <f t="shared" ref="AA97:AA99" si="160">Z97/P97</f>
        <v>-0.0498016480001177</v>
      </c>
      <c r="AB97" s="524">
        <f t="shared" ref="AB97:AB99" si="161">L97/K97/P97*100%</f>
        <v>0.25738511431576</v>
      </c>
      <c r="AC97" s="524">
        <f t="shared" ref="AC97:AC99" si="162">M97/P97*100%</f>
        <v>0.174146768346043</v>
      </c>
      <c r="AD97" s="524">
        <f t="shared" ref="AD97:AD99" si="163">H97/K97/P97*100%</f>
        <v>0.275769765338314</v>
      </c>
      <c r="AE97" s="525">
        <f t="shared" ref="AE97:AE99" si="164">V97/P97*100%</f>
        <v>0</v>
      </c>
      <c r="AF97" s="526">
        <v>28</v>
      </c>
      <c r="AG97" s="527">
        <v>30</v>
      </c>
      <c r="AH97" s="528" t="s">
        <v>4755</v>
      </c>
      <c r="AI97" s="444"/>
      <c r="AJ97" s="444"/>
      <c r="AK97" s="444"/>
      <c r="AL97" s="444"/>
      <c r="AM97" s="501"/>
      <c r="AN97" s="501"/>
      <c r="AO97" s="501"/>
      <c r="AP97" s="501"/>
      <c r="AQ97" s="503"/>
      <c r="AR97" s="502"/>
      <c r="AS97" s="503"/>
      <c r="AT97" s="503"/>
      <c r="AU97" s="504"/>
      <c r="AV97" s="504"/>
    </row>
    <row r="98" s="431" customFormat="1" ht="26" customHeight="1" spans="1:48">
      <c r="A98" s="529"/>
      <c r="B98" s="530" t="s">
        <v>4756</v>
      </c>
      <c r="C98" s="531">
        <f t="shared" ref="C98:K98" si="165">C97</f>
        <v>15</v>
      </c>
      <c r="D98" s="531">
        <f t="shared" si="165"/>
        <v>40</v>
      </c>
      <c r="E98" s="531">
        <f t="shared" si="165"/>
        <v>38</v>
      </c>
      <c r="F98" s="532">
        <f t="shared" si="151"/>
        <v>3.8</v>
      </c>
      <c r="G98" s="509">
        <f t="shared" si="165"/>
        <v>5</v>
      </c>
      <c r="H98" s="510">
        <f t="shared" si="165"/>
        <v>150</v>
      </c>
      <c r="I98" s="511">
        <f t="shared" si="165"/>
        <v>22.0588235294118</v>
      </c>
      <c r="J98" s="512">
        <f t="shared" si="165"/>
        <v>0.275769765338314</v>
      </c>
      <c r="K98" s="513">
        <f t="shared" si="165"/>
        <v>6.8</v>
      </c>
      <c r="L98" s="514">
        <f t="shared" si="152"/>
        <v>52.5</v>
      </c>
      <c r="M98" s="515">
        <f>M97</f>
        <v>13.93</v>
      </c>
      <c r="N98" s="515">
        <f t="shared" si="153"/>
        <v>21.6505882352941</v>
      </c>
      <c r="O98" s="516">
        <f t="shared" si="154"/>
        <v>0.270666186214453</v>
      </c>
      <c r="P98" s="517">
        <f>P97</f>
        <v>79.99</v>
      </c>
      <c r="Q98" s="517">
        <f t="shared" si="155"/>
        <v>11.9985</v>
      </c>
      <c r="R98" s="517">
        <v>0</v>
      </c>
      <c r="S98" s="517">
        <f t="shared" si="156"/>
        <v>67.9915</v>
      </c>
      <c r="T98" s="518">
        <f t="shared" ref="T98:W98" si="166">T97</f>
        <v>0.01</v>
      </c>
      <c r="U98" s="519">
        <v>0.01</v>
      </c>
      <c r="V98" s="519">
        <f t="shared" si="166"/>
        <v>0</v>
      </c>
      <c r="W98" s="520">
        <f t="shared" si="166"/>
        <v>0.03</v>
      </c>
      <c r="X98" s="521">
        <f t="shared" si="157"/>
        <v>20.2825882352941</v>
      </c>
      <c r="Y98" s="522">
        <f t="shared" si="158"/>
        <v>0.253564048447232</v>
      </c>
      <c r="Z98" s="521">
        <f t="shared" si="159"/>
        <v>8.88401323529411</v>
      </c>
      <c r="AA98" s="523">
        <f t="shared" si="160"/>
        <v>0.111064048447232</v>
      </c>
      <c r="AB98" s="524">
        <f t="shared" si="161"/>
        <v>0.09651941786841</v>
      </c>
      <c r="AC98" s="524">
        <f t="shared" si="162"/>
        <v>0.174146768346043</v>
      </c>
      <c r="AD98" s="524">
        <f t="shared" si="163"/>
        <v>0.275769765338314</v>
      </c>
      <c r="AE98" s="525">
        <f t="shared" si="164"/>
        <v>0</v>
      </c>
      <c r="AF98" s="526">
        <v>10.5</v>
      </c>
      <c r="AG98" s="527">
        <v>22</v>
      </c>
      <c r="AH98" s="528" t="s">
        <v>4757</v>
      </c>
      <c r="AI98" s="444"/>
      <c r="AJ98" s="444"/>
      <c r="AK98" s="444"/>
      <c r="AL98" s="444"/>
      <c r="AM98" s="501"/>
      <c r="AN98" s="501"/>
      <c r="AO98" s="501"/>
      <c r="AP98" s="501"/>
      <c r="AQ98" s="503"/>
      <c r="AR98" s="503"/>
      <c r="AS98" s="503"/>
      <c r="AT98" s="503"/>
      <c r="AU98" s="504"/>
      <c r="AV98" s="504"/>
    </row>
    <row r="99" s="431" customFormat="1" ht="26" customHeight="1" spans="1:48">
      <c r="A99" s="533"/>
      <c r="B99" s="534" t="s">
        <v>4758</v>
      </c>
      <c r="C99" s="535">
        <f t="shared" ref="C99:K99" si="167">C98</f>
        <v>15</v>
      </c>
      <c r="D99" s="535">
        <f>D97</f>
        <v>40</v>
      </c>
      <c r="E99" s="535">
        <f>E97</f>
        <v>38</v>
      </c>
      <c r="F99" s="536">
        <f t="shared" si="151"/>
        <v>3.8</v>
      </c>
      <c r="G99" s="537">
        <f t="shared" si="167"/>
        <v>5</v>
      </c>
      <c r="H99" s="510">
        <f t="shared" si="167"/>
        <v>150</v>
      </c>
      <c r="I99" s="539">
        <f t="shared" si="167"/>
        <v>22.0588235294118</v>
      </c>
      <c r="J99" s="540">
        <f t="shared" si="167"/>
        <v>0.275769765338314</v>
      </c>
      <c r="K99" s="541">
        <f t="shared" si="167"/>
        <v>6.8</v>
      </c>
      <c r="L99" s="542">
        <f t="shared" si="152"/>
        <v>25</v>
      </c>
      <c r="M99" s="543">
        <f>M98</f>
        <v>13.93</v>
      </c>
      <c r="N99" s="543">
        <f t="shared" si="153"/>
        <v>17.6064705882353</v>
      </c>
      <c r="O99" s="544">
        <f t="shared" si="154"/>
        <v>0.220108395902429</v>
      </c>
      <c r="P99" s="545">
        <f>P97</f>
        <v>79.99</v>
      </c>
      <c r="Q99" s="545">
        <f t="shared" si="155"/>
        <v>11.9985</v>
      </c>
      <c r="R99" s="545">
        <v>0</v>
      </c>
      <c r="S99" s="545">
        <f t="shared" si="156"/>
        <v>67.9915</v>
      </c>
      <c r="T99" s="546">
        <f t="shared" ref="T99:W99" si="168">T98</f>
        <v>0.01</v>
      </c>
      <c r="U99" s="547">
        <v>0.01</v>
      </c>
      <c r="V99" s="547">
        <f t="shared" si="168"/>
        <v>0</v>
      </c>
      <c r="W99" s="548">
        <f t="shared" si="168"/>
        <v>0.03</v>
      </c>
      <c r="X99" s="549">
        <f t="shared" si="157"/>
        <v>24.3267058823529</v>
      </c>
      <c r="Y99" s="550">
        <f t="shared" si="158"/>
        <v>0.304121838759257</v>
      </c>
      <c r="Z99" s="549">
        <f t="shared" si="159"/>
        <v>12.9281308823529</v>
      </c>
      <c r="AA99" s="551">
        <f t="shared" si="160"/>
        <v>0.161621838759257</v>
      </c>
      <c r="AB99" s="552">
        <f t="shared" si="161"/>
        <v>0.0459616275563857</v>
      </c>
      <c r="AC99" s="552">
        <f t="shared" si="162"/>
        <v>0.174146768346043</v>
      </c>
      <c r="AD99" s="552">
        <f t="shared" si="163"/>
        <v>0.275769765338314</v>
      </c>
      <c r="AE99" s="553">
        <f t="shared" si="164"/>
        <v>0</v>
      </c>
      <c r="AF99" s="554">
        <v>5</v>
      </c>
      <c r="AG99" s="555">
        <v>28</v>
      </c>
      <c r="AH99" s="556" t="s">
        <v>4759</v>
      </c>
      <c r="AI99" s="444"/>
      <c r="AJ99" s="444"/>
      <c r="AK99" s="444"/>
      <c r="AL99" s="444"/>
      <c r="AM99" s="501"/>
      <c r="AN99" s="501"/>
      <c r="AO99" s="501"/>
      <c r="AP99" s="501"/>
      <c r="AQ99" s="503"/>
      <c r="AR99" s="503"/>
      <c r="AS99" s="503"/>
      <c r="AT99" s="503"/>
      <c r="AU99" s="504"/>
      <c r="AV99" s="504"/>
    </row>
  </sheetData>
  <mergeCells count="162">
    <mergeCell ref="B5:AE5"/>
    <mergeCell ref="B6:K6"/>
    <mergeCell ref="L6:O6"/>
    <mergeCell ref="P6:S6"/>
    <mergeCell ref="T6:AA6"/>
    <mergeCell ref="AB6:AE6"/>
    <mergeCell ref="AI6:AL6"/>
    <mergeCell ref="AM6:AP6"/>
    <mergeCell ref="AQ6:AT6"/>
    <mergeCell ref="C7:E7"/>
    <mergeCell ref="B16:AE16"/>
    <mergeCell ref="B17:K17"/>
    <mergeCell ref="L17:O17"/>
    <mergeCell ref="P17:S17"/>
    <mergeCell ref="T17:AA17"/>
    <mergeCell ref="AB17:AE17"/>
    <mergeCell ref="AI17:AL17"/>
    <mergeCell ref="AM17:AP17"/>
    <mergeCell ref="AQ17:AT17"/>
    <mergeCell ref="C18:E18"/>
    <mergeCell ref="B27:AE27"/>
    <mergeCell ref="B28:K28"/>
    <mergeCell ref="L28:O28"/>
    <mergeCell ref="P28:S28"/>
    <mergeCell ref="T28:AA28"/>
    <mergeCell ref="AB28:AE28"/>
    <mergeCell ref="AI28:AL28"/>
    <mergeCell ref="AM28:AP28"/>
    <mergeCell ref="AQ28:AT28"/>
    <mergeCell ref="C29:E29"/>
    <mergeCell ref="B38:AE38"/>
    <mergeCell ref="B39:K39"/>
    <mergeCell ref="L39:O39"/>
    <mergeCell ref="P39:S39"/>
    <mergeCell ref="T39:AA39"/>
    <mergeCell ref="AB39:AE39"/>
    <mergeCell ref="AI39:AL39"/>
    <mergeCell ref="AM39:AP39"/>
    <mergeCell ref="AQ39:AT39"/>
    <mergeCell ref="C40:E40"/>
    <mergeCell ref="B49:AE49"/>
    <mergeCell ref="B50:K50"/>
    <mergeCell ref="L50:O50"/>
    <mergeCell ref="P50:S50"/>
    <mergeCell ref="T50:AA50"/>
    <mergeCell ref="AB50:AE50"/>
    <mergeCell ref="AI50:AL50"/>
    <mergeCell ref="AM50:AP50"/>
    <mergeCell ref="AQ50:AT50"/>
    <mergeCell ref="C51:E51"/>
    <mergeCell ref="B60:AE60"/>
    <mergeCell ref="B61:K61"/>
    <mergeCell ref="L61:O61"/>
    <mergeCell ref="P61:S61"/>
    <mergeCell ref="T61:AA61"/>
    <mergeCell ref="AB61:AE61"/>
    <mergeCell ref="AI61:AL61"/>
    <mergeCell ref="AM61:AP61"/>
    <mergeCell ref="AQ61:AT61"/>
    <mergeCell ref="C62:E62"/>
    <mergeCell ref="B72:AE72"/>
    <mergeCell ref="B73:K73"/>
    <mergeCell ref="L73:O73"/>
    <mergeCell ref="P73:S73"/>
    <mergeCell ref="T73:AA73"/>
    <mergeCell ref="AB73:AE73"/>
    <mergeCell ref="AI73:AL73"/>
    <mergeCell ref="AM73:AP73"/>
    <mergeCell ref="AQ73:AT73"/>
    <mergeCell ref="C74:E74"/>
    <mergeCell ref="B83:AE83"/>
    <mergeCell ref="B84:K84"/>
    <mergeCell ref="L84:O84"/>
    <mergeCell ref="P84:S84"/>
    <mergeCell ref="T84:AA84"/>
    <mergeCell ref="AB84:AE84"/>
    <mergeCell ref="AI84:AL84"/>
    <mergeCell ref="AM84:AP84"/>
    <mergeCell ref="AQ84:AT84"/>
    <mergeCell ref="C85:E85"/>
    <mergeCell ref="B94:AE94"/>
    <mergeCell ref="B95:K95"/>
    <mergeCell ref="L95:O95"/>
    <mergeCell ref="P95:S95"/>
    <mergeCell ref="T95:AA95"/>
    <mergeCell ref="AB95:AE95"/>
    <mergeCell ref="AI95:AL95"/>
    <mergeCell ref="AM95:AP95"/>
    <mergeCell ref="AQ95:AT95"/>
    <mergeCell ref="C96:E96"/>
    <mergeCell ref="A2:A4"/>
    <mergeCell ref="A8:A10"/>
    <mergeCell ref="A13:A15"/>
    <mergeCell ref="A19:A21"/>
    <mergeCell ref="A24:A26"/>
    <mergeCell ref="A30:A32"/>
    <mergeCell ref="A35:A37"/>
    <mergeCell ref="A41:A43"/>
    <mergeCell ref="A46:A48"/>
    <mergeCell ref="A52:A54"/>
    <mergeCell ref="A57:A59"/>
    <mergeCell ref="A63:A65"/>
    <mergeCell ref="A69:A71"/>
    <mergeCell ref="A75:A77"/>
    <mergeCell ref="A80:A82"/>
    <mergeCell ref="A86:A88"/>
    <mergeCell ref="A91:A93"/>
    <mergeCell ref="A97:A99"/>
    <mergeCell ref="AF6:AF7"/>
    <mergeCell ref="AF17:AF18"/>
    <mergeCell ref="AF28:AF29"/>
    <mergeCell ref="AF39:AF40"/>
    <mergeCell ref="AF50:AF51"/>
    <mergeCell ref="AF61:AF62"/>
    <mergeCell ref="AF73:AF74"/>
    <mergeCell ref="AF84:AF85"/>
    <mergeCell ref="AF95:AF96"/>
    <mergeCell ref="AG6:AG7"/>
    <mergeCell ref="AG17:AG18"/>
    <mergeCell ref="AG28:AG29"/>
    <mergeCell ref="AG39:AG40"/>
    <mergeCell ref="AG50:AG51"/>
    <mergeCell ref="AG61:AG62"/>
    <mergeCell ref="AG73:AG74"/>
    <mergeCell ref="AG84:AG85"/>
    <mergeCell ref="AG95:AG96"/>
    <mergeCell ref="AH6:AH7"/>
    <mergeCell ref="AH17:AH18"/>
    <mergeCell ref="AH28:AH29"/>
    <mergeCell ref="AH39:AH40"/>
    <mergeCell ref="AH50:AH51"/>
    <mergeCell ref="AH61:AH62"/>
    <mergeCell ref="AH73:AH74"/>
    <mergeCell ref="AH84:AH85"/>
    <mergeCell ref="AH95:AH96"/>
    <mergeCell ref="AI7:AL10"/>
    <mergeCell ref="AM7:AP10"/>
    <mergeCell ref="AQ7:AT10"/>
    <mergeCell ref="AI29:AL32"/>
    <mergeCell ref="AM29:AP32"/>
    <mergeCell ref="AQ29:AT32"/>
    <mergeCell ref="AI40:AL43"/>
    <mergeCell ref="AM40:AP43"/>
    <mergeCell ref="AQ40:AT43"/>
    <mergeCell ref="AI51:AL54"/>
    <mergeCell ref="AM51:AP54"/>
    <mergeCell ref="AQ51:AT54"/>
    <mergeCell ref="AI74:AL77"/>
    <mergeCell ref="AM74:AP77"/>
    <mergeCell ref="AQ74:AT77"/>
    <mergeCell ref="AI62:AL65"/>
    <mergeCell ref="AM62:AP65"/>
    <mergeCell ref="AQ62:AT65"/>
    <mergeCell ref="AI85:AL88"/>
    <mergeCell ref="AM85:AP88"/>
    <mergeCell ref="AQ85:AT88"/>
    <mergeCell ref="AI18:AL21"/>
    <mergeCell ref="AM18:AP21"/>
    <mergeCell ref="AQ18:AT21"/>
    <mergeCell ref="AI96:AL99"/>
    <mergeCell ref="AM96:AP99"/>
    <mergeCell ref="AQ96:AT99"/>
  </mergeCells>
  <hyperlinks>
    <hyperlink ref="AI40" r:id="rId4" display="中山简一时代电器"/>
    <hyperlink ref="AI51" r:id="rId4" display="中山简一时代电器"/>
    <hyperlink ref="AI29" r:id="rId4" display="宁波灵鸣达科技"/>
  </hyperlinks>
  <pageMargins left="0.75" right="0.75" top="1" bottom="1" header="0.5" footer="0.5"/>
  <pageSetup paperSize="9" orientation="portrait"/>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96"/>
  <sheetViews>
    <sheetView zoomScale="70" zoomScaleNormal="70" workbookViewId="0">
      <selection activeCell="F5" sqref="F5"/>
    </sheetView>
  </sheetViews>
  <sheetFormatPr defaultColWidth="9.23333333333333" defaultRowHeight="16.5"/>
  <cols>
    <col min="1" max="1" width="9" style="429"/>
    <col min="2" max="2" width="33.525" style="265" customWidth="1"/>
    <col min="3" max="3" width="38.75" style="265" customWidth="1"/>
    <col min="4" max="4" width="15" style="266" customWidth="1"/>
    <col min="5" max="5" width="26.3083333333333" style="267" customWidth="1"/>
    <col min="6" max="6" width="15.625" style="268" customWidth="1"/>
    <col min="7" max="7" width="12.925" style="269" customWidth="1"/>
    <col min="8" max="8" width="12.75" style="269" customWidth="1"/>
    <col min="9" max="10" width="10.3833333333333" style="269" customWidth="1"/>
    <col min="11" max="11" width="32.65" style="265" customWidth="1"/>
    <col min="12" max="12" width="5.58333333333333" style="265" customWidth="1"/>
    <col min="13" max="13" width="8.825" style="265" customWidth="1"/>
    <col min="14" max="14" width="38.75" style="265" customWidth="1"/>
    <col min="15" max="15" width="21.8833333333333" style="265" customWidth="1"/>
    <col min="16" max="16" width="16.5" style="265" customWidth="1"/>
    <col min="17" max="17" width="17.8833333333333" style="265" customWidth="1"/>
    <col min="18" max="18" width="15.8833333333333" style="266" customWidth="1"/>
    <col min="19" max="26" width="15.8833333333333" style="265" customWidth="1"/>
    <col min="27" max="27" width="45.75" style="429" customWidth="1"/>
    <col min="28" max="32" width="9" style="429"/>
    <col min="33" max="16384" width="9.23333333333333" style="429"/>
  </cols>
  <sheetData>
    <row r="1" s="429" customFormat="1" ht="37.5" spans="2:27">
      <c r="B1" s="270" t="s">
        <v>4785</v>
      </c>
      <c r="C1" s="271"/>
      <c r="D1" s="272"/>
      <c r="E1" s="273"/>
      <c r="F1" s="274"/>
      <c r="G1" s="275"/>
      <c r="H1" s="275"/>
      <c r="I1" s="275"/>
      <c r="J1" s="275"/>
      <c r="K1" s="271"/>
      <c r="L1" s="271"/>
      <c r="M1" s="271"/>
      <c r="N1" s="271"/>
      <c r="O1" s="271"/>
      <c r="P1" s="271"/>
      <c r="Q1" s="271"/>
      <c r="R1" s="276"/>
      <c r="S1" s="265"/>
      <c r="T1" s="265"/>
      <c r="U1" s="265"/>
      <c r="V1" s="265"/>
      <c r="W1" s="265"/>
      <c r="X1" s="265"/>
      <c r="Y1" s="265"/>
      <c r="Z1" s="265"/>
    </row>
    <row r="2" s="429" customFormat="1" spans="2:27">
      <c r="B2" s="277" t="s">
        <v>4786</v>
      </c>
      <c r="C2" s="278" t="s">
        <v>4787</v>
      </c>
      <c r="D2" s="279" t="s">
        <v>4788</v>
      </c>
      <c r="E2" s="280"/>
      <c r="F2" s="281"/>
      <c r="G2" s="282"/>
      <c r="H2" s="282"/>
      <c r="I2" s="282"/>
      <c r="J2" s="282"/>
      <c r="K2" s="277"/>
      <c r="L2" s="277"/>
      <c r="M2" s="277"/>
      <c r="N2" s="277"/>
      <c r="O2" s="277"/>
      <c r="P2" s="277"/>
      <c r="Q2" s="277"/>
      <c r="R2" s="283"/>
      <c r="S2" s="265"/>
      <c r="T2" s="265"/>
      <c r="U2" s="265"/>
      <c r="V2" s="265"/>
      <c r="W2" s="265"/>
      <c r="X2" s="265"/>
      <c r="Y2" s="265"/>
      <c r="Z2" s="265"/>
    </row>
    <row r="3" s="429" customFormat="1" ht="29.25" spans="2:27">
      <c r="B3" s="284" t="s">
        <v>4789</v>
      </c>
      <c r="C3" s="285">
        <v>6.8</v>
      </c>
      <c r="D3" s="283"/>
      <c r="E3" s="286"/>
      <c r="F3" s="287"/>
      <c r="G3" s="282"/>
      <c r="H3" s="282"/>
      <c r="I3" s="282"/>
      <c r="J3" s="282"/>
      <c r="K3" s="277"/>
      <c r="L3" s="277"/>
      <c r="M3" s="277"/>
      <c r="N3" s="288"/>
      <c r="O3" s="288"/>
      <c r="P3" s="288"/>
      <c r="Q3" s="288"/>
      <c r="R3" s="288"/>
      <c r="S3" s="288"/>
      <c r="T3" s="288"/>
      <c r="U3" s="288"/>
      <c r="V3" s="288"/>
      <c r="W3" s="288"/>
      <c r="X3" s="288"/>
      <c r="Y3" s="288"/>
      <c r="Z3" s="288"/>
    </row>
    <row r="4" s="429" customFormat="1" ht="30" spans="2:27">
      <c r="B4" s="288" t="s">
        <v>4790</v>
      </c>
      <c r="C4" s="288"/>
      <c r="D4" s="288"/>
      <c r="E4" s="289"/>
      <c r="F4" s="288"/>
      <c r="G4" s="282"/>
      <c r="H4" s="288"/>
      <c r="I4" s="288"/>
      <c r="J4" s="288"/>
      <c r="K4" s="288"/>
      <c r="L4" s="288"/>
      <c r="M4" s="277"/>
      <c r="N4" s="288" t="s">
        <v>4791</v>
      </c>
      <c r="O4" s="288"/>
      <c r="P4" s="288"/>
      <c r="Q4" s="288"/>
      <c r="R4" s="288"/>
      <c r="S4" s="288"/>
      <c r="T4" s="288"/>
      <c r="U4" s="288"/>
      <c r="V4" s="288"/>
      <c r="W4" s="288"/>
      <c r="X4" s="288"/>
      <c r="Y4" s="288"/>
      <c r="Z4" s="288"/>
    </row>
    <row r="5" s="429" customFormat="1" ht="30" spans="2:27">
      <c r="B5" s="288"/>
      <c r="C5" s="288"/>
      <c r="D5" s="288"/>
      <c r="E5" s="289"/>
      <c r="F5" s="288"/>
      <c r="G5" s="282"/>
      <c r="H5" s="288"/>
      <c r="I5" s="288"/>
      <c r="J5" s="288"/>
      <c r="K5" s="288"/>
      <c r="L5" s="288"/>
      <c r="M5" s="277"/>
      <c r="N5" s="290" t="s">
        <v>4792</v>
      </c>
      <c r="O5" s="291">
        <v>202307</v>
      </c>
      <c r="P5" s="291">
        <v>202308</v>
      </c>
      <c r="Q5" s="291">
        <v>202309</v>
      </c>
      <c r="R5" s="291">
        <v>202310</v>
      </c>
      <c r="S5" s="291">
        <v>202311</v>
      </c>
      <c r="T5" s="291">
        <v>202312</v>
      </c>
      <c r="U5" s="291">
        <v>202401</v>
      </c>
      <c r="V5" s="291">
        <v>202402</v>
      </c>
      <c r="W5" s="291">
        <v>202403</v>
      </c>
      <c r="X5" s="291">
        <v>202404</v>
      </c>
      <c r="Y5" s="291">
        <v>202405</v>
      </c>
      <c r="Z5" s="291">
        <v>202406</v>
      </c>
    </row>
    <row r="6" s="429" customFormat="1" ht="21" spans="2:27">
      <c r="B6" s="290" t="s">
        <v>4793</v>
      </c>
      <c r="C6" s="292" t="s">
        <v>4794</v>
      </c>
      <c r="D6" s="293" t="str">
        <f>C2</f>
        <v>SKUAAA</v>
      </c>
      <c r="E6" s="294" t="s">
        <v>4795</v>
      </c>
      <c r="F6" s="282"/>
      <c r="G6" s="282"/>
      <c r="H6" s="282"/>
      <c r="I6" s="282"/>
      <c r="J6" s="282"/>
      <c r="K6" s="295"/>
      <c r="L6" s="295"/>
      <c r="M6" s="295"/>
      <c r="N6" s="296"/>
      <c r="O6" s="297" t="s">
        <v>4796</v>
      </c>
      <c r="P6" s="297" t="s">
        <v>4797</v>
      </c>
      <c r="Q6" s="297" t="s">
        <v>4798</v>
      </c>
      <c r="R6" s="297" t="s">
        <v>4799</v>
      </c>
      <c r="S6" s="297" t="s">
        <v>4800</v>
      </c>
      <c r="T6" s="297" t="s">
        <v>4801</v>
      </c>
      <c r="U6" s="297" t="s">
        <v>4802</v>
      </c>
      <c r="V6" s="297" t="s">
        <v>4803</v>
      </c>
      <c r="W6" s="297" t="s">
        <v>4804</v>
      </c>
      <c r="X6" s="297" t="s">
        <v>4805</v>
      </c>
      <c r="Y6" s="297" t="s">
        <v>4806</v>
      </c>
      <c r="Z6" s="298" t="s">
        <v>4807</v>
      </c>
    </row>
    <row r="7" s="429" customFormat="1" ht="21.75" spans="2:27">
      <c r="B7" s="299" t="s">
        <v>4808</v>
      </c>
      <c r="C7" s="300" t="s">
        <v>4809</v>
      </c>
      <c r="D7" s="301">
        <v>69.99</v>
      </c>
      <c r="E7" s="302">
        <v>79.99</v>
      </c>
      <c r="F7" s="282"/>
      <c r="G7" s="282"/>
      <c r="H7" s="282"/>
      <c r="I7" s="282"/>
      <c r="J7" s="282"/>
      <c r="K7" s="277"/>
      <c r="L7" s="277"/>
      <c r="M7" s="277"/>
      <c r="N7" s="299" t="s">
        <v>4808</v>
      </c>
      <c r="O7" s="303">
        <f t="shared" ref="O7:Z7" si="0">$D$7</f>
        <v>69.99</v>
      </c>
      <c r="P7" s="303">
        <f t="shared" si="0"/>
        <v>69.99</v>
      </c>
      <c r="Q7" s="303">
        <f t="shared" si="0"/>
        <v>69.99</v>
      </c>
      <c r="R7" s="303">
        <f t="shared" si="0"/>
        <v>69.99</v>
      </c>
      <c r="S7" s="303">
        <f t="shared" si="0"/>
        <v>69.99</v>
      </c>
      <c r="T7" s="303">
        <f t="shared" si="0"/>
        <v>69.99</v>
      </c>
      <c r="U7" s="303">
        <f t="shared" si="0"/>
        <v>69.99</v>
      </c>
      <c r="V7" s="303">
        <f t="shared" si="0"/>
        <v>69.99</v>
      </c>
      <c r="W7" s="303">
        <f t="shared" si="0"/>
        <v>69.99</v>
      </c>
      <c r="X7" s="303">
        <f t="shared" si="0"/>
        <v>69.99</v>
      </c>
      <c r="Y7" s="303">
        <f t="shared" si="0"/>
        <v>69.99</v>
      </c>
      <c r="Z7" s="303">
        <f t="shared" si="0"/>
        <v>69.99</v>
      </c>
      <c r="AA7" s="429" t="s">
        <v>4810</v>
      </c>
    </row>
    <row r="8" s="429" customFormat="1" ht="21" spans="2:27">
      <c r="B8" s="299" t="s">
        <v>4811</v>
      </c>
      <c r="C8" s="300" t="s">
        <v>4809</v>
      </c>
      <c r="D8" s="304">
        <f>D7*C3</f>
        <v>475.932</v>
      </c>
      <c r="E8" s="305"/>
      <c r="F8" s="306"/>
      <c r="G8" s="307"/>
      <c r="H8" s="282"/>
      <c r="I8" s="282"/>
      <c r="J8" s="282"/>
      <c r="K8" s="308"/>
      <c r="L8" s="308"/>
      <c r="M8" s="308"/>
      <c r="N8" s="299" t="s">
        <v>4811</v>
      </c>
      <c r="O8" s="309">
        <f t="shared" ref="O8:Z8" si="1">O7*$C$3</f>
        <v>475.932</v>
      </c>
      <c r="P8" s="309">
        <f t="shared" si="1"/>
        <v>475.932</v>
      </c>
      <c r="Q8" s="309">
        <f t="shared" si="1"/>
        <v>475.932</v>
      </c>
      <c r="R8" s="309">
        <f t="shared" si="1"/>
        <v>475.932</v>
      </c>
      <c r="S8" s="309">
        <f t="shared" si="1"/>
        <v>475.932</v>
      </c>
      <c r="T8" s="309">
        <f t="shared" si="1"/>
        <v>475.932</v>
      </c>
      <c r="U8" s="309">
        <f t="shared" si="1"/>
        <v>475.932</v>
      </c>
      <c r="V8" s="309">
        <f t="shared" si="1"/>
        <v>475.932</v>
      </c>
      <c r="W8" s="309">
        <f t="shared" si="1"/>
        <v>475.932</v>
      </c>
      <c r="X8" s="309">
        <f t="shared" si="1"/>
        <v>475.932</v>
      </c>
      <c r="Y8" s="309">
        <f t="shared" si="1"/>
        <v>475.932</v>
      </c>
      <c r="Z8" s="309">
        <f t="shared" si="1"/>
        <v>475.932</v>
      </c>
    </row>
    <row r="9" s="429" customFormat="1" ht="21" spans="2:27">
      <c r="B9" s="299" t="s">
        <v>4812</v>
      </c>
      <c r="C9" s="300" t="s">
        <v>4813</v>
      </c>
      <c r="D9" s="310">
        <v>127</v>
      </c>
      <c r="E9" s="305"/>
      <c r="F9" s="306"/>
      <c r="G9" s="307"/>
      <c r="H9" s="282"/>
      <c r="I9" s="282"/>
      <c r="J9" s="282"/>
      <c r="K9" s="277"/>
      <c r="L9" s="277"/>
      <c r="M9" s="277"/>
      <c r="N9" s="299" t="s">
        <v>4812</v>
      </c>
      <c r="O9" s="303">
        <f t="shared" ref="O9:Z9" si="2">$D$9</f>
        <v>127</v>
      </c>
      <c r="P9" s="303">
        <f t="shared" si="2"/>
        <v>127</v>
      </c>
      <c r="Q9" s="303">
        <f t="shared" si="2"/>
        <v>127</v>
      </c>
      <c r="R9" s="303">
        <f t="shared" si="2"/>
        <v>127</v>
      </c>
      <c r="S9" s="303">
        <f t="shared" si="2"/>
        <v>127</v>
      </c>
      <c r="T9" s="303">
        <f t="shared" si="2"/>
        <v>127</v>
      </c>
      <c r="U9" s="303">
        <f t="shared" si="2"/>
        <v>127</v>
      </c>
      <c r="V9" s="303">
        <f t="shared" si="2"/>
        <v>127</v>
      </c>
      <c r="W9" s="303">
        <f t="shared" si="2"/>
        <v>127</v>
      </c>
      <c r="X9" s="303">
        <f t="shared" si="2"/>
        <v>127</v>
      </c>
      <c r="Y9" s="303">
        <f t="shared" si="2"/>
        <v>127</v>
      </c>
      <c r="Z9" s="303">
        <f t="shared" si="2"/>
        <v>127</v>
      </c>
    </row>
    <row r="10" s="429" customFormat="1" ht="21" spans="2:27">
      <c r="B10" s="299" t="s">
        <v>4814</v>
      </c>
      <c r="C10" s="300" t="s">
        <v>4815</v>
      </c>
      <c r="D10" s="311">
        <f>SUM(O10:Z10)</f>
        <v>13050</v>
      </c>
      <c r="E10" s="305"/>
      <c r="F10" s="306"/>
      <c r="G10" s="307"/>
      <c r="H10" s="282"/>
      <c r="I10" s="282"/>
      <c r="J10" s="282"/>
      <c r="K10" s="277"/>
      <c r="L10" s="277"/>
      <c r="M10" s="277"/>
      <c r="N10" s="299" t="s">
        <v>4816</v>
      </c>
      <c r="O10" s="312">
        <v>50</v>
      </c>
      <c r="P10" s="312">
        <v>300</v>
      </c>
      <c r="Q10" s="312">
        <v>800</v>
      </c>
      <c r="R10" s="312">
        <v>1200</v>
      </c>
      <c r="S10" s="313">
        <v>1000</v>
      </c>
      <c r="T10" s="313">
        <v>900</v>
      </c>
      <c r="U10" s="313">
        <v>1500</v>
      </c>
      <c r="V10" s="313">
        <v>2100</v>
      </c>
      <c r="W10" s="313">
        <v>1200</v>
      </c>
      <c r="X10" s="314">
        <v>1000</v>
      </c>
      <c r="Y10" s="313">
        <v>800</v>
      </c>
      <c r="Z10" s="314">
        <v>2200</v>
      </c>
    </row>
    <row r="11" s="429" customFormat="1" ht="21.75" spans="2:27">
      <c r="B11" s="315" t="s">
        <v>4817</v>
      </c>
      <c r="C11" s="316" t="s">
        <v>4818</v>
      </c>
      <c r="D11" s="317">
        <v>1000</v>
      </c>
      <c r="E11" s="305"/>
      <c r="F11" s="306"/>
      <c r="G11" s="307"/>
      <c r="H11" s="282"/>
      <c r="I11" s="282"/>
      <c r="J11" s="282"/>
      <c r="K11" s="277"/>
      <c r="L11" s="277"/>
      <c r="M11" s="277"/>
      <c r="N11" s="315" t="s">
        <v>4819</v>
      </c>
      <c r="O11" s="318">
        <v>1000</v>
      </c>
      <c r="P11" s="318">
        <f t="shared" ref="P11:Z11" si="3">P10*1.5</f>
        <v>450</v>
      </c>
      <c r="Q11" s="318">
        <f t="shared" si="3"/>
        <v>1200</v>
      </c>
      <c r="R11" s="318">
        <f t="shared" si="3"/>
        <v>1800</v>
      </c>
      <c r="S11" s="318">
        <f t="shared" si="3"/>
        <v>1500</v>
      </c>
      <c r="T11" s="318">
        <f t="shared" si="3"/>
        <v>1350</v>
      </c>
      <c r="U11" s="318">
        <f t="shared" si="3"/>
        <v>2250</v>
      </c>
      <c r="V11" s="318">
        <f t="shared" si="3"/>
        <v>3150</v>
      </c>
      <c r="W11" s="318">
        <f t="shared" si="3"/>
        <v>1800</v>
      </c>
      <c r="X11" s="318">
        <f t="shared" si="3"/>
        <v>1500</v>
      </c>
      <c r="Y11" s="318">
        <f t="shared" si="3"/>
        <v>1200</v>
      </c>
      <c r="Z11" s="318">
        <f t="shared" si="3"/>
        <v>3300</v>
      </c>
    </row>
    <row r="12" s="429" customFormat="1" ht="21" spans="2:27">
      <c r="B12" s="319"/>
      <c r="C12" s="319">
        <f>D9*D11</f>
        <v>127000</v>
      </c>
      <c r="D12" s="320">
        <f>D9*D11</f>
        <v>127000</v>
      </c>
      <c r="E12" s="319"/>
      <c r="F12" s="319"/>
      <c r="G12" s="282"/>
      <c r="H12" s="277"/>
      <c r="I12" s="282"/>
      <c r="J12" s="282"/>
      <c r="K12" s="277"/>
      <c r="L12" s="277"/>
      <c r="M12" s="277"/>
      <c r="N12" s="265" t="s">
        <v>4820</v>
      </c>
      <c r="O12" s="321"/>
      <c r="P12" s="321"/>
      <c r="Q12" s="321"/>
      <c r="R12" s="321"/>
      <c r="S12" s="321"/>
      <c r="T12" s="321"/>
      <c r="U12" s="321"/>
      <c r="V12" s="321"/>
      <c r="W12" s="321"/>
      <c r="X12" s="321"/>
      <c r="Y12" s="321"/>
      <c r="Z12" s="321"/>
    </row>
    <row r="13" s="429" customFormat="1" ht="32.25" spans="2:27">
      <c r="B13" s="319"/>
      <c r="C13" s="319"/>
      <c r="D13" s="319"/>
      <c r="E13" s="319"/>
      <c r="F13" s="319"/>
      <c r="G13" s="322"/>
      <c r="H13" s="322"/>
      <c r="I13" s="322"/>
      <c r="J13" s="322"/>
      <c r="K13" s="322"/>
      <c r="L13" s="323"/>
      <c r="M13" s="277"/>
      <c r="N13" s="321"/>
      <c r="O13" s="321"/>
      <c r="P13" s="321"/>
      <c r="Q13" s="321"/>
      <c r="R13" s="321"/>
      <c r="S13" s="321"/>
      <c r="T13" s="321"/>
      <c r="U13" s="321"/>
      <c r="V13" s="321"/>
      <c r="W13" s="321"/>
      <c r="X13" s="321"/>
      <c r="Y13" s="321"/>
      <c r="Z13" s="321"/>
    </row>
    <row r="14" s="429" customFormat="1" ht="32.25" spans="2:27">
      <c r="B14" s="321"/>
      <c r="C14" s="324"/>
      <c r="D14" s="325" t="s">
        <v>4821</v>
      </c>
      <c r="E14" s="326">
        <f>D18/C3</f>
        <v>913369.5</v>
      </c>
      <c r="F14" s="322"/>
      <c r="G14" s="322"/>
      <c r="H14" s="322"/>
      <c r="I14" s="322"/>
      <c r="J14" s="322"/>
      <c r="K14" s="322"/>
      <c r="L14" s="323"/>
      <c r="M14" s="277"/>
      <c r="N14" s="321"/>
      <c r="O14" s="321"/>
      <c r="P14" s="321"/>
      <c r="Q14" s="321"/>
      <c r="R14" s="321"/>
      <c r="S14" s="321"/>
      <c r="T14" s="321"/>
      <c r="U14" s="321"/>
      <c r="V14" s="321"/>
      <c r="W14" s="321"/>
      <c r="X14" s="321"/>
      <c r="Y14" s="321"/>
      <c r="Z14" s="321"/>
    </row>
    <row r="15" s="429" customFormat="1" ht="31.5" spans="2:27">
      <c r="B15" s="323" t="s">
        <v>4822</v>
      </c>
      <c r="C15" s="323"/>
      <c r="D15" s="323"/>
      <c r="E15" s="327"/>
      <c r="F15" s="323"/>
      <c r="G15" s="323"/>
      <c r="H15" s="323"/>
      <c r="I15" s="323"/>
      <c r="J15" s="323"/>
      <c r="K15" s="323"/>
      <c r="L15" s="323"/>
      <c r="M15" s="277"/>
      <c r="N15" s="321"/>
      <c r="O15" s="321"/>
      <c r="P15" s="321"/>
      <c r="Q15" s="321"/>
      <c r="R15" s="321"/>
      <c r="S15" s="321"/>
      <c r="T15" s="321"/>
      <c r="U15" s="321"/>
      <c r="V15" s="321"/>
      <c r="W15" s="321"/>
      <c r="X15" s="321"/>
      <c r="Y15" s="321"/>
      <c r="Z15" s="321"/>
    </row>
    <row r="16" s="429" customFormat="1" ht="22.5" spans="2:27">
      <c r="B16" s="328" t="s">
        <v>4823</v>
      </c>
      <c r="C16" s="329" t="s">
        <v>4824</v>
      </c>
      <c r="D16" s="330" t="s">
        <v>4825</v>
      </c>
      <c r="E16" s="331" t="s">
        <v>4826</v>
      </c>
      <c r="F16" s="332" t="s">
        <v>4827</v>
      </c>
      <c r="G16" s="332"/>
      <c r="H16" s="332"/>
      <c r="I16" s="332"/>
      <c r="J16" s="332"/>
      <c r="K16" s="329" t="s">
        <v>4828</v>
      </c>
      <c r="L16" s="277"/>
      <c r="M16" s="277"/>
      <c r="N16" s="277"/>
      <c r="O16" s="277"/>
      <c r="P16" s="277"/>
      <c r="Q16" s="277"/>
      <c r="R16" s="283"/>
      <c r="S16" s="277"/>
      <c r="T16" s="277"/>
      <c r="U16" s="277"/>
      <c r="V16" s="277"/>
      <c r="W16" s="277"/>
      <c r="X16" s="277"/>
      <c r="Y16" s="277"/>
      <c r="Z16" s="277"/>
    </row>
    <row r="17" s="429" customFormat="1" ht="22.5" spans="2:27">
      <c r="B17" s="328"/>
      <c r="C17" s="329"/>
      <c r="D17" s="330"/>
      <c r="E17" s="333"/>
      <c r="F17" s="334" t="s">
        <v>4829</v>
      </c>
      <c r="G17" s="332" t="s">
        <v>4830</v>
      </c>
      <c r="H17" s="332" t="s">
        <v>4831</v>
      </c>
      <c r="I17" s="332" t="s">
        <v>4832</v>
      </c>
      <c r="J17" s="332" t="s">
        <v>4833</v>
      </c>
      <c r="K17" s="329"/>
      <c r="L17" s="277"/>
      <c r="M17" s="277"/>
      <c r="N17" s="329" t="s">
        <v>4823</v>
      </c>
      <c r="O17" s="335" t="str">
        <f t="shared" ref="O17:Z17" si="4">O6</f>
        <v>上市第1月</v>
      </c>
      <c r="P17" s="335" t="str">
        <f t="shared" si="4"/>
        <v>上市第2月</v>
      </c>
      <c r="Q17" s="335" t="str">
        <f t="shared" si="4"/>
        <v>上市第3月</v>
      </c>
      <c r="R17" s="335" t="str">
        <f t="shared" si="4"/>
        <v>上市第4月</v>
      </c>
      <c r="S17" s="335" t="str">
        <f t="shared" si="4"/>
        <v>上市第5月</v>
      </c>
      <c r="T17" s="335" t="str">
        <f t="shared" si="4"/>
        <v>上市第6月</v>
      </c>
      <c r="U17" s="335" t="str">
        <f t="shared" si="4"/>
        <v>上市第7月</v>
      </c>
      <c r="V17" s="335" t="str">
        <f t="shared" si="4"/>
        <v>上市第8月</v>
      </c>
      <c r="W17" s="335" t="str">
        <f t="shared" si="4"/>
        <v>上市第9月</v>
      </c>
      <c r="X17" s="335" t="str">
        <f t="shared" si="4"/>
        <v>上市第10月</v>
      </c>
      <c r="Y17" s="335" t="str">
        <f t="shared" si="4"/>
        <v>上市第11月</v>
      </c>
      <c r="Z17" s="335" t="str">
        <f t="shared" si="4"/>
        <v>上市第12月</v>
      </c>
    </row>
    <row r="18" s="429" customFormat="1" ht="21" spans="2:27">
      <c r="B18" s="336" t="s">
        <v>4834</v>
      </c>
      <c r="C18" s="337"/>
      <c r="D18" s="338">
        <f t="shared" ref="D18:D31" si="5">SUM(O18:Z18)</f>
        <v>6210912.6</v>
      </c>
      <c r="E18" s="339">
        <f t="shared" ref="E18:E80" si="6">D18/$D$18</f>
        <v>1</v>
      </c>
      <c r="F18" s="340"/>
      <c r="G18" s="341">
        <v>1</v>
      </c>
      <c r="H18" s="342">
        <v>1</v>
      </c>
      <c r="I18" s="342">
        <v>1</v>
      </c>
      <c r="J18" s="342">
        <v>1</v>
      </c>
      <c r="K18" s="343"/>
      <c r="L18" s="344"/>
      <c r="M18" s="277"/>
      <c r="N18" s="336" t="s">
        <v>4834</v>
      </c>
      <c r="O18" s="345">
        <f t="shared" ref="O18:Z18" si="7">O8*O10</f>
        <v>23796.6</v>
      </c>
      <c r="P18" s="345">
        <f t="shared" si="7"/>
        <v>142779.6</v>
      </c>
      <c r="Q18" s="345">
        <f t="shared" si="7"/>
        <v>380745.6</v>
      </c>
      <c r="R18" s="345">
        <f t="shared" si="7"/>
        <v>571118.4</v>
      </c>
      <c r="S18" s="345">
        <f t="shared" si="7"/>
        <v>475932</v>
      </c>
      <c r="T18" s="345">
        <f t="shared" si="7"/>
        <v>428338.8</v>
      </c>
      <c r="U18" s="345">
        <f t="shared" si="7"/>
        <v>713898</v>
      </c>
      <c r="V18" s="345">
        <f t="shared" si="7"/>
        <v>999457.2</v>
      </c>
      <c r="W18" s="345">
        <f t="shared" si="7"/>
        <v>571118.4</v>
      </c>
      <c r="X18" s="345">
        <f t="shared" si="7"/>
        <v>475932</v>
      </c>
      <c r="Y18" s="345">
        <f t="shared" si="7"/>
        <v>380745.6</v>
      </c>
      <c r="Z18" s="345">
        <f t="shared" si="7"/>
        <v>1047050.4</v>
      </c>
    </row>
    <row r="19" s="429" customFormat="1" ht="21" spans="2:27">
      <c r="B19" s="336" t="s">
        <v>4835</v>
      </c>
      <c r="C19" s="346"/>
      <c r="D19" s="347">
        <f t="shared" si="5"/>
        <v>5249854.31896639</v>
      </c>
      <c r="E19" s="339">
        <f t="shared" si="6"/>
        <v>0.8452629520123</v>
      </c>
      <c r="F19" s="348" t="s">
        <v>4836</v>
      </c>
      <c r="G19" s="349">
        <f t="shared" ref="G19:J19" si="8">G20+G28</f>
        <v>0.905909422712167</v>
      </c>
      <c r="H19" s="349">
        <f t="shared" si="8"/>
        <v>0.8452629520123</v>
      </c>
      <c r="I19" s="349">
        <f t="shared" si="8"/>
        <v>0.8452629520123</v>
      </c>
      <c r="J19" s="349">
        <f t="shared" si="8"/>
        <v>0.946210393342278</v>
      </c>
      <c r="K19" s="350" t="s">
        <v>4837</v>
      </c>
      <c r="L19" s="351"/>
      <c r="M19" s="277"/>
      <c r="N19" s="336" t="s">
        <v>4835</v>
      </c>
      <c r="O19" s="352">
        <f t="shared" ref="O19:Z19" si="9">O20+O28</f>
        <v>20114.3843638559</v>
      </c>
      <c r="P19" s="352">
        <f t="shared" si="9"/>
        <v>120686.306183135</v>
      </c>
      <c r="Q19" s="352">
        <f t="shared" si="9"/>
        <v>321830.149821694</v>
      </c>
      <c r="R19" s="352">
        <f t="shared" si="9"/>
        <v>482745.224732542</v>
      </c>
      <c r="S19" s="352">
        <f t="shared" si="9"/>
        <v>402287.687277118</v>
      </c>
      <c r="T19" s="352">
        <f t="shared" si="9"/>
        <v>362058.918549406</v>
      </c>
      <c r="U19" s="352">
        <f t="shared" si="9"/>
        <v>603431.530915677</v>
      </c>
      <c r="V19" s="352">
        <f t="shared" si="9"/>
        <v>844804.143281948</v>
      </c>
      <c r="W19" s="352">
        <f t="shared" si="9"/>
        <v>482745.224732542</v>
      </c>
      <c r="X19" s="352">
        <f t="shared" si="9"/>
        <v>402287.687277118</v>
      </c>
      <c r="Y19" s="352">
        <f t="shared" si="9"/>
        <v>321830.149821694</v>
      </c>
      <c r="Z19" s="352">
        <f t="shared" si="9"/>
        <v>885032.91200966</v>
      </c>
    </row>
    <row r="20" s="429" customFormat="1" ht="18" spans="2:27">
      <c r="B20" s="353" t="s">
        <v>4838</v>
      </c>
      <c r="C20" s="346"/>
      <c r="D20" s="354">
        <f t="shared" si="5"/>
        <v>3311929.31896639</v>
      </c>
      <c r="E20" s="339">
        <f t="shared" si="6"/>
        <v>0.533243587901461</v>
      </c>
      <c r="F20" s="348"/>
      <c r="G20" s="355">
        <f t="shared" ref="G20:J20" si="10">G21+G22+G23+G24+G25+G26+G27</f>
        <v>0.614035271055804</v>
      </c>
      <c r="H20" s="355">
        <f t="shared" si="10"/>
        <v>0.533243587901461</v>
      </c>
      <c r="I20" s="355">
        <f t="shared" si="10"/>
        <v>0.533243587901461</v>
      </c>
      <c r="J20" s="355">
        <f t="shared" si="10"/>
        <v>0.533243587901461</v>
      </c>
      <c r="K20" s="356"/>
      <c r="L20" s="357"/>
      <c r="M20" s="357"/>
      <c r="N20" s="353" t="s">
        <v>4838</v>
      </c>
      <c r="O20" s="352">
        <f t="shared" ref="O20:Z20" si="11">SUM(O21:O27)</f>
        <v>12689.3843638559</v>
      </c>
      <c r="P20" s="352">
        <f t="shared" si="11"/>
        <v>76136.3061831354</v>
      </c>
      <c r="Q20" s="352">
        <f t="shared" si="11"/>
        <v>203030.149821694</v>
      </c>
      <c r="R20" s="352">
        <f t="shared" si="11"/>
        <v>304545.224732542</v>
      </c>
      <c r="S20" s="352">
        <f t="shared" si="11"/>
        <v>253787.687277118</v>
      </c>
      <c r="T20" s="352">
        <f t="shared" si="11"/>
        <v>228408.918549406</v>
      </c>
      <c r="U20" s="352">
        <f t="shared" si="11"/>
        <v>380681.530915677</v>
      </c>
      <c r="V20" s="352">
        <f t="shared" si="11"/>
        <v>532954.143281948</v>
      </c>
      <c r="W20" s="352">
        <f t="shared" si="11"/>
        <v>304545.224732542</v>
      </c>
      <c r="X20" s="352">
        <f t="shared" si="11"/>
        <v>253787.687277118</v>
      </c>
      <c r="Y20" s="352">
        <f t="shared" si="11"/>
        <v>203030.149821694</v>
      </c>
      <c r="Z20" s="352">
        <f t="shared" si="11"/>
        <v>558332.91200966</v>
      </c>
    </row>
    <row r="21" s="429" customFormat="1" ht="21" spans="2:27">
      <c r="B21" s="358" t="s">
        <v>4839</v>
      </c>
      <c r="C21" s="346"/>
      <c r="D21" s="354">
        <f t="shared" si="5"/>
        <v>931636.89</v>
      </c>
      <c r="E21" s="359">
        <f t="shared" si="6"/>
        <v>0.15</v>
      </c>
      <c r="F21" s="360"/>
      <c r="G21" s="355">
        <v>0.150098912370032</v>
      </c>
      <c r="H21" s="361">
        <f t="shared" ref="H21:H27" si="12">SUM(R21:T21)/SUM($R$18:$T$18)</f>
        <v>0.15</v>
      </c>
      <c r="I21" s="361">
        <f t="shared" ref="I21:I27" si="13">SUM(S21:U21)/SUM($S$18:$U$18)</f>
        <v>0.15</v>
      </c>
      <c r="J21" s="361">
        <f t="shared" ref="J21:J27" si="14">SUM(T21:V21)/SUM($T$18:$V$18)</f>
        <v>0.15</v>
      </c>
      <c r="K21" s="356"/>
      <c r="L21" s="357"/>
      <c r="M21" s="357"/>
      <c r="N21" s="362" t="s">
        <v>4839</v>
      </c>
      <c r="O21" s="363">
        <f t="shared" ref="O21:Z21" si="15">O18*15%</f>
        <v>3569.49</v>
      </c>
      <c r="P21" s="363">
        <f t="shared" si="15"/>
        <v>21416.94</v>
      </c>
      <c r="Q21" s="363">
        <f t="shared" si="15"/>
        <v>57111.84</v>
      </c>
      <c r="R21" s="363">
        <f t="shared" si="15"/>
        <v>85667.76</v>
      </c>
      <c r="S21" s="363">
        <f t="shared" si="15"/>
        <v>71389.8</v>
      </c>
      <c r="T21" s="363">
        <f t="shared" si="15"/>
        <v>64250.82</v>
      </c>
      <c r="U21" s="363">
        <f t="shared" si="15"/>
        <v>107084.7</v>
      </c>
      <c r="V21" s="363">
        <f t="shared" si="15"/>
        <v>149918.58</v>
      </c>
      <c r="W21" s="363">
        <f t="shared" si="15"/>
        <v>85667.76</v>
      </c>
      <c r="X21" s="363">
        <f t="shared" si="15"/>
        <v>71389.8</v>
      </c>
      <c r="Y21" s="363">
        <f t="shared" si="15"/>
        <v>57111.84</v>
      </c>
      <c r="Z21" s="363">
        <f t="shared" si="15"/>
        <v>157057.56</v>
      </c>
    </row>
    <row r="22" s="429" customFormat="1" spans="2:27">
      <c r="B22" s="364" t="s">
        <v>4840</v>
      </c>
      <c r="C22" s="365"/>
      <c r="D22" s="354">
        <f t="shared" si="5"/>
        <v>1179354.6</v>
      </c>
      <c r="E22" s="359">
        <f t="shared" si="6"/>
        <v>0.189884269181312</v>
      </c>
      <c r="F22" s="366" t="s">
        <v>4841</v>
      </c>
      <c r="G22" s="367">
        <v>0.270577039965623</v>
      </c>
      <c r="H22" s="361">
        <f t="shared" si="12"/>
        <v>0.189884269181312</v>
      </c>
      <c r="I22" s="361">
        <f t="shared" si="13"/>
        <v>0.189884269181312</v>
      </c>
      <c r="J22" s="361">
        <f t="shared" si="14"/>
        <v>0.189884269181312</v>
      </c>
      <c r="K22" s="368"/>
      <c r="L22" s="369"/>
      <c r="M22" s="370"/>
      <c r="N22" s="364" t="s">
        <v>4840</v>
      </c>
      <c r="O22" s="371">
        <f>13.29*O10*$C$3</f>
        <v>4518.6</v>
      </c>
      <c r="P22" s="371">
        <f t="shared" ref="P22:Z22" si="16">13.29*P10*$C$3</f>
        <v>27111.6</v>
      </c>
      <c r="Q22" s="371">
        <f t="shared" si="16"/>
        <v>72297.6</v>
      </c>
      <c r="R22" s="371">
        <f t="shared" si="16"/>
        <v>108446.4</v>
      </c>
      <c r="S22" s="371">
        <f t="shared" si="16"/>
        <v>90372</v>
      </c>
      <c r="T22" s="371">
        <f t="shared" si="16"/>
        <v>81334.8</v>
      </c>
      <c r="U22" s="371">
        <f t="shared" si="16"/>
        <v>135558</v>
      </c>
      <c r="V22" s="371">
        <f t="shared" si="16"/>
        <v>189781.2</v>
      </c>
      <c r="W22" s="371">
        <f t="shared" si="16"/>
        <v>108446.4</v>
      </c>
      <c r="X22" s="371">
        <f t="shared" si="16"/>
        <v>90372</v>
      </c>
      <c r="Y22" s="371">
        <f t="shared" si="16"/>
        <v>72297.6</v>
      </c>
      <c r="Z22" s="371">
        <f t="shared" si="16"/>
        <v>198818.4</v>
      </c>
      <c r="AA22" s="429" t="s">
        <v>4842</v>
      </c>
    </row>
    <row r="23" s="429" customFormat="1" spans="2:27">
      <c r="B23" s="364" t="s">
        <v>4843</v>
      </c>
      <c r="C23" s="365"/>
      <c r="D23" s="354">
        <f t="shared" si="5"/>
        <v>270543.259984324</v>
      </c>
      <c r="E23" s="359">
        <f t="shared" si="6"/>
        <v>0.043559341019277</v>
      </c>
      <c r="F23" s="372" t="s">
        <v>4844</v>
      </c>
      <c r="G23" s="367">
        <v>0.043559341019277</v>
      </c>
      <c r="H23" s="361">
        <f t="shared" si="12"/>
        <v>0.043559341019277</v>
      </c>
      <c r="I23" s="361">
        <f t="shared" si="13"/>
        <v>0.043559341019277</v>
      </c>
      <c r="J23" s="361">
        <f t="shared" si="14"/>
        <v>0.043559341019277</v>
      </c>
      <c r="K23" s="373" t="s">
        <v>4845</v>
      </c>
      <c r="L23" s="374"/>
      <c r="M23" s="375"/>
      <c r="N23" s="364" t="s">
        <v>4843</v>
      </c>
      <c r="O23" s="376">
        <f t="shared" ref="O23:Z23" si="17">O18*$G$23</f>
        <v>1036.56421449933</v>
      </c>
      <c r="P23" s="376">
        <f t="shared" si="17"/>
        <v>6219.38528699596</v>
      </c>
      <c r="Q23" s="376">
        <f t="shared" si="17"/>
        <v>16585.0274319892</v>
      </c>
      <c r="R23" s="376">
        <f t="shared" si="17"/>
        <v>24877.5411479838</v>
      </c>
      <c r="S23" s="376">
        <f t="shared" si="17"/>
        <v>20731.2842899865</v>
      </c>
      <c r="T23" s="376">
        <f t="shared" si="17"/>
        <v>18658.1558609879</v>
      </c>
      <c r="U23" s="376">
        <f t="shared" si="17"/>
        <v>31096.9264349798</v>
      </c>
      <c r="V23" s="376">
        <f t="shared" si="17"/>
        <v>43535.6970089717</v>
      </c>
      <c r="W23" s="376">
        <f t="shared" si="17"/>
        <v>24877.5411479838</v>
      </c>
      <c r="X23" s="376">
        <f t="shared" si="17"/>
        <v>20731.2842899865</v>
      </c>
      <c r="Y23" s="376">
        <f t="shared" si="17"/>
        <v>16585.0274319892</v>
      </c>
      <c r="Z23" s="376">
        <f t="shared" si="17"/>
        <v>45608.8254379704</v>
      </c>
    </row>
    <row r="24" s="429" customFormat="1" spans="2:27">
      <c r="B24" s="358" t="s">
        <v>4846</v>
      </c>
      <c r="C24" s="346"/>
      <c r="D24" s="354">
        <f t="shared" si="5"/>
        <v>310545.63</v>
      </c>
      <c r="E24" s="359">
        <f t="shared" si="6"/>
        <v>0.05</v>
      </c>
      <c r="F24" s="360"/>
      <c r="G24" s="355">
        <v>0.05</v>
      </c>
      <c r="H24" s="361">
        <f t="shared" si="12"/>
        <v>0.05</v>
      </c>
      <c r="I24" s="361">
        <f t="shared" si="13"/>
        <v>0.05</v>
      </c>
      <c r="J24" s="361">
        <f t="shared" si="14"/>
        <v>0.05</v>
      </c>
      <c r="K24" s="356"/>
      <c r="L24" s="357"/>
      <c r="M24" s="357"/>
      <c r="N24" s="358" t="s">
        <v>4846</v>
      </c>
      <c r="O24" s="363">
        <f>O18*$G$24</f>
        <v>1189.83</v>
      </c>
      <c r="P24" s="363">
        <f t="shared" ref="O24:Z24" si="18">P18*$G$24</f>
        <v>7138.98</v>
      </c>
      <c r="Q24" s="363">
        <f t="shared" si="18"/>
        <v>19037.28</v>
      </c>
      <c r="R24" s="363">
        <f t="shared" si="18"/>
        <v>28555.92</v>
      </c>
      <c r="S24" s="363">
        <f t="shared" si="18"/>
        <v>23796.6</v>
      </c>
      <c r="T24" s="363">
        <f t="shared" si="18"/>
        <v>21416.94</v>
      </c>
      <c r="U24" s="363">
        <f t="shared" si="18"/>
        <v>35694.9</v>
      </c>
      <c r="V24" s="363">
        <f t="shared" si="18"/>
        <v>49972.86</v>
      </c>
      <c r="W24" s="363">
        <f t="shared" si="18"/>
        <v>28555.92</v>
      </c>
      <c r="X24" s="363">
        <f t="shared" si="18"/>
        <v>23796.6</v>
      </c>
      <c r="Y24" s="363">
        <f t="shared" si="18"/>
        <v>19037.28</v>
      </c>
      <c r="Z24" s="363">
        <f t="shared" si="18"/>
        <v>52352.52</v>
      </c>
    </row>
    <row r="25" s="429" customFormat="1" spans="2:27">
      <c r="B25" s="358" t="s">
        <v>4847</v>
      </c>
      <c r="C25" s="346"/>
      <c r="D25" s="354">
        <f t="shared" si="5"/>
        <v>516459.030979459</v>
      </c>
      <c r="E25" s="359">
        <f t="shared" si="6"/>
        <v>0.0831534855247294</v>
      </c>
      <c r="F25" s="360"/>
      <c r="G25" s="355">
        <v>0.0831534855247294</v>
      </c>
      <c r="H25" s="361">
        <f t="shared" si="12"/>
        <v>0.0831534855247294</v>
      </c>
      <c r="I25" s="361">
        <f t="shared" si="13"/>
        <v>0.0831534855247294</v>
      </c>
      <c r="J25" s="361">
        <f t="shared" si="14"/>
        <v>0.0831534855247294</v>
      </c>
      <c r="K25" s="356"/>
      <c r="L25" s="357"/>
      <c r="M25" s="357"/>
      <c r="N25" s="358" t="s">
        <v>4847</v>
      </c>
      <c r="O25" s="363">
        <f>O18*$G$25</f>
        <v>1978.77023363778</v>
      </c>
      <c r="P25" s="363">
        <f t="shared" ref="O25:Z25" si="19">P18*$G$25</f>
        <v>11872.6214018267</v>
      </c>
      <c r="Q25" s="363">
        <f t="shared" si="19"/>
        <v>31660.3237382044</v>
      </c>
      <c r="R25" s="363">
        <f t="shared" si="19"/>
        <v>47490.4856073066</v>
      </c>
      <c r="S25" s="363">
        <f t="shared" si="19"/>
        <v>39575.4046727555</v>
      </c>
      <c r="T25" s="363">
        <f t="shared" si="19"/>
        <v>35617.86420548</v>
      </c>
      <c r="U25" s="363">
        <f t="shared" si="19"/>
        <v>59363.1070091333</v>
      </c>
      <c r="V25" s="363">
        <f t="shared" si="19"/>
        <v>83108.3498127866</v>
      </c>
      <c r="W25" s="363">
        <f t="shared" si="19"/>
        <v>47490.4856073066</v>
      </c>
      <c r="X25" s="363">
        <f t="shared" si="19"/>
        <v>39575.4046727555</v>
      </c>
      <c r="Y25" s="363">
        <f t="shared" si="19"/>
        <v>31660.3237382044</v>
      </c>
      <c r="Z25" s="363">
        <f t="shared" si="19"/>
        <v>87065.8902800621</v>
      </c>
    </row>
    <row r="26" s="429" customFormat="1" spans="2:27">
      <c r="B26" s="358" t="s">
        <v>4848</v>
      </c>
      <c r="C26" s="377"/>
      <c r="D26" s="354">
        <f t="shared" si="5"/>
        <v>107766.672393749</v>
      </c>
      <c r="E26" s="359">
        <f t="shared" si="6"/>
        <v>0.0173511815950765</v>
      </c>
      <c r="F26" s="360"/>
      <c r="G26" s="355">
        <v>0.0173511815950765</v>
      </c>
      <c r="H26" s="361">
        <f t="shared" si="12"/>
        <v>0.0173511815950765</v>
      </c>
      <c r="I26" s="361">
        <f t="shared" si="13"/>
        <v>0.0173511815950765</v>
      </c>
      <c r="J26" s="361">
        <f t="shared" si="14"/>
        <v>0.0173511815950765</v>
      </c>
      <c r="K26" s="378"/>
      <c r="L26" s="370"/>
      <c r="M26" s="370"/>
      <c r="N26" s="358" t="s">
        <v>4848</v>
      </c>
      <c r="O26" s="363">
        <f t="shared" ref="O26:Z26" si="20">O18*$G$26</f>
        <v>412.899127945397</v>
      </c>
      <c r="P26" s="363">
        <f t="shared" si="20"/>
        <v>2477.39476767238</v>
      </c>
      <c r="Q26" s="363">
        <f t="shared" si="20"/>
        <v>6606.38604712636</v>
      </c>
      <c r="R26" s="363">
        <f t="shared" si="20"/>
        <v>9909.57907068954</v>
      </c>
      <c r="S26" s="363">
        <f t="shared" si="20"/>
        <v>8257.98255890795</v>
      </c>
      <c r="T26" s="363">
        <f t="shared" si="20"/>
        <v>7432.18430301715</v>
      </c>
      <c r="U26" s="363">
        <f t="shared" si="20"/>
        <v>12386.9738383619</v>
      </c>
      <c r="V26" s="363">
        <f t="shared" si="20"/>
        <v>17341.7633737067</v>
      </c>
      <c r="W26" s="363">
        <f t="shared" si="20"/>
        <v>9909.57907068954</v>
      </c>
      <c r="X26" s="363">
        <f t="shared" si="20"/>
        <v>8257.98255890795</v>
      </c>
      <c r="Y26" s="363">
        <f t="shared" si="20"/>
        <v>6606.38604712636</v>
      </c>
      <c r="Z26" s="363">
        <f t="shared" si="20"/>
        <v>18167.5616295975</v>
      </c>
    </row>
    <row r="27" s="429" customFormat="1" spans="2:27">
      <c r="B27" s="358" t="s">
        <v>4849</v>
      </c>
      <c r="C27" s="377"/>
      <c r="D27" s="354">
        <f t="shared" si="5"/>
        <v>-4376.76439114291</v>
      </c>
      <c r="E27" s="359">
        <f t="shared" si="6"/>
        <v>-0.000704689418933847</v>
      </c>
      <c r="F27" s="379" t="s">
        <v>4850</v>
      </c>
      <c r="G27" s="355">
        <v>-0.000704689418933847</v>
      </c>
      <c r="H27" s="361">
        <f t="shared" si="12"/>
        <v>-0.000704689418933847</v>
      </c>
      <c r="I27" s="361">
        <f t="shared" si="13"/>
        <v>-0.000704689418933847</v>
      </c>
      <c r="J27" s="361">
        <f t="shared" si="14"/>
        <v>-0.000704689418933847</v>
      </c>
      <c r="K27" s="378" t="s">
        <v>4851</v>
      </c>
      <c r="L27" s="370"/>
      <c r="M27" s="370"/>
      <c r="N27" s="358" t="s">
        <v>4849</v>
      </c>
      <c r="O27" s="363">
        <f t="shared" ref="O27:Z27" si="21">O18*$G$27</f>
        <v>-16.7692122266012</v>
      </c>
      <c r="P27" s="363">
        <f t="shared" si="21"/>
        <v>-100.615273359607</v>
      </c>
      <c r="Q27" s="363">
        <f t="shared" si="21"/>
        <v>-268.307395625619</v>
      </c>
      <c r="R27" s="363">
        <f t="shared" si="21"/>
        <v>-402.461093438428</v>
      </c>
      <c r="S27" s="363">
        <f t="shared" si="21"/>
        <v>-335.384244532024</v>
      </c>
      <c r="T27" s="363">
        <f t="shared" si="21"/>
        <v>-301.845820078821</v>
      </c>
      <c r="U27" s="363">
        <f t="shared" si="21"/>
        <v>-503.076366798035</v>
      </c>
      <c r="V27" s="363">
        <f t="shared" si="21"/>
        <v>-704.30691351725</v>
      </c>
      <c r="W27" s="363">
        <f t="shared" si="21"/>
        <v>-402.461093438428</v>
      </c>
      <c r="X27" s="363">
        <f t="shared" si="21"/>
        <v>-335.384244532024</v>
      </c>
      <c r="Y27" s="363">
        <f t="shared" si="21"/>
        <v>-268.307395625619</v>
      </c>
      <c r="Z27" s="363">
        <f t="shared" si="21"/>
        <v>-737.845337970452</v>
      </c>
    </row>
    <row r="28" s="429" customFormat="1" ht="30" spans="2:27">
      <c r="B28" s="380" t="s">
        <v>4852</v>
      </c>
      <c r="C28" s="346"/>
      <c r="D28" s="347">
        <f t="shared" si="5"/>
        <v>1937925</v>
      </c>
      <c r="E28" s="339">
        <f t="shared" si="6"/>
        <v>0.312019364110839</v>
      </c>
      <c r="F28" s="348" t="s">
        <v>4853</v>
      </c>
      <c r="G28" s="349">
        <f t="shared" ref="G28:J28" si="22">G29+G30</f>
        <v>0.291874151656363</v>
      </c>
      <c r="H28" s="349">
        <f t="shared" si="22"/>
        <v>0.312019364110839</v>
      </c>
      <c r="I28" s="349">
        <f t="shared" si="22"/>
        <v>0.312019364110839</v>
      </c>
      <c r="J28" s="349">
        <f t="shared" si="22"/>
        <v>0.412966805440817</v>
      </c>
      <c r="K28" s="381" t="s">
        <v>4854</v>
      </c>
      <c r="L28" s="357"/>
      <c r="M28" s="357"/>
      <c r="N28" s="380" t="s">
        <v>4852</v>
      </c>
      <c r="O28" s="352">
        <f t="shared" ref="O28:Z28" si="23">SUM(O29:O30)</f>
        <v>7425</v>
      </c>
      <c r="P28" s="352">
        <f t="shared" si="23"/>
        <v>44550</v>
      </c>
      <c r="Q28" s="352">
        <f t="shared" si="23"/>
        <v>118800</v>
      </c>
      <c r="R28" s="352">
        <f t="shared" si="23"/>
        <v>178200</v>
      </c>
      <c r="S28" s="352">
        <f t="shared" si="23"/>
        <v>148500</v>
      </c>
      <c r="T28" s="352">
        <f t="shared" si="23"/>
        <v>133650</v>
      </c>
      <c r="U28" s="352">
        <f t="shared" si="23"/>
        <v>222750</v>
      </c>
      <c r="V28" s="352">
        <f t="shared" si="23"/>
        <v>311850</v>
      </c>
      <c r="W28" s="352">
        <f t="shared" si="23"/>
        <v>178200</v>
      </c>
      <c r="X28" s="352">
        <f t="shared" si="23"/>
        <v>148500</v>
      </c>
      <c r="Y28" s="352">
        <f t="shared" si="23"/>
        <v>118800</v>
      </c>
      <c r="Z28" s="352">
        <f t="shared" si="23"/>
        <v>326700</v>
      </c>
    </row>
    <row r="29" s="429" customFormat="1" spans="2:27">
      <c r="B29" s="358" t="s">
        <v>4855</v>
      </c>
      <c r="C29" s="377"/>
      <c r="D29" s="354">
        <f t="shared" si="5"/>
        <v>1657350</v>
      </c>
      <c r="E29" s="359">
        <f t="shared" si="6"/>
        <v>0.266844843380987</v>
      </c>
      <c r="F29" s="360">
        <v>0.00800253753523574</v>
      </c>
      <c r="G29" s="355">
        <v>0.235146426812361</v>
      </c>
      <c r="H29" s="361">
        <f t="shared" ref="H29:H49" si="24">SUM(R29:T29)/SUM($R$18:$T$18)</f>
        <v>0.266844843380987</v>
      </c>
      <c r="I29" s="361">
        <f>SUM(S29:U29)/SUM($S$18:$U$18)</f>
        <v>0.266844843380987</v>
      </c>
      <c r="J29" s="361">
        <f>SUM(T29:V29)/SUM($S$18:$U$18)</f>
        <v>0.353176998592483</v>
      </c>
      <c r="K29" s="378"/>
      <c r="L29" s="370"/>
      <c r="M29" s="370"/>
      <c r="N29" s="382" t="s">
        <v>4855</v>
      </c>
      <c r="O29" s="371">
        <f t="shared" ref="O29:Z29" si="25">O9*O10</f>
        <v>6350</v>
      </c>
      <c r="P29" s="371">
        <f t="shared" si="25"/>
        <v>38100</v>
      </c>
      <c r="Q29" s="371">
        <f t="shared" si="25"/>
        <v>101600</v>
      </c>
      <c r="R29" s="371">
        <f t="shared" si="25"/>
        <v>152400</v>
      </c>
      <c r="S29" s="371">
        <f t="shared" si="25"/>
        <v>127000</v>
      </c>
      <c r="T29" s="371">
        <f t="shared" si="25"/>
        <v>114300</v>
      </c>
      <c r="U29" s="371">
        <f t="shared" si="25"/>
        <v>190500</v>
      </c>
      <c r="V29" s="371">
        <f t="shared" si="25"/>
        <v>266700</v>
      </c>
      <c r="W29" s="371">
        <f t="shared" si="25"/>
        <v>152400</v>
      </c>
      <c r="X29" s="371">
        <f t="shared" si="25"/>
        <v>127000</v>
      </c>
      <c r="Y29" s="371">
        <f t="shared" si="25"/>
        <v>101600</v>
      </c>
      <c r="Z29" s="371">
        <f t="shared" si="25"/>
        <v>279400</v>
      </c>
    </row>
    <row r="30" s="429" customFormat="1" spans="2:27">
      <c r="B30" s="358" t="s">
        <v>4856</v>
      </c>
      <c r="C30" s="377"/>
      <c r="D30" s="354">
        <f t="shared" si="5"/>
        <v>280575</v>
      </c>
      <c r="E30" s="359">
        <f t="shared" si="6"/>
        <v>0.0451745207298522</v>
      </c>
      <c r="F30" s="360">
        <v>0.00207566621826828</v>
      </c>
      <c r="G30" s="355">
        <v>0.0567277248440016</v>
      </c>
      <c r="H30" s="361">
        <f t="shared" si="24"/>
        <v>0.0451745207298522</v>
      </c>
      <c r="I30" s="361">
        <f>SUM(S30:U30)/SUM($S$18:$U$18)</f>
        <v>0.0451745207298522</v>
      </c>
      <c r="J30" s="361">
        <f>SUM(T30:V30)/SUM($S$18:$U$18)</f>
        <v>0.0597898068483338</v>
      </c>
      <c r="K30" s="378"/>
      <c r="L30" s="370"/>
      <c r="M30" s="370"/>
      <c r="N30" s="382" t="s">
        <v>4856</v>
      </c>
      <c r="O30" s="371">
        <f>5*O10*4.3</f>
        <v>1075</v>
      </c>
      <c r="P30" s="371">
        <f t="shared" ref="P30:Z30" si="26">5*P10*4.3</f>
        <v>6450</v>
      </c>
      <c r="Q30" s="371">
        <f t="shared" si="26"/>
        <v>17200</v>
      </c>
      <c r="R30" s="371">
        <f t="shared" si="26"/>
        <v>25800</v>
      </c>
      <c r="S30" s="371">
        <f t="shared" si="26"/>
        <v>21500</v>
      </c>
      <c r="T30" s="371">
        <f t="shared" si="26"/>
        <v>19350</v>
      </c>
      <c r="U30" s="371">
        <f t="shared" si="26"/>
        <v>32250</v>
      </c>
      <c r="V30" s="371">
        <f t="shared" si="26"/>
        <v>45150</v>
      </c>
      <c r="W30" s="371">
        <f t="shared" si="26"/>
        <v>25800</v>
      </c>
      <c r="X30" s="371">
        <f t="shared" si="26"/>
        <v>21500</v>
      </c>
      <c r="Y30" s="371">
        <f t="shared" si="26"/>
        <v>17200</v>
      </c>
      <c r="Z30" s="371">
        <f t="shared" si="26"/>
        <v>47300</v>
      </c>
      <c r="AA30" s="429" t="s">
        <v>4857</v>
      </c>
    </row>
    <row r="31" s="429" customFormat="1" spans="2:27">
      <c r="B31" s="382" t="s">
        <v>4858</v>
      </c>
      <c r="C31" s="377"/>
      <c r="D31" s="354">
        <f t="shared" si="5"/>
        <v>961058.28103361</v>
      </c>
      <c r="E31" s="339">
        <f t="shared" si="6"/>
        <v>0.1547370479877</v>
      </c>
      <c r="F31" s="360"/>
      <c r="G31" s="355">
        <f t="shared" ref="G31:J31" si="27">G18-G19</f>
        <v>0.0940905772878333</v>
      </c>
      <c r="H31" s="355">
        <f t="shared" si="27"/>
        <v>0.1547370479877</v>
      </c>
      <c r="I31" s="355">
        <f t="shared" si="27"/>
        <v>0.1547370479877</v>
      </c>
      <c r="J31" s="355">
        <f t="shared" si="27"/>
        <v>0.0537896066577224</v>
      </c>
      <c r="K31" s="378"/>
      <c r="L31" s="370"/>
      <c r="M31" s="370"/>
      <c r="N31" s="382" t="s">
        <v>4858</v>
      </c>
      <c r="O31" s="363">
        <f t="shared" ref="O31:Z31" si="28">O18-O19</f>
        <v>3682.2156361441</v>
      </c>
      <c r="P31" s="363">
        <f t="shared" si="28"/>
        <v>22093.2938168646</v>
      </c>
      <c r="Q31" s="363">
        <f t="shared" si="28"/>
        <v>58915.4501783056</v>
      </c>
      <c r="R31" s="363">
        <f t="shared" si="28"/>
        <v>88373.1752674584</v>
      </c>
      <c r="S31" s="363">
        <f t="shared" si="28"/>
        <v>73644.312722882</v>
      </c>
      <c r="T31" s="363">
        <f t="shared" si="28"/>
        <v>66279.8814505938</v>
      </c>
      <c r="U31" s="363">
        <f t="shared" si="28"/>
        <v>110466.469084323</v>
      </c>
      <c r="V31" s="363">
        <f t="shared" si="28"/>
        <v>154653.056718052</v>
      </c>
      <c r="W31" s="363">
        <f t="shared" si="28"/>
        <v>88373.1752674584</v>
      </c>
      <c r="X31" s="363">
        <f t="shared" si="28"/>
        <v>73644.312722882</v>
      </c>
      <c r="Y31" s="363">
        <f t="shared" si="28"/>
        <v>58915.4501783056</v>
      </c>
      <c r="Z31" s="363">
        <f t="shared" si="28"/>
        <v>162017.48799034</v>
      </c>
    </row>
    <row r="32" s="429" customFormat="1" ht="30" spans="2:27">
      <c r="B32" s="353" t="s">
        <v>4859</v>
      </c>
      <c r="C32" s="346"/>
      <c r="D32" s="354">
        <f>SUM(D33:D49)</f>
        <v>167024.139489083</v>
      </c>
      <c r="E32" s="339">
        <f t="shared" si="6"/>
        <v>0.026892044735758</v>
      </c>
      <c r="F32" s="348" t="s">
        <v>4860</v>
      </c>
      <c r="G32" s="383">
        <f>SUM(G33:G49)</f>
        <v>0.026892044735758</v>
      </c>
      <c r="H32" s="384">
        <f t="shared" si="24"/>
        <v>0.026892044735758</v>
      </c>
      <c r="I32" s="384">
        <f t="shared" ref="I32:I49" si="29">SUM(U32:W32)/SUM($U$18:$W$18)</f>
        <v>0.026892044735758</v>
      </c>
      <c r="J32" s="384">
        <f t="shared" ref="J32:J49" si="30">SUM(X32:Z32)/SUM($X$18:$Z$18)</f>
        <v>0.026892044735758</v>
      </c>
      <c r="K32" s="381" t="s">
        <v>4861</v>
      </c>
      <c r="L32" s="357"/>
      <c r="M32" s="357"/>
      <c r="N32" s="353" t="s">
        <v>4862</v>
      </c>
      <c r="O32" s="352">
        <f>SUM(O33:O49)</f>
        <v>639.93923175894</v>
      </c>
      <c r="P32" s="352">
        <f t="shared" ref="P32:Z32" si="31">SUM(P33:P49)</f>
        <v>3839.63539055364</v>
      </c>
      <c r="Q32" s="352">
        <f t="shared" si="31"/>
        <v>10239.027708143</v>
      </c>
      <c r="R32" s="352">
        <f t="shared" si="31"/>
        <v>15358.5415622146</v>
      </c>
      <c r="S32" s="352">
        <f t="shared" si="31"/>
        <v>12798.7846351788</v>
      </c>
      <c r="T32" s="352">
        <f t="shared" si="31"/>
        <v>11518.9061716609</v>
      </c>
      <c r="U32" s="352">
        <f t="shared" si="31"/>
        <v>19198.1769527682</v>
      </c>
      <c r="V32" s="352">
        <f t="shared" si="31"/>
        <v>26877.4477338755</v>
      </c>
      <c r="W32" s="352">
        <f t="shared" si="31"/>
        <v>15358.5415622146</v>
      </c>
      <c r="X32" s="352">
        <f t="shared" si="31"/>
        <v>12798.7846351788</v>
      </c>
      <c r="Y32" s="352">
        <f t="shared" si="31"/>
        <v>10239.027708143</v>
      </c>
      <c r="Z32" s="352">
        <f t="shared" si="31"/>
        <v>28157.3261973933</v>
      </c>
    </row>
    <row r="33" s="429" customFormat="1" ht="33" spans="2:26">
      <c r="B33" s="385" t="s">
        <v>4863</v>
      </c>
      <c r="C33" s="377"/>
      <c r="D33" s="354">
        <f t="shared" ref="D33:D66" si="32">SUM(O33:Z33)</f>
        <v>120463.686973174</v>
      </c>
      <c r="E33" s="359">
        <f t="shared" si="6"/>
        <v>0.0193954889935457</v>
      </c>
      <c r="F33" s="360"/>
      <c r="G33" s="367">
        <v>0.0193954889935457</v>
      </c>
      <c r="H33" s="386">
        <f t="shared" si="24"/>
        <v>0.0193954889935457</v>
      </c>
      <c r="I33" s="386">
        <f t="shared" si="29"/>
        <v>0.0193954889935457</v>
      </c>
      <c r="J33" s="386">
        <f t="shared" si="30"/>
        <v>0.0193954889935457</v>
      </c>
      <c r="K33" s="387" t="s">
        <v>4864</v>
      </c>
      <c r="L33" s="388"/>
      <c r="M33" s="370"/>
      <c r="N33" s="385" t="s">
        <v>4863</v>
      </c>
      <c r="O33" s="363">
        <f t="shared" ref="O33:Z33" si="33">O18*$G$33</f>
        <v>461.54669338381</v>
      </c>
      <c r="P33" s="363">
        <f t="shared" si="33"/>
        <v>2769.28016030286</v>
      </c>
      <c r="Q33" s="363">
        <f t="shared" si="33"/>
        <v>7384.74709414095</v>
      </c>
      <c r="R33" s="363">
        <f t="shared" si="33"/>
        <v>11077.1206412114</v>
      </c>
      <c r="S33" s="363">
        <f t="shared" si="33"/>
        <v>9230.93386767619</v>
      </c>
      <c r="T33" s="363">
        <f t="shared" si="33"/>
        <v>8307.84048090857</v>
      </c>
      <c r="U33" s="363">
        <f t="shared" si="33"/>
        <v>13846.4008015143</v>
      </c>
      <c r="V33" s="363">
        <f t="shared" si="33"/>
        <v>19384.96112212</v>
      </c>
      <c r="W33" s="363">
        <f t="shared" si="33"/>
        <v>11077.1206412114</v>
      </c>
      <c r="X33" s="363">
        <f t="shared" si="33"/>
        <v>9230.93386767619</v>
      </c>
      <c r="Y33" s="363">
        <f t="shared" si="33"/>
        <v>7384.74709414095</v>
      </c>
      <c r="Z33" s="363">
        <f t="shared" si="33"/>
        <v>20308.0545088876</v>
      </c>
    </row>
    <row r="34" s="429" customFormat="1" spans="2:26">
      <c r="B34" s="385" t="s">
        <v>4865</v>
      </c>
      <c r="C34" s="377"/>
      <c r="D34" s="354">
        <f t="shared" si="32"/>
        <v>8804.68729083192</v>
      </c>
      <c r="E34" s="359">
        <f t="shared" si="6"/>
        <v>0.00141761571251734</v>
      </c>
      <c r="F34" s="360">
        <v>0.00408360222843546</v>
      </c>
      <c r="G34" s="355">
        <v>0.00141761571251734</v>
      </c>
      <c r="H34" s="386">
        <f t="shared" si="24"/>
        <v>0.00141761571251734</v>
      </c>
      <c r="I34" s="386">
        <f t="shared" si="29"/>
        <v>0.00141761571251734</v>
      </c>
      <c r="J34" s="386">
        <f t="shared" si="30"/>
        <v>0.00141761571251734</v>
      </c>
      <c r="K34" s="378"/>
      <c r="L34" s="370"/>
      <c r="M34" s="370"/>
      <c r="N34" s="385" t="s">
        <v>4865</v>
      </c>
      <c r="O34" s="363">
        <f t="shared" ref="O34:Z34" si="34">O18*$G$34</f>
        <v>33.7344340644901</v>
      </c>
      <c r="P34" s="363">
        <f t="shared" si="34"/>
        <v>202.406604386941</v>
      </c>
      <c r="Q34" s="363">
        <f t="shared" si="34"/>
        <v>539.750945031842</v>
      </c>
      <c r="R34" s="363">
        <f t="shared" si="34"/>
        <v>809.626417547763</v>
      </c>
      <c r="S34" s="363">
        <f t="shared" si="34"/>
        <v>674.688681289803</v>
      </c>
      <c r="T34" s="363">
        <f t="shared" si="34"/>
        <v>607.219813160822</v>
      </c>
      <c r="U34" s="363">
        <f t="shared" si="34"/>
        <v>1012.0330219347</v>
      </c>
      <c r="V34" s="363">
        <f t="shared" si="34"/>
        <v>1416.84623070859</v>
      </c>
      <c r="W34" s="363">
        <f t="shared" si="34"/>
        <v>809.626417547763</v>
      </c>
      <c r="X34" s="363">
        <f t="shared" si="34"/>
        <v>674.688681289803</v>
      </c>
      <c r="Y34" s="363">
        <f t="shared" si="34"/>
        <v>539.750945031842</v>
      </c>
      <c r="Z34" s="363">
        <f t="shared" si="34"/>
        <v>1484.31509883757</v>
      </c>
    </row>
    <row r="35" s="429" customFormat="1" spans="2:26">
      <c r="B35" s="385" t="s">
        <v>4866</v>
      </c>
      <c r="C35" s="377"/>
      <c r="D35" s="354">
        <f t="shared" si="32"/>
        <v>265.960352703197</v>
      </c>
      <c r="E35" s="359">
        <f t="shared" si="6"/>
        <v>4.28214611654972e-5</v>
      </c>
      <c r="F35" s="360"/>
      <c r="G35" s="355">
        <v>4.28214611654972e-5</v>
      </c>
      <c r="H35" s="386">
        <f t="shared" si="24"/>
        <v>4.28214611654972e-5</v>
      </c>
      <c r="I35" s="386">
        <f t="shared" si="29"/>
        <v>4.28214611654972e-5</v>
      </c>
      <c r="J35" s="386">
        <f t="shared" si="30"/>
        <v>4.28214611654972e-5</v>
      </c>
      <c r="K35" s="378"/>
      <c r="L35" s="370"/>
      <c r="M35" s="370"/>
      <c r="N35" s="385" t="s">
        <v>4866</v>
      </c>
      <c r="O35" s="363">
        <f t="shared" ref="O35:Z35" si="35">O18*$G$35</f>
        <v>1.01900518277087</v>
      </c>
      <c r="P35" s="363">
        <f t="shared" si="35"/>
        <v>6.11403109662522</v>
      </c>
      <c r="Q35" s="363">
        <f t="shared" si="35"/>
        <v>16.3040829243339</v>
      </c>
      <c r="R35" s="363">
        <f t="shared" si="35"/>
        <v>24.4561243865009</v>
      </c>
      <c r="S35" s="363">
        <f t="shared" si="35"/>
        <v>20.3801036554174</v>
      </c>
      <c r="T35" s="363">
        <f t="shared" si="35"/>
        <v>18.3420932898757</v>
      </c>
      <c r="U35" s="363">
        <f t="shared" si="35"/>
        <v>30.5701554831261</v>
      </c>
      <c r="V35" s="363">
        <f t="shared" si="35"/>
        <v>42.7982176763766</v>
      </c>
      <c r="W35" s="363">
        <f t="shared" si="35"/>
        <v>24.4561243865009</v>
      </c>
      <c r="X35" s="363">
        <f t="shared" si="35"/>
        <v>20.3801036554174</v>
      </c>
      <c r="Y35" s="363">
        <f t="shared" si="35"/>
        <v>16.3040829243339</v>
      </c>
      <c r="Z35" s="363">
        <f t="shared" si="35"/>
        <v>44.8362280419183</v>
      </c>
    </row>
    <row r="36" s="429" customFormat="1" spans="2:26">
      <c r="B36" s="385" t="s">
        <v>4867</v>
      </c>
      <c r="C36" s="377"/>
      <c r="D36" s="354">
        <f t="shared" si="32"/>
        <v>4481.35468156641</v>
      </c>
      <c r="E36" s="359">
        <f t="shared" si="6"/>
        <v>0.000721529181004159</v>
      </c>
      <c r="F36" s="360"/>
      <c r="G36" s="355">
        <v>0.000721529181004159</v>
      </c>
      <c r="H36" s="386">
        <f t="shared" si="24"/>
        <v>0.000721529181004159</v>
      </c>
      <c r="I36" s="386">
        <f t="shared" si="29"/>
        <v>0.000721529181004159</v>
      </c>
      <c r="J36" s="386">
        <f t="shared" si="30"/>
        <v>0.000721529181004159</v>
      </c>
      <c r="K36" s="378" t="s">
        <v>4868</v>
      </c>
      <c r="L36" s="370"/>
      <c r="M36" s="370"/>
      <c r="N36" s="385" t="s">
        <v>4867</v>
      </c>
      <c r="O36" s="363">
        <f t="shared" ref="O36:Z36" si="36">O18*$G$36</f>
        <v>17.1699413086836</v>
      </c>
      <c r="P36" s="363">
        <f t="shared" si="36"/>
        <v>103.019647852101</v>
      </c>
      <c r="Q36" s="363">
        <f t="shared" si="36"/>
        <v>274.719060938937</v>
      </c>
      <c r="R36" s="363">
        <f t="shared" si="36"/>
        <v>412.078591408406</v>
      </c>
      <c r="S36" s="363">
        <f t="shared" si="36"/>
        <v>343.398826173671</v>
      </c>
      <c r="T36" s="363">
        <f t="shared" si="36"/>
        <v>309.058943556304</v>
      </c>
      <c r="U36" s="363">
        <f t="shared" si="36"/>
        <v>515.098239260507</v>
      </c>
      <c r="V36" s="363">
        <f t="shared" si="36"/>
        <v>721.13753496471</v>
      </c>
      <c r="W36" s="363">
        <f t="shared" si="36"/>
        <v>412.078591408406</v>
      </c>
      <c r="X36" s="363">
        <f t="shared" si="36"/>
        <v>343.398826173671</v>
      </c>
      <c r="Y36" s="363">
        <f t="shared" si="36"/>
        <v>274.719060938937</v>
      </c>
      <c r="Z36" s="363">
        <f t="shared" si="36"/>
        <v>755.477417582077</v>
      </c>
    </row>
    <row r="37" s="429" customFormat="1" spans="2:26">
      <c r="B37" s="385" t="s">
        <v>4869</v>
      </c>
      <c r="C37" s="377"/>
      <c r="D37" s="354">
        <f t="shared" si="32"/>
        <v>354.613803604263</v>
      </c>
      <c r="E37" s="359">
        <f t="shared" si="6"/>
        <v>5.70952815539963e-5</v>
      </c>
      <c r="F37" s="360">
        <v>0.00749896664625493</v>
      </c>
      <c r="G37" s="355">
        <v>5.70952815539963e-5</v>
      </c>
      <c r="H37" s="386">
        <f t="shared" si="24"/>
        <v>5.70952815539963e-5</v>
      </c>
      <c r="I37" s="386">
        <f t="shared" si="29"/>
        <v>5.70952815539963e-5</v>
      </c>
      <c r="J37" s="386">
        <f t="shared" si="30"/>
        <v>5.70952815539963e-5</v>
      </c>
      <c r="K37" s="387"/>
      <c r="L37" s="388"/>
      <c r="M37" s="370"/>
      <c r="N37" s="385" t="s">
        <v>4869</v>
      </c>
      <c r="O37" s="363">
        <f>O18*$G$37</f>
        <v>1.35867357702783</v>
      </c>
      <c r="P37" s="363">
        <f t="shared" ref="P37:Z37" si="37">P$18*$G37</f>
        <v>8.15204146216697</v>
      </c>
      <c r="Q37" s="363">
        <f t="shared" si="37"/>
        <v>21.7387772324453</v>
      </c>
      <c r="R37" s="363">
        <f t="shared" si="37"/>
        <v>32.6081658486679</v>
      </c>
      <c r="S37" s="363">
        <f t="shared" si="37"/>
        <v>27.1734715405566</v>
      </c>
      <c r="T37" s="363">
        <f t="shared" si="37"/>
        <v>24.4561243865009</v>
      </c>
      <c r="U37" s="363">
        <f t="shared" si="37"/>
        <v>40.7602073108348</v>
      </c>
      <c r="V37" s="363">
        <f t="shared" si="37"/>
        <v>57.0642902351688</v>
      </c>
      <c r="W37" s="363">
        <f t="shared" si="37"/>
        <v>32.6081658486679</v>
      </c>
      <c r="X37" s="363">
        <f t="shared" si="37"/>
        <v>27.1734715405566</v>
      </c>
      <c r="Y37" s="363">
        <f t="shared" si="37"/>
        <v>21.7387772324453</v>
      </c>
      <c r="Z37" s="363">
        <f t="shared" si="37"/>
        <v>59.7816373892244</v>
      </c>
    </row>
    <row r="38" s="429" customFormat="1" spans="2:26">
      <c r="B38" s="385" t="s">
        <v>4870</v>
      </c>
      <c r="C38" s="377"/>
      <c r="D38" s="354">
        <f t="shared" si="32"/>
        <v>1371.91215269399</v>
      </c>
      <c r="E38" s="359">
        <f t="shared" si="6"/>
        <v>0.000220887370512023</v>
      </c>
      <c r="F38" s="360">
        <v>0.00232881930648565</v>
      </c>
      <c r="G38" s="355">
        <v>0.000220887370512023</v>
      </c>
      <c r="H38" s="386">
        <f t="shared" si="24"/>
        <v>0.000220887370512023</v>
      </c>
      <c r="I38" s="386">
        <f t="shared" si="29"/>
        <v>0.000220887370512023</v>
      </c>
      <c r="J38" s="386">
        <f t="shared" si="30"/>
        <v>0.000220887370512023</v>
      </c>
      <c r="K38" s="387"/>
      <c r="L38" s="388"/>
      <c r="M38" s="370"/>
      <c r="N38" s="385" t="s">
        <v>4870</v>
      </c>
      <c r="O38" s="363">
        <f t="shared" ref="O38:Z38" si="38">O18*$G$38</f>
        <v>5.25636840112641</v>
      </c>
      <c r="P38" s="363">
        <f t="shared" si="38"/>
        <v>31.5382104067584</v>
      </c>
      <c r="Q38" s="363">
        <f t="shared" si="38"/>
        <v>84.1018944180225</v>
      </c>
      <c r="R38" s="363">
        <f t="shared" si="38"/>
        <v>126.152841627034</v>
      </c>
      <c r="S38" s="363">
        <f t="shared" si="38"/>
        <v>105.127368022528</v>
      </c>
      <c r="T38" s="363">
        <f t="shared" si="38"/>
        <v>94.6146312202753</v>
      </c>
      <c r="U38" s="363">
        <f t="shared" si="38"/>
        <v>157.691052033792</v>
      </c>
      <c r="V38" s="363">
        <f t="shared" si="38"/>
        <v>220.767472847309</v>
      </c>
      <c r="W38" s="363">
        <f t="shared" si="38"/>
        <v>126.152841627034</v>
      </c>
      <c r="X38" s="363">
        <f t="shared" si="38"/>
        <v>105.127368022528</v>
      </c>
      <c r="Y38" s="363">
        <f t="shared" si="38"/>
        <v>84.1018944180225</v>
      </c>
      <c r="Z38" s="363">
        <f t="shared" si="38"/>
        <v>231.280209649562</v>
      </c>
    </row>
    <row r="39" s="429" customFormat="1" spans="2:26">
      <c r="B39" s="385" t="s">
        <v>4871</v>
      </c>
      <c r="C39" s="346"/>
      <c r="D39" s="354">
        <f t="shared" si="32"/>
        <v>265.960352703197</v>
      </c>
      <c r="E39" s="359">
        <f t="shared" si="6"/>
        <v>4.28214611654972e-5</v>
      </c>
      <c r="F39" s="360">
        <v>0</v>
      </c>
      <c r="G39" s="355">
        <v>4.28214611654972e-5</v>
      </c>
      <c r="H39" s="386">
        <f t="shared" si="24"/>
        <v>4.28214611654972e-5</v>
      </c>
      <c r="I39" s="386">
        <f t="shared" si="29"/>
        <v>4.28214611654972e-5</v>
      </c>
      <c r="J39" s="386">
        <f t="shared" si="30"/>
        <v>4.28214611654972e-5</v>
      </c>
      <c r="K39" s="356"/>
      <c r="L39" s="357"/>
      <c r="M39" s="357"/>
      <c r="N39" s="385" t="s">
        <v>4871</v>
      </c>
      <c r="O39" s="363">
        <f>$O$18*G39</f>
        <v>1.01900518277087</v>
      </c>
      <c r="P39" s="363">
        <f t="shared" ref="P39:Z39" si="39">P$18*$G39</f>
        <v>6.11403109662522</v>
      </c>
      <c r="Q39" s="363">
        <f t="shared" si="39"/>
        <v>16.3040829243339</v>
      </c>
      <c r="R39" s="363">
        <f t="shared" si="39"/>
        <v>24.4561243865009</v>
      </c>
      <c r="S39" s="363">
        <f t="shared" si="39"/>
        <v>20.3801036554174</v>
      </c>
      <c r="T39" s="363">
        <f t="shared" si="39"/>
        <v>18.3420932898757</v>
      </c>
      <c r="U39" s="363">
        <f t="shared" si="39"/>
        <v>30.5701554831261</v>
      </c>
      <c r="V39" s="363">
        <f t="shared" si="39"/>
        <v>42.7982176763766</v>
      </c>
      <c r="W39" s="363">
        <f t="shared" si="39"/>
        <v>24.4561243865009</v>
      </c>
      <c r="X39" s="363">
        <f t="shared" si="39"/>
        <v>20.3801036554174</v>
      </c>
      <c r="Y39" s="363">
        <f t="shared" si="39"/>
        <v>16.3040829243339</v>
      </c>
      <c r="Z39" s="363">
        <f t="shared" si="39"/>
        <v>44.8362280419183</v>
      </c>
    </row>
    <row r="40" s="429" customFormat="1" spans="2:26">
      <c r="B40" s="385" t="s">
        <v>4872</v>
      </c>
      <c r="C40" s="346"/>
      <c r="D40" s="354">
        <f t="shared" si="32"/>
        <v>2792.58370338357</v>
      </c>
      <c r="E40" s="359">
        <f t="shared" si="6"/>
        <v>0.000449625342237721</v>
      </c>
      <c r="F40" s="360"/>
      <c r="G40" s="355">
        <v>0.000449625342237721</v>
      </c>
      <c r="H40" s="386">
        <f t="shared" si="24"/>
        <v>0.000449625342237721</v>
      </c>
      <c r="I40" s="386">
        <f t="shared" si="29"/>
        <v>0.000449625342237721</v>
      </c>
      <c r="J40" s="386">
        <f t="shared" si="30"/>
        <v>0.000449625342237721</v>
      </c>
      <c r="K40" s="356"/>
      <c r="L40" s="357"/>
      <c r="M40" s="357"/>
      <c r="N40" s="385" t="s">
        <v>4872</v>
      </c>
      <c r="O40" s="389">
        <f t="shared" ref="O40:Z40" si="40">O18*$G$40</f>
        <v>10.6995544190942</v>
      </c>
      <c r="P40" s="389">
        <f t="shared" si="40"/>
        <v>64.1973265145649</v>
      </c>
      <c r="Q40" s="389">
        <f t="shared" si="40"/>
        <v>171.192870705506</v>
      </c>
      <c r="R40" s="389">
        <f t="shared" si="40"/>
        <v>256.78930605826</v>
      </c>
      <c r="S40" s="389">
        <f t="shared" si="40"/>
        <v>213.991088381883</v>
      </c>
      <c r="T40" s="389">
        <f t="shared" si="40"/>
        <v>192.591979543695</v>
      </c>
      <c r="U40" s="389">
        <f t="shared" si="40"/>
        <v>320.986632572824</v>
      </c>
      <c r="V40" s="389">
        <f t="shared" si="40"/>
        <v>449.381285601954</v>
      </c>
      <c r="W40" s="389">
        <f t="shared" si="40"/>
        <v>256.78930605826</v>
      </c>
      <c r="X40" s="389">
        <f t="shared" si="40"/>
        <v>213.991088381883</v>
      </c>
      <c r="Y40" s="389">
        <f t="shared" si="40"/>
        <v>171.192870705506</v>
      </c>
      <c r="Z40" s="389">
        <f t="shared" si="40"/>
        <v>470.780394440143</v>
      </c>
    </row>
    <row r="41" s="429" customFormat="1" spans="2:26">
      <c r="B41" s="385" t="s">
        <v>4873</v>
      </c>
      <c r="C41" s="377"/>
      <c r="D41" s="354">
        <f t="shared" si="32"/>
        <v>0</v>
      </c>
      <c r="E41" s="359">
        <f t="shared" si="6"/>
        <v>0</v>
      </c>
      <c r="F41" s="360">
        <v>0.00110384180762023</v>
      </c>
      <c r="G41" s="367">
        <v>0</v>
      </c>
      <c r="H41" s="386">
        <f t="shared" si="24"/>
        <v>0</v>
      </c>
      <c r="I41" s="386">
        <f t="shared" si="29"/>
        <v>0</v>
      </c>
      <c r="J41" s="386">
        <f t="shared" si="30"/>
        <v>0</v>
      </c>
      <c r="K41" s="378" t="s">
        <v>4874</v>
      </c>
      <c r="L41" s="370"/>
      <c r="M41" s="370"/>
      <c r="N41" s="385" t="s">
        <v>4873</v>
      </c>
      <c r="O41" s="390">
        <f t="shared" ref="O41:Z41" si="41">O18*$G$41</f>
        <v>0</v>
      </c>
      <c r="P41" s="390">
        <f t="shared" si="41"/>
        <v>0</v>
      </c>
      <c r="Q41" s="390">
        <f t="shared" si="41"/>
        <v>0</v>
      </c>
      <c r="R41" s="390">
        <f t="shared" si="41"/>
        <v>0</v>
      </c>
      <c r="S41" s="390">
        <f t="shared" si="41"/>
        <v>0</v>
      </c>
      <c r="T41" s="390">
        <f t="shared" si="41"/>
        <v>0</v>
      </c>
      <c r="U41" s="390">
        <f t="shared" si="41"/>
        <v>0</v>
      </c>
      <c r="V41" s="390">
        <f t="shared" si="41"/>
        <v>0</v>
      </c>
      <c r="W41" s="390">
        <f t="shared" si="41"/>
        <v>0</v>
      </c>
      <c r="X41" s="390">
        <f t="shared" si="41"/>
        <v>0</v>
      </c>
      <c r="Y41" s="390">
        <f t="shared" si="41"/>
        <v>0</v>
      </c>
      <c r="Z41" s="390">
        <f t="shared" si="41"/>
        <v>0</v>
      </c>
    </row>
    <row r="42" s="429" customFormat="1" spans="2:26">
      <c r="B42" s="385" t="s">
        <v>4875</v>
      </c>
      <c r="C42" s="377"/>
      <c r="D42" s="354">
        <f t="shared" si="32"/>
        <v>159.576211621918</v>
      </c>
      <c r="E42" s="359">
        <f t="shared" si="6"/>
        <v>2.56928766992983e-5</v>
      </c>
      <c r="F42" s="360">
        <v>0.0119634201987296</v>
      </c>
      <c r="G42" s="367">
        <v>2.56928766992983e-5</v>
      </c>
      <c r="H42" s="386">
        <f t="shared" si="24"/>
        <v>2.56928766992983e-5</v>
      </c>
      <c r="I42" s="386">
        <f t="shared" si="29"/>
        <v>2.56928766992983e-5</v>
      </c>
      <c r="J42" s="386">
        <f t="shared" si="30"/>
        <v>2.56928766992983e-5</v>
      </c>
      <c r="K42" s="378" t="s">
        <v>4874</v>
      </c>
      <c r="L42" s="370"/>
      <c r="M42" s="370"/>
      <c r="N42" s="385" t="s">
        <v>4875</v>
      </c>
      <c r="O42" s="389">
        <f t="shared" ref="O42:Z42" si="42">O18*$G$42</f>
        <v>0.611403109662522</v>
      </c>
      <c r="P42" s="389">
        <f t="shared" si="42"/>
        <v>3.66841865797513</v>
      </c>
      <c r="Q42" s="389">
        <f t="shared" si="42"/>
        <v>9.78244975460035</v>
      </c>
      <c r="R42" s="389">
        <f t="shared" si="42"/>
        <v>14.6736746319005</v>
      </c>
      <c r="S42" s="389">
        <f t="shared" si="42"/>
        <v>12.2280621932504</v>
      </c>
      <c r="T42" s="389">
        <f t="shared" si="42"/>
        <v>11.0052559739254</v>
      </c>
      <c r="U42" s="389">
        <f t="shared" si="42"/>
        <v>18.3420932898757</v>
      </c>
      <c r="V42" s="389">
        <f t="shared" si="42"/>
        <v>25.6789306058259</v>
      </c>
      <c r="W42" s="389">
        <f t="shared" si="42"/>
        <v>14.6736746319005</v>
      </c>
      <c r="X42" s="389">
        <f t="shared" si="42"/>
        <v>12.2280621932504</v>
      </c>
      <c r="Y42" s="389">
        <f t="shared" si="42"/>
        <v>9.78244975460035</v>
      </c>
      <c r="Z42" s="389">
        <f t="shared" si="42"/>
        <v>26.901736825151</v>
      </c>
    </row>
    <row r="43" s="429" customFormat="1" spans="2:26">
      <c r="B43" s="385" t="s">
        <v>4876</v>
      </c>
      <c r="C43" s="346"/>
      <c r="D43" s="354">
        <f t="shared" si="32"/>
        <v>282.715854923499</v>
      </c>
      <c r="E43" s="359">
        <f t="shared" si="6"/>
        <v>4.55192132189235e-5</v>
      </c>
      <c r="F43" s="360"/>
      <c r="G43" s="355">
        <v>4.55192132189235e-5</v>
      </c>
      <c r="H43" s="386">
        <f t="shared" si="24"/>
        <v>4.55192132189235e-5</v>
      </c>
      <c r="I43" s="386">
        <f t="shared" si="29"/>
        <v>4.55192132189235e-5</v>
      </c>
      <c r="J43" s="386">
        <f t="shared" si="30"/>
        <v>4.55192132189235e-5</v>
      </c>
      <c r="K43" s="356"/>
      <c r="L43" s="357"/>
      <c r="M43" s="357"/>
      <c r="N43" s="385" t="s">
        <v>4876</v>
      </c>
      <c r="O43" s="389">
        <f>O18*$G$43</f>
        <v>1.08320250928543</v>
      </c>
      <c r="P43" s="389">
        <f t="shared" ref="P43:P49" si="43">$P$18*G43</f>
        <v>6.49921505571261</v>
      </c>
      <c r="Q43" s="389">
        <f t="shared" ref="Q43:Q49" si="44">$Q$18*G43</f>
        <v>17.331240148567</v>
      </c>
      <c r="R43" s="389">
        <f t="shared" ref="R43:R49" si="45">$R$18*G43</f>
        <v>25.9968602228504</v>
      </c>
      <c r="S43" s="389">
        <f t="shared" ref="S43:S49" si="46">$S$18*G43</f>
        <v>21.6640501857087</v>
      </c>
      <c r="T43" s="389">
        <f t="shared" ref="T43:T49" si="47">$T$18*G43</f>
        <v>19.4976451671378</v>
      </c>
      <c r="U43" s="391">
        <f t="shared" ref="U43:U49" si="48">$U$18*G43</f>
        <v>32.496075278563</v>
      </c>
      <c r="V43" s="389">
        <f t="shared" ref="V43:V49" si="49">$V$18*G43</f>
        <v>45.4945053899883</v>
      </c>
      <c r="W43" s="389">
        <f t="shared" ref="W43:W49" si="50">$W$18*G43</f>
        <v>25.9968602228504</v>
      </c>
      <c r="X43" s="389">
        <f t="shared" ref="X43:X49" si="51">$X$18*G43</f>
        <v>21.6640501857087</v>
      </c>
      <c r="Y43" s="389">
        <f t="shared" ref="Y43:Y49" si="52">$Y$18*G43</f>
        <v>17.331240148567</v>
      </c>
      <c r="Z43" s="389">
        <f t="shared" ref="Z43:Z49" si="53">$Z$18*G43</f>
        <v>47.6609104085591</v>
      </c>
    </row>
    <row r="44" s="429" customFormat="1" spans="2:26">
      <c r="B44" s="385" t="s">
        <v>4877</v>
      </c>
      <c r="C44" s="392"/>
      <c r="D44" s="354">
        <f t="shared" si="32"/>
        <v>1662.25220439498</v>
      </c>
      <c r="E44" s="359">
        <f t="shared" si="6"/>
        <v>0.000267634132284357</v>
      </c>
      <c r="F44" s="360">
        <v>0</v>
      </c>
      <c r="G44" s="355">
        <v>0.000267634132284357</v>
      </c>
      <c r="H44" s="386">
        <f t="shared" si="24"/>
        <v>0.000267634132284357</v>
      </c>
      <c r="I44" s="386">
        <f t="shared" si="29"/>
        <v>0.000267634132284357</v>
      </c>
      <c r="J44" s="386">
        <f t="shared" si="30"/>
        <v>0.000267634132284357</v>
      </c>
      <c r="K44" s="378"/>
      <c r="L44" s="370"/>
      <c r="M44" s="370"/>
      <c r="N44" s="385" t="s">
        <v>4877</v>
      </c>
      <c r="O44" s="389">
        <f t="shared" ref="O44:O49" si="54">$O$18*G44</f>
        <v>6.36878239231793</v>
      </c>
      <c r="P44" s="389">
        <f t="shared" si="43"/>
        <v>38.2126943539076</v>
      </c>
      <c r="Q44" s="389">
        <f t="shared" si="44"/>
        <v>101.900518277087</v>
      </c>
      <c r="R44" s="389">
        <f t="shared" si="45"/>
        <v>152.85077741563</v>
      </c>
      <c r="S44" s="389">
        <f t="shared" si="46"/>
        <v>127.375647846359</v>
      </c>
      <c r="T44" s="389">
        <f t="shared" si="47"/>
        <v>114.638083061723</v>
      </c>
      <c r="U44" s="391">
        <f t="shared" si="48"/>
        <v>191.063471769538</v>
      </c>
      <c r="V44" s="389">
        <f t="shared" si="49"/>
        <v>267.488860477353</v>
      </c>
      <c r="W44" s="389">
        <f t="shared" si="50"/>
        <v>152.85077741563</v>
      </c>
      <c r="X44" s="389">
        <f t="shared" si="51"/>
        <v>127.375647846359</v>
      </c>
      <c r="Y44" s="389">
        <f t="shared" si="52"/>
        <v>101.900518277087</v>
      </c>
      <c r="Z44" s="389">
        <f t="shared" si="53"/>
        <v>280.226425261989</v>
      </c>
    </row>
    <row r="45" s="429" customFormat="1" spans="2:26">
      <c r="B45" s="385" t="s">
        <v>4878</v>
      </c>
      <c r="C45" s="377"/>
      <c r="D45" s="354">
        <f t="shared" si="32"/>
        <v>18062.2540865831</v>
      </c>
      <c r="E45" s="359">
        <f t="shared" si="6"/>
        <v>0.0029081481659528</v>
      </c>
      <c r="F45" s="360">
        <v>0</v>
      </c>
      <c r="G45" s="355">
        <v>0.0029081481659528</v>
      </c>
      <c r="H45" s="386">
        <f t="shared" si="24"/>
        <v>0.0029081481659528</v>
      </c>
      <c r="I45" s="386">
        <f t="shared" si="29"/>
        <v>0.0029081481659528</v>
      </c>
      <c r="J45" s="386">
        <f t="shared" si="30"/>
        <v>0.0029081481659528</v>
      </c>
      <c r="K45" s="378"/>
      <c r="L45" s="370"/>
      <c r="M45" s="370"/>
      <c r="N45" s="385" t="s">
        <v>4878</v>
      </c>
      <c r="O45" s="389">
        <f t="shared" si="54"/>
        <v>69.2040386459124</v>
      </c>
      <c r="P45" s="389">
        <f t="shared" si="43"/>
        <v>415.224231875474</v>
      </c>
      <c r="Q45" s="389">
        <f t="shared" si="44"/>
        <v>1107.2646183346</v>
      </c>
      <c r="R45" s="389">
        <f t="shared" si="45"/>
        <v>1660.8969275019</v>
      </c>
      <c r="S45" s="389">
        <f t="shared" si="46"/>
        <v>1384.08077291825</v>
      </c>
      <c r="T45" s="389">
        <f t="shared" si="47"/>
        <v>1245.67269562642</v>
      </c>
      <c r="U45" s="391">
        <f t="shared" si="48"/>
        <v>2076.12115937737</v>
      </c>
      <c r="V45" s="389">
        <f t="shared" si="49"/>
        <v>2906.56962312832</v>
      </c>
      <c r="W45" s="389">
        <f t="shared" si="50"/>
        <v>1660.8969275019</v>
      </c>
      <c r="X45" s="389">
        <f t="shared" si="51"/>
        <v>1384.08077291825</v>
      </c>
      <c r="Y45" s="389">
        <f t="shared" si="52"/>
        <v>1107.2646183346</v>
      </c>
      <c r="Z45" s="389">
        <f t="shared" si="53"/>
        <v>3044.97770042015</v>
      </c>
    </row>
    <row r="46" s="429" customFormat="1" spans="2:26">
      <c r="B46" s="385" t="s">
        <v>4879</v>
      </c>
      <c r="C46" s="392"/>
      <c r="D46" s="354">
        <f t="shared" si="32"/>
        <v>4075.39913792199</v>
      </c>
      <c r="E46" s="359">
        <f t="shared" si="6"/>
        <v>0.000656167523259302</v>
      </c>
      <c r="F46" s="360">
        <v>0</v>
      </c>
      <c r="G46" s="355">
        <v>0.000656167523259302</v>
      </c>
      <c r="H46" s="386">
        <f t="shared" si="24"/>
        <v>0.000656167523259302</v>
      </c>
      <c r="I46" s="386">
        <f t="shared" si="29"/>
        <v>0.000656167523259302</v>
      </c>
      <c r="J46" s="386">
        <f t="shared" si="30"/>
        <v>0.000656167523259302</v>
      </c>
      <c r="K46" s="378"/>
      <c r="L46" s="370"/>
      <c r="M46" s="370"/>
      <c r="N46" s="385" t="s">
        <v>4879</v>
      </c>
      <c r="O46" s="389">
        <f t="shared" si="54"/>
        <v>15.6145560839923</v>
      </c>
      <c r="P46" s="389">
        <f t="shared" si="43"/>
        <v>93.6873365039538</v>
      </c>
      <c r="Q46" s="389">
        <f t="shared" si="44"/>
        <v>249.832897343877</v>
      </c>
      <c r="R46" s="389">
        <f t="shared" si="45"/>
        <v>374.749346015815</v>
      </c>
      <c r="S46" s="389">
        <f t="shared" si="46"/>
        <v>312.291121679846</v>
      </c>
      <c r="T46" s="389">
        <f t="shared" si="47"/>
        <v>281.062009511862</v>
      </c>
      <c r="U46" s="391">
        <f t="shared" si="48"/>
        <v>468.436682519769</v>
      </c>
      <c r="V46" s="389">
        <f t="shared" si="49"/>
        <v>655.811355527677</v>
      </c>
      <c r="W46" s="389">
        <f t="shared" si="50"/>
        <v>374.749346015815</v>
      </c>
      <c r="X46" s="389">
        <f t="shared" si="51"/>
        <v>312.291121679846</v>
      </c>
      <c r="Y46" s="389">
        <f t="shared" si="52"/>
        <v>249.832897343877</v>
      </c>
      <c r="Z46" s="389">
        <f t="shared" si="53"/>
        <v>687.040467695661</v>
      </c>
    </row>
    <row r="47" s="429" customFormat="1" spans="2:26">
      <c r="B47" s="385" t="s">
        <v>4880</v>
      </c>
      <c r="C47" s="392"/>
      <c r="D47" s="354">
        <f t="shared" si="32"/>
        <v>3334.0124913991</v>
      </c>
      <c r="E47" s="359">
        <f t="shared" si="6"/>
        <v>0.000536799131805381</v>
      </c>
      <c r="F47" s="360">
        <v>0</v>
      </c>
      <c r="G47" s="355">
        <v>0.000536799131805381</v>
      </c>
      <c r="H47" s="386">
        <f t="shared" si="24"/>
        <v>0.000536799131805381</v>
      </c>
      <c r="I47" s="386">
        <f t="shared" si="29"/>
        <v>0.000536799131805381</v>
      </c>
      <c r="J47" s="386">
        <f t="shared" si="30"/>
        <v>0.000536799131805381</v>
      </c>
      <c r="K47" s="378"/>
      <c r="L47" s="370"/>
      <c r="M47" s="370"/>
      <c r="N47" s="385" t="s">
        <v>4880</v>
      </c>
      <c r="O47" s="389">
        <f t="shared" si="54"/>
        <v>12.7739942199199</v>
      </c>
      <c r="P47" s="389">
        <f t="shared" si="43"/>
        <v>76.6439653195196</v>
      </c>
      <c r="Q47" s="389">
        <f t="shared" si="44"/>
        <v>204.383907518719</v>
      </c>
      <c r="R47" s="389">
        <f t="shared" si="45"/>
        <v>306.575861278078</v>
      </c>
      <c r="S47" s="389">
        <f t="shared" si="46"/>
        <v>255.479884398399</v>
      </c>
      <c r="T47" s="389">
        <f t="shared" si="47"/>
        <v>229.931895958559</v>
      </c>
      <c r="U47" s="391">
        <f t="shared" si="48"/>
        <v>383.219826597598</v>
      </c>
      <c r="V47" s="389">
        <f t="shared" si="49"/>
        <v>536.507757236637</v>
      </c>
      <c r="W47" s="389">
        <f t="shared" si="50"/>
        <v>306.575861278078</v>
      </c>
      <c r="X47" s="389">
        <f t="shared" si="51"/>
        <v>255.479884398399</v>
      </c>
      <c r="Y47" s="389">
        <f t="shared" si="52"/>
        <v>204.383907518719</v>
      </c>
      <c r="Z47" s="389">
        <f t="shared" si="53"/>
        <v>562.055745676477</v>
      </c>
    </row>
    <row r="48" s="429" customFormat="1" spans="2:26">
      <c r="B48" s="385" t="s">
        <v>4881</v>
      </c>
      <c r="C48" s="377"/>
      <c r="D48" s="354">
        <f t="shared" si="32"/>
        <v>425.536564325115</v>
      </c>
      <c r="E48" s="359">
        <f t="shared" si="6"/>
        <v>6.85143378647955e-5</v>
      </c>
      <c r="F48" s="360"/>
      <c r="G48" s="355">
        <v>6.85143378647955e-5</v>
      </c>
      <c r="H48" s="386">
        <f t="shared" si="24"/>
        <v>6.85143378647955e-5</v>
      </c>
      <c r="I48" s="386">
        <f t="shared" si="29"/>
        <v>6.85143378647955e-5</v>
      </c>
      <c r="J48" s="386">
        <f t="shared" si="30"/>
        <v>6.85143378647955e-5</v>
      </c>
      <c r="K48" s="378"/>
      <c r="L48" s="370"/>
      <c r="M48" s="370"/>
      <c r="N48" s="385" t="s">
        <v>4881</v>
      </c>
      <c r="O48" s="389">
        <f t="shared" si="54"/>
        <v>1.63040829243339</v>
      </c>
      <c r="P48" s="389">
        <f t="shared" si="43"/>
        <v>9.78244975460035</v>
      </c>
      <c r="Q48" s="389">
        <f t="shared" si="44"/>
        <v>26.0865326789343</v>
      </c>
      <c r="R48" s="389">
        <f t="shared" si="45"/>
        <v>39.1297990184014</v>
      </c>
      <c r="S48" s="389">
        <f t="shared" si="46"/>
        <v>32.6081658486678</v>
      </c>
      <c r="T48" s="389">
        <f t="shared" si="47"/>
        <v>29.3473492638011</v>
      </c>
      <c r="U48" s="391">
        <f t="shared" si="48"/>
        <v>48.9122487730018</v>
      </c>
      <c r="V48" s="389">
        <f t="shared" si="49"/>
        <v>68.4771482822025</v>
      </c>
      <c r="W48" s="389">
        <f t="shared" si="50"/>
        <v>39.1297990184014</v>
      </c>
      <c r="X48" s="389">
        <f t="shared" si="51"/>
        <v>32.6081658486678</v>
      </c>
      <c r="Y48" s="389">
        <f t="shared" si="52"/>
        <v>26.0865326789343</v>
      </c>
      <c r="Z48" s="389">
        <f t="shared" si="53"/>
        <v>71.7379648670693</v>
      </c>
    </row>
    <row r="49" s="429" customFormat="1" spans="2:26">
      <c r="B49" s="385" t="s">
        <v>4882</v>
      </c>
      <c r="C49" s="377"/>
      <c r="D49" s="354">
        <f t="shared" si="32"/>
        <v>221.633627252665</v>
      </c>
      <c r="E49" s="359">
        <f t="shared" si="6"/>
        <v>3.56845509712477e-5</v>
      </c>
      <c r="F49" s="360">
        <v>0.0390524595705994</v>
      </c>
      <c r="G49" s="355">
        <v>3.56845509712477e-5</v>
      </c>
      <c r="H49" s="386">
        <f t="shared" si="24"/>
        <v>3.56845509712477e-5</v>
      </c>
      <c r="I49" s="386">
        <f t="shared" si="29"/>
        <v>3.56845509712477e-5</v>
      </c>
      <c r="J49" s="386">
        <f t="shared" si="30"/>
        <v>3.56845509712477e-5</v>
      </c>
      <c r="K49" s="378"/>
      <c r="L49" s="370"/>
      <c r="M49" s="370"/>
      <c r="N49" s="385" t="s">
        <v>4882</v>
      </c>
      <c r="O49" s="389">
        <f t="shared" si="54"/>
        <v>0.849170985642393</v>
      </c>
      <c r="P49" s="389">
        <f t="shared" si="43"/>
        <v>5.09502591385436</v>
      </c>
      <c r="Q49" s="389">
        <f t="shared" si="44"/>
        <v>13.5867357702783</v>
      </c>
      <c r="R49" s="389">
        <f t="shared" si="45"/>
        <v>20.3801036554174</v>
      </c>
      <c r="S49" s="389">
        <f t="shared" si="46"/>
        <v>16.9834197128479</v>
      </c>
      <c r="T49" s="389">
        <f t="shared" si="47"/>
        <v>15.2850777415631</v>
      </c>
      <c r="U49" s="391">
        <f t="shared" si="48"/>
        <v>25.4751295692718</v>
      </c>
      <c r="V49" s="389">
        <f t="shared" si="49"/>
        <v>35.6651813969805</v>
      </c>
      <c r="W49" s="389">
        <f t="shared" si="50"/>
        <v>20.3801036554174</v>
      </c>
      <c r="X49" s="389">
        <f t="shared" si="51"/>
        <v>16.9834197128479</v>
      </c>
      <c r="Y49" s="389">
        <f t="shared" si="52"/>
        <v>13.5867357702783</v>
      </c>
      <c r="Z49" s="389">
        <f t="shared" si="53"/>
        <v>37.3635233682653</v>
      </c>
    </row>
    <row r="50" s="429" customFormat="1" ht="18" spans="2:26">
      <c r="B50" s="353" t="s">
        <v>4883</v>
      </c>
      <c r="C50" s="346"/>
      <c r="D50" s="347">
        <f t="shared" si="32"/>
        <v>146214.810413311</v>
      </c>
      <c r="E50" s="339">
        <f t="shared" si="6"/>
        <v>0.0235415984461464</v>
      </c>
      <c r="F50" s="348">
        <v>0</v>
      </c>
      <c r="G50" s="393">
        <f t="shared" ref="G50:J50" si="55">SUM(G51:G66)</f>
        <v>0.0235415984461464</v>
      </c>
      <c r="H50" s="393">
        <f t="shared" si="55"/>
        <v>0.0235415984461464</v>
      </c>
      <c r="I50" s="393">
        <f t="shared" si="55"/>
        <v>0.0235415984461464</v>
      </c>
      <c r="J50" s="393">
        <f t="shared" si="55"/>
        <v>0.0235415984461464</v>
      </c>
      <c r="K50" s="356"/>
      <c r="L50" s="357"/>
      <c r="M50" s="357"/>
      <c r="N50" s="353" t="s">
        <v>4884</v>
      </c>
      <c r="O50" s="352">
        <f t="shared" ref="O50:Z50" si="56">SUM(O51:O66)</f>
        <v>560.210001583568</v>
      </c>
      <c r="P50" s="352">
        <f t="shared" si="56"/>
        <v>3361.26000950141</v>
      </c>
      <c r="Q50" s="352">
        <f t="shared" si="56"/>
        <v>8963.36002533708</v>
      </c>
      <c r="R50" s="352">
        <f t="shared" si="56"/>
        <v>13445.0400380056</v>
      </c>
      <c r="S50" s="352">
        <f t="shared" si="56"/>
        <v>11204.2000316714</v>
      </c>
      <c r="T50" s="352">
        <f t="shared" si="56"/>
        <v>10083.7800285042</v>
      </c>
      <c r="U50" s="352">
        <f t="shared" si="56"/>
        <v>16806.300047507</v>
      </c>
      <c r="V50" s="352">
        <f t="shared" si="56"/>
        <v>23528.8200665098</v>
      </c>
      <c r="W50" s="352">
        <f t="shared" si="56"/>
        <v>13445.0400380056</v>
      </c>
      <c r="X50" s="352">
        <f t="shared" si="56"/>
        <v>11204.2000316714</v>
      </c>
      <c r="Y50" s="352">
        <f t="shared" si="56"/>
        <v>8963.36002533708</v>
      </c>
      <c r="Z50" s="352">
        <f t="shared" si="56"/>
        <v>24649.240069677</v>
      </c>
    </row>
    <row r="51" s="429" customFormat="1" spans="2:26">
      <c r="B51" s="385" t="s">
        <v>4885</v>
      </c>
      <c r="C51" s="377"/>
      <c r="D51" s="354">
        <f t="shared" si="32"/>
        <v>103231.721983842</v>
      </c>
      <c r="E51" s="359">
        <f t="shared" si="6"/>
        <v>0.0166210231301342</v>
      </c>
      <c r="F51" s="360">
        <v>0</v>
      </c>
      <c r="G51" s="355">
        <v>0.0166210231301342</v>
      </c>
      <c r="H51" s="386">
        <f t="shared" ref="H51:H66" si="57">SUM(R51:T51)/SUM($R$18:$T$18)</f>
        <v>0.0166210231301342</v>
      </c>
      <c r="I51" s="386">
        <f t="shared" ref="I51:I66" si="58">SUM(U51:W51)/SUM($U$18:$W$18)</f>
        <v>0.0166210231301342</v>
      </c>
      <c r="J51" s="386">
        <f t="shared" ref="J51:J66" si="59">SUM(X51:Z51)/SUM($X$18:$Z$18)</f>
        <v>0.0166210231301342</v>
      </c>
      <c r="K51" s="378"/>
      <c r="L51" s="370"/>
      <c r="M51" s="370"/>
      <c r="N51" s="385" t="s">
        <v>4885</v>
      </c>
      <c r="O51" s="389">
        <f t="shared" ref="O51:O66" si="60">$O$18*G51</f>
        <v>395.523839018551</v>
      </c>
      <c r="P51" s="389">
        <f t="shared" ref="P51:P66" si="61">$P$18*G51</f>
        <v>2373.14303411131</v>
      </c>
      <c r="Q51" s="389">
        <f t="shared" ref="Q51:Q66" si="62">$Q$18*G51</f>
        <v>6328.38142429682</v>
      </c>
      <c r="R51" s="389">
        <f t="shared" ref="R51:R66" si="63">$R$18*G51</f>
        <v>9492.57213644523</v>
      </c>
      <c r="S51" s="389">
        <f t="shared" ref="S51:S66" si="64">$S$18*G51</f>
        <v>7910.47678037103</v>
      </c>
      <c r="T51" s="389">
        <f t="shared" ref="T51:T66" si="65">$T$18*G51</f>
        <v>7119.42910233393</v>
      </c>
      <c r="U51" s="391">
        <f t="shared" ref="U51:U66" si="66">$U$18*G51</f>
        <v>11865.7151705565</v>
      </c>
      <c r="V51" s="389">
        <f t="shared" ref="V51:V66" si="67">$V$18*G51</f>
        <v>16612.0012387792</v>
      </c>
      <c r="W51" s="389">
        <f t="shared" ref="W51:W66" si="68">$W$18*G51</f>
        <v>9492.57213644523</v>
      </c>
      <c r="X51" s="389">
        <f t="shared" ref="X51:X66" si="69">$X$18*G51</f>
        <v>7910.47678037103</v>
      </c>
      <c r="Y51" s="389">
        <f t="shared" ref="Y51:Y66" si="70">$Y$18*G51</f>
        <v>6328.38142429682</v>
      </c>
      <c r="Z51" s="389">
        <f t="shared" ref="Z51:Z66" si="71">$Z$18*G51</f>
        <v>17403.0489168163</v>
      </c>
    </row>
    <row r="52" s="429" customFormat="1" spans="2:26">
      <c r="B52" s="385" t="s">
        <v>4886</v>
      </c>
      <c r="C52" s="346"/>
      <c r="D52" s="354">
        <f t="shared" si="32"/>
        <v>7626.2748143808</v>
      </c>
      <c r="E52" s="359">
        <f t="shared" si="6"/>
        <v>0.00122788313176083</v>
      </c>
      <c r="F52" s="360">
        <v>0</v>
      </c>
      <c r="G52" s="355">
        <v>0.00122788313176083</v>
      </c>
      <c r="H52" s="386">
        <f t="shared" si="57"/>
        <v>0.00122788313176083</v>
      </c>
      <c r="I52" s="386">
        <f t="shared" si="58"/>
        <v>0.00122788313176083</v>
      </c>
      <c r="J52" s="386">
        <f t="shared" si="59"/>
        <v>0.00122788313176083</v>
      </c>
      <c r="K52" s="378"/>
      <c r="L52" s="370"/>
      <c r="M52" s="357"/>
      <c r="N52" s="385" t="s">
        <v>4886</v>
      </c>
      <c r="O52" s="389">
        <f t="shared" si="60"/>
        <v>29.2194437332598</v>
      </c>
      <c r="P52" s="389">
        <f t="shared" si="61"/>
        <v>175.316662399559</v>
      </c>
      <c r="Q52" s="389">
        <f t="shared" si="62"/>
        <v>467.511099732156</v>
      </c>
      <c r="R52" s="389">
        <f t="shared" si="63"/>
        <v>701.266649598234</v>
      </c>
      <c r="S52" s="389">
        <f t="shared" si="64"/>
        <v>584.388874665195</v>
      </c>
      <c r="T52" s="389">
        <f t="shared" si="65"/>
        <v>525.949987198676</v>
      </c>
      <c r="U52" s="391">
        <f t="shared" si="66"/>
        <v>876.583311997793</v>
      </c>
      <c r="V52" s="389">
        <f t="shared" si="67"/>
        <v>1227.21663679691</v>
      </c>
      <c r="W52" s="389">
        <f t="shared" si="68"/>
        <v>701.266649598234</v>
      </c>
      <c r="X52" s="389">
        <f t="shared" si="69"/>
        <v>584.388874665195</v>
      </c>
      <c r="Y52" s="389">
        <f t="shared" si="70"/>
        <v>467.511099732156</v>
      </c>
      <c r="Z52" s="389">
        <f t="shared" si="71"/>
        <v>1285.65552426343</v>
      </c>
    </row>
    <row r="53" s="429" customFormat="1" spans="2:26">
      <c r="B53" s="385" t="s">
        <v>4887</v>
      </c>
      <c r="C53" s="346"/>
      <c r="D53" s="354">
        <f t="shared" si="32"/>
        <v>265.960352703197</v>
      </c>
      <c r="E53" s="359">
        <f t="shared" si="6"/>
        <v>4.28214611654972e-5</v>
      </c>
      <c r="F53" s="360"/>
      <c r="G53" s="355">
        <v>4.28214611654972e-5</v>
      </c>
      <c r="H53" s="386">
        <f t="shared" si="57"/>
        <v>4.28214611654972e-5</v>
      </c>
      <c r="I53" s="386">
        <f t="shared" si="58"/>
        <v>4.28214611654972e-5</v>
      </c>
      <c r="J53" s="386">
        <f t="shared" si="59"/>
        <v>4.28214611654972e-5</v>
      </c>
      <c r="K53" s="356"/>
      <c r="L53" s="357"/>
      <c r="M53" s="357"/>
      <c r="N53" s="385" t="s">
        <v>4887</v>
      </c>
      <c r="O53" s="389">
        <f t="shared" si="60"/>
        <v>1.01900518277087</v>
      </c>
      <c r="P53" s="389">
        <f t="shared" si="61"/>
        <v>6.11403109662522</v>
      </c>
      <c r="Q53" s="389">
        <f t="shared" si="62"/>
        <v>16.3040829243339</v>
      </c>
      <c r="R53" s="389">
        <f t="shared" si="63"/>
        <v>24.4561243865009</v>
      </c>
      <c r="S53" s="389">
        <f t="shared" si="64"/>
        <v>20.3801036554174</v>
      </c>
      <c r="T53" s="389">
        <f t="shared" si="65"/>
        <v>18.3420932898757</v>
      </c>
      <c r="U53" s="391">
        <f t="shared" si="66"/>
        <v>30.5701554831261</v>
      </c>
      <c r="V53" s="389">
        <f t="shared" si="67"/>
        <v>42.7982176763766</v>
      </c>
      <c r="W53" s="389">
        <f t="shared" si="68"/>
        <v>24.4561243865009</v>
      </c>
      <c r="X53" s="389">
        <f t="shared" si="69"/>
        <v>20.3801036554174</v>
      </c>
      <c r="Y53" s="389">
        <f t="shared" si="70"/>
        <v>16.3040829243339</v>
      </c>
      <c r="Z53" s="389">
        <f t="shared" si="71"/>
        <v>44.8362280419183</v>
      </c>
    </row>
    <row r="54" s="429" customFormat="1" spans="2:26">
      <c r="B54" s="385" t="s">
        <v>4888</v>
      </c>
      <c r="C54" s="346"/>
      <c r="D54" s="354">
        <f t="shared" si="32"/>
        <v>3166.61261273517</v>
      </c>
      <c r="E54" s="359">
        <f t="shared" si="6"/>
        <v>0.000509846590456798</v>
      </c>
      <c r="F54" s="360"/>
      <c r="G54" s="355">
        <v>0.000509846590456798</v>
      </c>
      <c r="H54" s="386">
        <f t="shared" si="57"/>
        <v>0.000509846590456798</v>
      </c>
      <c r="I54" s="386">
        <f t="shared" si="58"/>
        <v>0.000509846590456798</v>
      </c>
      <c r="J54" s="386">
        <f t="shared" si="59"/>
        <v>0.000509846590456798</v>
      </c>
      <c r="K54" s="356"/>
      <c r="L54" s="357"/>
      <c r="M54" s="357"/>
      <c r="N54" s="385" t="s">
        <v>4888</v>
      </c>
      <c r="O54" s="389">
        <f t="shared" si="60"/>
        <v>12.1326153744642</v>
      </c>
      <c r="P54" s="389">
        <f t="shared" si="61"/>
        <v>72.7956922467854</v>
      </c>
      <c r="Q54" s="389">
        <f t="shared" si="62"/>
        <v>194.121845991428</v>
      </c>
      <c r="R54" s="389">
        <f t="shared" si="63"/>
        <v>291.182768987142</v>
      </c>
      <c r="S54" s="389">
        <f t="shared" si="64"/>
        <v>242.652307489285</v>
      </c>
      <c r="T54" s="389">
        <f t="shared" si="65"/>
        <v>218.387076740356</v>
      </c>
      <c r="U54" s="391">
        <f t="shared" si="66"/>
        <v>363.978461233927</v>
      </c>
      <c r="V54" s="389">
        <f t="shared" si="67"/>
        <v>509.569845727498</v>
      </c>
      <c r="W54" s="389">
        <f t="shared" si="68"/>
        <v>291.182768987142</v>
      </c>
      <c r="X54" s="389">
        <f t="shared" si="69"/>
        <v>242.652307489285</v>
      </c>
      <c r="Y54" s="389">
        <f t="shared" si="70"/>
        <v>194.121845991428</v>
      </c>
      <c r="Z54" s="389">
        <f t="shared" si="71"/>
        <v>533.835076476426</v>
      </c>
    </row>
    <row r="55" s="429" customFormat="1" spans="2:26">
      <c r="B55" s="385" t="s">
        <v>4889</v>
      </c>
      <c r="C55" s="377"/>
      <c r="D55" s="354">
        <f t="shared" si="32"/>
        <v>4122.38546689956</v>
      </c>
      <c r="E55" s="359">
        <f t="shared" si="6"/>
        <v>0.000663732648065207</v>
      </c>
      <c r="F55" s="360">
        <v>0.0355440116134983</v>
      </c>
      <c r="G55" s="355">
        <v>0.000663732648065207</v>
      </c>
      <c r="H55" s="386">
        <f t="shared" si="57"/>
        <v>0.000663732648065207</v>
      </c>
      <c r="I55" s="386">
        <f t="shared" si="58"/>
        <v>0.000663732648065207</v>
      </c>
      <c r="J55" s="386">
        <f t="shared" si="59"/>
        <v>0.000663732648065207</v>
      </c>
      <c r="K55" s="378"/>
      <c r="L55" s="370"/>
      <c r="M55" s="370"/>
      <c r="N55" s="385" t="s">
        <v>4889</v>
      </c>
      <c r="O55" s="389">
        <f t="shared" si="60"/>
        <v>15.7945803329485</v>
      </c>
      <c r="P55" s="389">
        <f t="shared" si="61"/>
        <v>94.767481997691</v>
      </c>
      <c r="Q55" s="389">
        <f t="shared" si="62"/>
        <v>252.713285327176</v>
      </c>
      <c r="R55" s="389">
        <f t="shared" si="63"/>
        <v>379.069927990764</v>
      </c>
      <c r="S55" s="389">
        <f t="shared" si="64"/>
        <v>315.89160665897</v>
      </c>
      <c r="T55" s="389">
        <f t="shared" si="65"/>
        <v>284.302445993073</v>
      </c>
      <c r="U55" s="391">
        <f t="shared" si="66"/>
        <v>473.837409988455</v>
      </c>
      <c r="V55" s="389">
        <f t="shared" si="67"/>
        <v>663.372373983837</v>
      </c>
      <c r="W55" s="389">
        <f t="shared" si="68"/>
        <v>379.069927990764</v>
      </c>
      <c r="X55" s="389">
        <f t="shared" si="69"/>
        <v>315.89160665897</v>
      </c>
      <c r="Y55" s="389">
        <f t="shared" si="70"/>
        <v>252.713285327176</v>
      </c>
      <c r="Z55" s="389">
        <f t="shared" si="71"/>
        <v>694.961534649734</v>
      </c>
    </row>
    <row r="56" s="429" customFormat="1" spans="2:26">
      <c r="B56" s="385" t="s">
        <v>4890</v>
      </c>
      <c r="C56" s="377"/>
      <c r="D56" s="354">
        <f t="shared" si="32"/>
        <v>4521.32599595435</v>
      </c>
      <c r="E56" s="359">
        <f t="shared" si="6"/>
        <v>0.000727964839813452</v>
      </c>
      <c r="F56" s="360">
        <v>0.000559971777424903</v>
      </c>
      <c r="G56" s="355">
        <v>0.000727964839813452</v>
      </c>
      <c r="H56" s="386">
        <f t="shared" si="57"/>
        <v>0.000727964839813452</v>
      </c>
      <c r="I56" s="386">
        <f t="shared" si="58"/>
        <v>0.000727964839813452</v>
      </c>
      <c r="J56" s="386">
        <f t="shared" si="59"/>
        <v>0.000727964839813452</v>
      </c>
      <c r="K56" s="378"/>
      <c r="L56" s="370"/>
      <c r="M56" s="370"/>
      <c r="N56" s="385" t="s">
        <v>4890</v>
      </c>
      <c r="O56" s="389">
        <f t="shared" si="60"/>
        <v>17.3230881071048</v>
      </c>
      <c r="P56" s="389">
        <f t="shared" si="61"/>
        <v>103.938528642629</v>
      </c>
      <c r="Q56" s="389">
        <f t="shared" si="62"/>
        <v>277.169409713677</v>
      </c>
      <c r="R56" s="389">
        <f t="shared" si="63"/>
        <v>415.754114570515</v>
      </c>
      <c r="S56" s="389">
        <f t="shared" si="64"/>
        <v>346.461762142096</v>
      </c>
      <c r="T56" s="389">
        <f t="shared" si="65"/>
        <v>311.815585927886</v>
      </c>
      <c r="U56" s="391">
        <f t="shared" si="66"/>
        <v>519.692643213144</v>
      </c>
      <c r="V56" s="389">
        <f t="shared" si="67"/>
        <v>727.569700498401</v>
      </c>
      <c r="W56" s="389">
        <f t="shared" si="68"/>
        <v>415.754114570515</v>
      </c>
      <c r="X56" s="389">
        <f t="shared" si="69"/>
        <v>346.461762142096</v>
      </c>
      <c r="Y56" s="389">
        <f t="shared" si="70"/>
        <v>277.169409713677</v>
      </c>
      <c r="Z56" s="389">
        <f t="shared" si="71"/>
        <v>762.215876712611</v>
      </c>
    </row>
    <row r="57" s="429" customFormat="1" spans="2:26">
      <c r="B57" s="385" t="s">
        <v>4891</v>
      </c>
      <c r="C57" s="377"/>
      <c r="D57" s="354">
        <f t="shared" si="32"/>
        <v>3812.09838874583</v>
      </c>
      <c r="E57" s="359">
        <f t="shared" si="6"/>
        <v>0.00061377427670546</v>
      </c>
      <c r="F57" s="360">
        <v>0.00406331756446181</v>
      </c>
      <c r="G57" s="355">
        <v>0.00061377427670546</v>
      </c>
      <c r="H57" s="386">
        <f t="shared" si="57"/>
        <v>0.00061377427670546</v>
      </c>
      <c r="I57" s="386">
        <f t="shared" si="58"/>
        <v>0.00061377427670546</v>
      </c>
      <c r="J57" s="386">
        <f t="shared" si="59"/>
        <v>0.00061377427670546</v>
      </c>
      <c r="K57" s="378"/>
      <c r="L57" s="370"/>
      <c r="M57" s="370"/>
      <c r="N57" s="385" t="s">
        <v>4891</v>
      </c>
      <c r="O57" s="389">
        <f t="shared" si="60"/>
        <v>14.6057409530491</v>
      </c>
      <c r="P57" s="389">
        <f t="shared" si="61"/>
        <v>87.6344457182949</v>
      </c>
      <c r="Q57" s="389">
        <f t="shared" si="62"/>
        <v>233.691855248786</v>
      </c>
      <c r="R57" s="389">
        <f t="shared" si="63"/>
        <v>350.537782873179</v>
      </c>
      <c r="S57" s="389">
        <f t="shared" si="64"/>
        <v>292.114819060983</v>
      </c>
      <c r="T57" s="389">
        <f t="shared" si="65"/>
        <v>262.903337154885</v>
      </c>
      <c r="U57" s="391">
        <f t="shared" si="66"/>
        <v>438.172228591474</v>
      </c>
      <c r="V57" s="389">
        <f t="shared" si="67"/>
        <v>613.441120028064</v>
      </c>
      <c r="W57" s="389">
        <f t="shared" si="68"/>
        <v>350.537782873179</v>
      </c>
      <c r="X57" s="389">
        <f t="shared" si="69"/>
        <v>292.114819060983</v>
      </c>
      <c r="Y57" s="389">
        <f t="shared" si="70"/>
        <v>233.691855248786</v>
      </c>
      <c r="Z57" s="389">
        <f t="shared" si="71"/>
        <v>642.652601934162</v>
      </c>
    </row>
    <row r="58" s="429" customFormat="1" spans="2:26">
      <c r="B58" s="394" t="s">
        <v>4892</v>
      </c>
      <c r="C58" s="377"/>
      <c r="D58" s="354">
        <f t="shared" si="32"/>
        <v>531.920705406394</v>
      </c>
      <c r="E58" s="359">
        <f t="shared" si="6"/>
        <v>8.56429223309944e-5</v>
      </c>
      <c r="F58" s="395"/>
      <c r="G58" s="355">
        <v>8.56429223309944e-5</v>
      </c>
      <c r="H58" s="386">
        <f t="shared" si="57"/>
        <v>8.56429223309944e-5</v>
      </c>
      <c r="I58" s="386">
        <f t="shared" si="58"/>
        <v>8.56429223309944e-5</v>
      </c>
      <c r="J58" s="386">
        <f t="shared" si="59"/>
        <v>8.56429223309944e-5</v>
      </c>
      <c r="K58" s="378"/>
      <c r="L58" s="370"/>
      <c r="M58" s="370"/>
      <c r="N58" s="394" t="s">
        <v>4892</v>
      </c>
      <c r="O58" s="389">
        <f t="shared" si="60"/>
        <v>2.03801036554174</v>
      </c>
      <c r="P58" s="389">
        <f t="shared" si="61"/>
        <v>12.2280621932504</v>
      </c>
      <c r="Q58" s="389">
        <f t="shared" si="62"/>
        <v>32.6081658486679</v>
      </c>
      <c r="R58" s="389">
        <f t="shared" si="63"/>
        <v>48.9122487730018</v>
      </c>
      <c r="S58" s="389">
        <f t="shared" si="64"/>
        <v>40.7602073108348</v>
      </c>
      <c r="T58" s="389">
        <f t="shared" si="65"/>
        <v>36.6841865797513</v>
      </c>
      <c r="U58" s="391">
        <f t="shared" si="66"/>
        <v>61.1403109662522</v>
      </c>
      <c r="V58" s="389">
        <f t="shared" si="67"/>
        <v>85.5964353527531</v>
      </c>
      <c r="W58" s="389">
        <f t="shared" si="68"/>
        <v>48.9122487730018</v>
      </c>
      <c r="X58" s="389">
        <f t="shared" si="69"/>
        <v>40.7602073108348</v>
      </c>
      <c r="Y58" s="389">
        <f t="shared" si="70"/>
        <v>32.6081658486679</v>
      </c>
      <c r="Z58" s="389">
        <f t="shared" si="71"/>
        <v>89.6724560838366</v>
      </c>
    </row>
    <row r="59" s="429" customFormat="1" spans="2:26">
      <c r="B59" s="394" t="s">
        <v>4893</v>
      </c>
      <c r="C59" s="396"/>
      <c r="D59" s="354">
        <f t="shared" si="32"/>
        <v>106.384141081279</v>
      </c>
      <c r="E59" s="359">
        <f t="shared" si="6"/>
        <v>1.71285844661989e-5</v>
      </c>
      <c r="F59" s="360"/>
      <c r="G59" s="355">
        <v>1.71285844661989e-5</v>
      </c>
      <c r="H59" s="386">
        <f t="shared" si="57"/>
        <v>1.71285844661989e-5</v>
      </c>
      <c r="I59" s="386">
        <f t="shared" si="58"/>
        <v>1.71285844661989e-5</v>
      </c>
      <c r="J59" s="386">
        <f t="shared" si="59"/>
        <v>1.71285844661989e-5</v>
      </c>
      <c r="K59" s="378"/>
      <c r="L59" s="370"/>
      <c r="M59" s="370"/>
      <c r="N59" s="394" t="s">
        <v>4893</v>
      </c>
      <c r="O59" s="389">
        <f t="shared" si="60"/>
        <v>0.407602073108349</v>
      </c>
      <c r="P59" s="389">
        <f t="shared" si="61"/>
        <v>2.44561243865009</v>
      </c>
      <c r="Q59" s="389">
        <f t="shared" si="62"/>
        <v>6.52163316973358</v>
      </c>
      <c r="R59" s="389">
        <f t="shared" si="63"/>
        <v>9.78244975460037</v>
      </c>
      <c r="S59" s="389">
        <f t="shared" si="64"/>
        <v>8.15204146216697</v>
      </c>
      <c r="T59" s="389">
        <f t="shared" si="65"/>
        <v>7.33683731595028</v>
      </c>
      <c r="U59" s="391">
        <f t="shared" si="66"/>
        <v>12.2280621932505</v>
      </c>
      <c r="V59" s="389">
        <f t="shared" si="67"/>
        <v>17.1192870705506</v>
      </c>
      <c r="W59" s="389">
        <f t="shared" si="68"/>
        <v>9.78244975460037</v>
      </c>
      <c r="X59" s="389">
        <f t="shared" si="69"/>
        <v>8.15204146216697</v>
      </c>
      <c r="Y59" s="389">
        <f t="shared" si="70"/>
        <v>6.52163316973358</v>
      </c>
      <c r="Z59" s="389">
        <f t="shared" si="71"/>
        <v>17.9344912167673</v>
      </c>
    </row>
    <row r="60" s="429" customFormat="1" spans="2:26">
      <c r="B60" s="394" t="s">
        <v>4894</v>
      </c>
      <c r="C60" s="397"/>
      <c r="D60" s="354">
        <f t="shared" si="32"/>
        <v>275.933865929567</v>
      </c>
      <c r="E60" s="359">
        <f t="shared" si="6"/>
        <v>4.44272659592033e-5</v>
      </c>
      <c r="F60" s="360">
        <v>0.003</v>
      </c>
      <c r="G60" s="355">
        <v>4.44272659592033e-5</v>
      </c>
      <c r="H60" s="386">
        <f t="shared" si="57"/>
        <v>4.44272659592033e-5</v>
      </c>
      <c r="I60" s="386">
        <f t="shared" si="58"/>
        <v>4.44272659592033e-5</v>
      </c>
      <c r="J60" s="386">
        <f t="shared" si="59"/>
        <v>4.44272659592033e-5</v>
      </c>
      <c r="K60" s="378"/>
      <c r="L60" s="370"/>
      <c r="M60" s="370"/>
      <c r="N60" s="394" t="s">
        <v>4894</v>
      </c>
      <c r="O60" s="389">
        <f t="shared" si="60"/>
        <v>1.05721787712478</v>
      </c>
      <c r="P60" s="389">
        <f t="shared" si="61"/>
        <v>6.34330726274866</v>
      </c>
      <c r="Q60" s="389">
        <f t="shared" si="62"/>
        <v>16.9154860339964</v>
      </c>
      <c r="R60" s="389">
        <f t="shared" si="63"/>
        <v>25.3732290509947</v>
      </c>
      <c r="S60" s="389">
        <f t="shared" si="64"/>
        <v>21.1443575424955</v>
      </c>
      <c r="T60" s="389">
        <f t="shared" si="65"/>
        <v>19.029921788246</v>
      </c>
      <c r="U60" s="391">
        <f t="shared" si="66"/>
        <v>31.7165363137433</v>
      </c>
      <c r="V60" s="389">
        <f t="shared" si="67"/>
        <v>44.4031508392406</v>
      </c>
      <c r="W60" s="389">
        <f t="shared" si="68"/>
        <v>25.3732290509947</v>
      </c>
      <c r="X60" s="389">
        <f t="shared" si="69"/>
        <v>21.1443575424955</v>
      </c>
      <c r="Y60" s="389">
        <f t="shared" si="70"/>
        <v>16.9154860339964</v>
      </c>
      <c r="Z60" s="389">
        <f t="shared" si="71"/>
        <v>46.5175865934902</v>
      </c>
    </row>
    <row r="61" s="429" customFormat="1" spans="2:26">
      <c r="B61" s="394" t="s">
        <v>4895</v>
      </c>
      <c r="C61" s="397"/>
      <c r="D61" s="354">
        <f t="shared" si="32"/>
        <v>176.331713842219</v>
      </c>
      <c r="E61" s="359">
        <f t="shared" si="6"/>
        <v>2.83906287527246e-5</v>
      </c>
      <c r="F61" s="360">
        <v>0.003</v>
      </c>
      <c r="G61" s="355">
        <v>2.83906287527246e-5</v>
      </c>
      <c r="H61" s="386">
        <f t="shared" si="57"/>
        <v>2.83906287527246e-5</v>
      </c>
      <c r="I61" s="386">
        <f t="shared" si="58"/>
        <v>2.83906287527246e-5</v>
      </c>
      <c r="J61" s="386">
        <f t="shared" si="59"/>
        <v>2.83906287527246e-5</v>
      </c>
      <c r="K61" s="378"/>
      <c r="L61" s="370"/>
      <c r="M61" s="370"/>
      <c r="N61" s="394" t="s">
        <v>4895</v>
      </c>
      <c r="O61" s="389">
        <f t="shared" si="60"/>
        <v>0.675600436177086</v>
      </c>
      <c r="P61" s="389">
        <f t="shared" si="61"/>
        <v>4.05360261706252</v>
      </c>
      <c r="Q61" s="389">
        <f t="shared" si="62"/>
        <v>10.8096069788334</v>
      </c>
      <c r="R61" s="389">
        <f t="shared" si="63"/>
        <v>16.2144104682501</v>
      </c>
      <c r="S61" s="389">
        <f t="shared" si="64"/>
        <v>13.5120087235417</v>
      </c>
      <c r="T61" s="389">
        <f t="shared" si="65"/>
        <v>12.1608078511876</v>
      </c>
      <c r="U61" s="391">
        <f t="shared" si="66"/>
        <v>20.2680130853126</v>
      </c>
      <c r="V61" s="389">
        <f t="shared" si="67"/>
        <v>28.3752183194376</v>
      </c>
      <c r="W61" s="389">
        <f t="shared" si="68"/>
        <v>16.2144104682501</v>
      </c>
      <c r="X61" s="389">
        <f t="shared" si="69"/>
        <v>13.5120087235417</v>
      </c>
      <c r="Y61" s="389">
        <f t="shared" si="70"/>
        <v>10.8096069788334</v>
      </c>
      <c r="Z61" s="389">
        <f t="shared" si="71"/>
        <v>29.7264191917918</v>
      </c>
    </row>
    <row r="62" s="429" customFormat="1" spans="2:26">
      <c r="B62" s="394" t="s">
        <v>4896</v>
      </c>
      <c r="C62" s="397"/>
      <c r="D62" s="354">
        <f t="shared" si="32"/>
        <v>1662.25220439498</v>
      </c>
      <c r="E62" s="359">
        <f t="shared" si="6"/>
        <v>0.000267634132284357</v>
      </c>
      <c r="F62" s="360">
        <v>0</v>
      </c>
      <c r="G62" s="355">
        <v>0.000267634132284357</v>
      </c>
      <c r="H62" s="386">
        <f t="shared" si="57"/>
        <v>0.000267634132284357</v>
      </c>
      <c r="I62" s="386">
        <f t="shared" si="58"/>
        <v>0.000267634132284357</v>
      </c>
      <c r="J62" s="386">
        <f t="shared" si="59"/>
        <v>0.000267634132284357</v>
      </c>
      <c r="K62" s="378"/>
      <c r="L62" s="370"/>
      <c r="M62" s="370"/>
      <c r="N62" s="394" t="s">
        <v>4896</v>
      </c>
      <c r="O62" s="389">
        <f t="shared" si="60"/>
        <v>6.36878239231793</v>
      </c>
      <c r="P62" s="389">
        <f t="shared" si="61"/>
        <v>38.2126943539076</v>
      </c>
      <c r="Q62" s="389">
        <f t="shared" si="62"/>
        <v>101.900518277087</v>
      </c>
      <c r="R62" s="389">
        <f t="shared" si="63"/>
        <v>152.85077741563</v>
      </c>
      <c r="S62" s="389">
        <f t="shared" si="64"/>
        <v>127.375647846359</v>
      </c>
      <c r="T62" s="389">
        <f t="shared" si="65"/>
        <v>114.638083061723</v>
      </c>
      <c r="U62" s="391">
        <f t="shared" si="66"/>
        <v>191.063471769538</v>
      </c>
      <c r="V62" s="389">
        <f t="shared" si="67"/>
        <v>267.488860477353</v>
      </c>
      <c r="W62" s="389">
        <f t="shared" si="68"/>
        <v>152.85077741563</v>
      </c>
      <c r="X62" s="389">
        <f t="shared" si="69"/>
        <v>127.375647846359</v>
      </c>
      <c r="Y62" s="389">
        <f t="shared" si="70"/>
        <v>101.900518277087</v>
      </c>
      <c r="Z62" s="389">
        <f t="shared" si="71"/>
        <v>280.226425261989</v>
      </c>
    </row>
    <row r="63" s="429" customFormat="1" spans="2:26">
      <c r="B63" s="394" t="s">
        <v>4897</v>
      </c>
      <c r="C63" s="397"/>
      <c r="D63" s="354">
        <f t="shared" si="32"/>
        <v>0</v>
      </c>
      <c r="E63" s="359">
        <f t="shared" si="6"/>
        <v>0</v>
      </c>
      <c r="F63" s="360"/>
      <c r="G63" s="355">
        <v>0</v>
      </c>
      <c r="H63" s="386">
        <f t="shared" si="57"/>
        <v>0</v>
      </c>
      <c r="I63" s="386">
        <f t="shared" si="58"/>
        <v>0</v>
      </c>
      <c r="J63" s="386">
        <f t="shared" si="59"/>
        <v>0</v>
      </c>
      <c r="K63" s="378"/>
      <c r="L63" s="370"/>
      <c r="M63" s="370"/>
      <c r="N63" s="394" t="s">
        <v>4897</v>
      </c>
      <c r="O63" s="389">
        <f t="shared" si="60"/>
        <v>0</v>
      </c>
      <c r="P63" s="389">
        <f t="shared" si="61"/>
        <v>0</v>
      </c>
      <c r="Q63" s="389">
        <f t="shared" si="62"/>
        <v>0</v>
      </c>
      <c r="R63" s="389">
        <f t="shared" si="63"/>
        <v>0</v>
      </c>
      <c r="S63" s="389">
        <f t="shared" si="64"/>
        <v>0</v>
      </c>
      <c r="T63" s="389">
        <f t="shared" si="65"/>
        <v>0</v>
      </c>
      <c r="U63" s="391">
        <f t="shared" si="66"/>
        <v>0</v>
      </c>
      <c r="V63" s="389">
        <f t="shared" si="67"/>
        <v>0</v>
      </c>
      <c r="W63" s="389">
        <f t="shared" si="68"/>
        <v>0</v>
      </c>
      <c r="X63" s="389">
        <f t="shared" si="69"/>
        <v>0</v>
      </c>
      <c r="Y63" s="389">
        <f t="shared" si="70"/>
        <v>0</v>
      </c>
      <c r="Z63" s="389">
        <f t="shared" si="71"/>
        <v>0</v>
      </c>
    </row>
    <row r="64" s="429" customFormat="1" spans="2:26">
      <c r="B64" s="394" t="s">
        <v>4898</v>
      </c>
      <c r="C64" s="397"/>
      <c r="D64" s="354">
        <f t="shared" si="32"/>
        <v>797.881058109594</v>
      </c>
      <c r="E64" s="359">
        <f t="shared" si="6"/>
        <v>0.000128464383496492</v>
      </c>
      <c r="F64" s="360"/>
      <c r="G64" s="355">
        <v>0.000128464383496492</v>
      </c>
      <c r="H64" s="386">
        <f t="shared" si="57"/>
        <v>0.000128464383496492</v>
      </c>
      <c r="I64" s="386">
        <f t="shared" si="58"/>
        <v>0.000128464383496492</v>
      </c>
      <c r="J64" s="386">
        <f t="shared" si="59"/>
        <v>0.000128464383496492</v>
      </c>
      <c r="K64" s="378"/>
      <c r="L64" s="370"/>
      <c r="M64" s="370"/>
      <c r="N64" s="394" t="s">
        <v>4898</v>
      </c>
      <c r="O64" s="389">
        <f t="shared" si="60"/>
        <v>3.05701554831262</v>
      </c>
      <c r="P64" s="389">
        <f t="shared" si="61"/>
        <v>18.3420932898757</v>
      </c>
      <c r="Q64" s="389">
        <f t="shared" si="62"/>
        <v>48.9122487730019</v>
      </c>
      <c r="R64" s="389">
        <f t="shared" si="63"/>
        <v>73.3683731595029</v>
      </c>
      <c r="S64" s="389">
        <f t="shared" si="64"/>
        <v>61.1403109662524</v>
      </c>
      <c r="T64" s="389">
        <f t="shared" si="65"/>
        <v>55.0262798696272</v>
      </c>
      <c r="U64" s="391">
        <f t="shared" si="66"/>
        <v>91.7104664493786</v>
      </c>
      <c r="V64" s="389">
        <f t="shared" si="67"/>
        <v>128.39465302913</v>
      </c>
      <c r="W64" s="389">
        <f t="shared" si="68"/>
        <v>73.3683731595029</v>
      </c>
      <c r="X64" s="389">
        <f t="shared" si="69"/>
        <v>61.1403109662524</v>
      </c>
      <c r="Y64" s="389">
        <f t="shared" si="70"/>
        <v>48.9122487730019</v>
      </c>
      <c r="Z64" s="389">
        <f t="shared" si="71"/>
        <v>134.508684125755</v>
      </c>
    </row>
    <row r="65" s="429" customFormat="1" spans="2:26">
      <c r="B65" s="394" t="s">
        <v>4899</v>
      </c>
      <c r="C65" s="397"/>
      <c r="D65" s="354">
        <f t="shared" si="32"/>
        <v>15917.7271092863</v>
      </c>
      <c r="E65" s="359">
        <f t="shared" si="6"/>
        <v>0.002562864450755</v>
      </c>
      <c r="F65" s="360"/>
      <c r="G65" s="355">
        <v>0.002562864450755</v>
      </c>
      <c r="H65" s="386">
        <f t="shared" si="57"/>
        <v>0.002562864450755</v>
      </c>
      <c r="I65" s="386">
        <f t="shared" si="58"/>
        <v>0.002562864450755</v>
      </c>
      <c r="J65" s="386">
        <f t="shared" si="59"/>
        <v>0.002562864450755</v>
      </c>
      <c r="K65" s="378"/>
      <c r="L65" s="370"/>
      <c r="M65" s="370"/>
      <c r="N65" s="394" t="s">
        <v>4899</v>
      </c>
      <c r="O65" s="389">
        <f t="shared" si="60"/>
        <v>60.9874601888364</v>
      </c>
      <c r="P65" s="389">
        <f t="shared" si="61"/>
        <v>365.924761133019</v>
      </c>
      <c r="Q65" s="389">
        <f t="shared" si="62"/>
        <v>975.799363021383</v>
      </c>
      <c r="R65" s="389">
        <f t="shared" si="63"/>
        <v>1463.69904453207</v>
      </c>
      <c r="S65" s="389">
        <f t="shared" si="64"/>
        <v>1219.74920377673</v>
      </c>
      <c r="T65" s="389">
        <f t="shared" si="65"/>
        <v>1097.77428339906</v>
      </c>
      <c r="U65" s="391">
        <f t="shared" si="66"/>
        <v>1829.62380566509</v>
      </c>
      <c r="V65" s="389">
        <f t="shared" si="67"/>
        <v>2561.47332793113</v>
      </c>
      <c r="W65" s="389">
        <f t="shared" si="68"/>
        <v>1463.69904453207</v>
      </c>
      <c r="X65" s="389">
        <f t="shared" si="69"/>
        <v>1219.74920377673</v>
      </c>
      <c r="Y65" s="389">
        <f t="shared" si="70"/>
        <v>975.799363021383</v>
      </c>
      <c r="Z65" s="389">
        <f t="shared" si="71"/>
        <v>2683.4482483088</v>
      </c>
    </row>
    <row r="66" s="429" customFormat="1" spans="2:26">
      <c r="B66" s="394" t="s">
        <v>4900</v>
      </c>
      <c r="C66" s="397"/>
      <c r="D66" s="354">
        <f t="shared" si="32"/>
        <v>0</v>
      </c>
      <c r="E66" s="359">
        <f t="shared" si="6"/>
        <v>0</v>
      </c>
      <c r="F66" s="360"/>
      <c r="G66" s="355">
        <v>0</v>
      </c>
      <c r="H66" s="386">
        <f t="shared" si="57"/>
        <v>0</v>
      </c>
      <c r="I66" s="386">
        <f t="shared" si="58"/>
        <v>0</v>
      </c>
      <c r="J66" s="386">
        <f t="shared" si="59"/>
        <v>0</v>
      </c>
      <c r="K66" s="378"/>
      <c r="L66" s="370"/>
      <c r="M66" s="370"/>
      <c r="N66" s="394" t="s">
        <v>4900</v>
      </c>
      <c r="O66" s="389">
        <f t="shared" si="60"/>
        <v>0</v>
      </c>
      <c r="P66" s="389">
        <f t="shared" si="61"/>
        <v>0</v>
      </c>
      <c r="Q66" s="389">
        <f t="shared" si="62"/>
        <v>0</v>
      </c>
      <c r="R66" s="389">
        <f t="shared" si="63"/>
        <v>0</v>
      </c>
      <c r="S66" s="389">
        <f t="shared" si="64"/>
        <v>0</v>
      </c>
      <c r="T66" s="389">
        <f t="shared" si="65"/>
        <v>0</v>
      </c>
      <c r="U66" s="391">
        <f t="shared" si="66"/>
        <v>0</v>
      </c>
      <c r="V66" s="389">
        <f t="shared" si="67"/>
        <v>0</v>
      </c>
      <c r="W66" s="389">
        <f t="shared" si="68"/>
        <v>0</v>
      </c>
      <c r="X66" s="389">
        <f t="shared" si="69"/>
        <v>0</v>
      </c>
      <c r="Y66" s="389">
        <f t="shared" si="70"/>
        <v>0</v>
      </c>
      <c r="Z66" s="389">
        <f t="shared" si="71"/>
        <v>0</v>
      </c>
    </row>
    <row r="67" s="429" customFormat="1" ht="18" spans="2:26">
      <c r="B67" s="353" t="s">
        <v>4901</v>
      </c>
      <c r="C67" s="398"/>
      <c r="D67" s="347">
        <f>SUM(D68:D75)</f>
        <v>3602.329308</v>
      </c>
      <c r="E67" s="359">
        <f t="shared" si="6"/>
        <v>0.00058</v>
      </c>
      <c r="F67" s="348"/>
      <c r="G67" s="393">
        <f t="shared" ref="G67:J67" si="72">SUM(G68:G71)</f>
        <v>0.00058</v>
      </c>
      <c r="H67" s="393">
        <f t="shared" si="72"/>
        <v>0.00058</v>
      </c>
      <c r="I67" s="393">
        <f t="shared" si="72"/>
        <v>0.00058</v>
      </c>
      <c r="J67" s="393">
        <f t="shared" si="72"/>
        <v>0.00058</v>
      </c>
      <c r="K67" s="356"/>
      <c r="L67" s="357"/>
      <c r="M67" s="357"/>
      <c r="N67" s="353" t="s">
        <v>4902</v>
      </c>
      <c r="O67" s="399">
        <f t="shared" ref="O67:Z67" si="73">SUM(O68:O75)</f>
        <v>13.802028</v>
      </c>
      <c r="P67" s="399">
        <f t="shared" si="73"/>
        <v>82.812168</v>
      </c>
      <c r="Q67" s="399">
        <f t="shared" si="73"/>
        <v>220.832448</v>
      </c>
      <c r="R67" s="399">
        <f t="shared" si="73"/>
        <v>331.248672</v>
      </c>
      <c r="S67" s="399">
        <f t="shared" si="73"/>
        <v>276.04056</v>
      </c>
      <c r="T67" s="399">
        <f t="shared" si="73"/>
        <v>248.436504</v>
      </c>
      <c r="U67" s="399">
        <f t="shared" si="73"/>
        <v>414.06084</v>
      </c>
      <c r="V67" s="399">
        <f t="shared" si="73"/>
        <v>579.685176</v>
      </c>
      <c r="W67" s="399">
        <f t="shared" si="73"/>
        <v>331.248672</v>
      </c>
      <c r="X67" s="399">
        <f t="shared" si="73"/>
        <v>276.04056</v>
      </c>
      <c r="Y67" s="399">
        <f t="shared" si="73"/>
        <v>220.832448</v>
      </c>
      <c r="Z67" s="399">
        <f t="shared" si="73"/>
        <v>607.289232</v>
      </c>
    </row>
    <row r="68" s="429" customFormat="1" spans="2:26">
      <c r="B68" s="394" t="s">
        <v>4903</v>
      </c>
      <c r="C68" s="397"/>
      <c r="D68" s="354">
        <f t="shared" ref="D68:D75" si="74">SUM(O68:Z68)</f>
        <v>621.09126</v>
      </c>
      <c r="E68" s="359">
        <f t="shared" si="6"/>
        <v>0.0001</v>
      </c>
      <c r="F68" s="360"/>
      <c r="G68" s="355">
        <v>0.0001</v>
      </c>
      <c r="H68" s="386">
        <f t="shared" ref="H68:H71" si="75">SUM(R68:T68)/SUM($R$18:$T$18)</f>
        <v>0.0001</v>
      </c>
      <c r="I68" s="386">
        <f t="shared" ref="I68:I71" si="76">SUM(U68:W68)/SUM($U$18:$W$18)</f>
        <v>0.0001</v>
      </c>
      <c r="J68" s="386">
        <f t="shared" ref="J68:J71" si="77">SUM(X68:Z68)/SUM($X$18:$Z$18)</f>
        <v>0.0001</v>
      </c>
      <c r="K68" s="378"/>
      <c r="L68" s="370"/>
      <c r="M68" s="370"/>
      <c r="N68" s="394" t="s">
        <v>4903</v>
      </c>
      <c r="O68" s="389">
        <f t="shared" ref="O68:O75" si="78">$O$18*G68</f>
        <v>2.37966</v>
      </c>
      <c r="P68" s="363">
        <f t="shared" ref="P68:P75" si="79">$P$18*G68</f>
        <v>14.27796</v>
      </c>
      <c r="Q68" s="389">
        <f t="shared" ref="Q68:Q75" si="80">$Q$18*G68</f>
        <v>38.07456</v>
      </c>
      <c r="R68" s="389">
        <f t="shared" ref="R68:R75" si="81">$R$18*G68</f>
        <v>57.11184</v>
      </c>
      <c r="S68" s="389">
        <f t="shared" ref="S68:S75" si="82">$S$18*G68</f>
        <v>47.5932</v>
      </c>
      <c r="T68" s="389">
        <f t="shared" ref="T68:T75" si="83">$T$18*G68</f>
        <v>42.83388</v>
      </c>
      <c r="U68" s="391">
        <f t="shared" ref="U68:U75" si="84">$U$18*G68</f>
        <v>71.3898</v>
      </c>
      <c r="V68" s="389">
        <f t="shared" ref="V68:V75" si="85">$V$18*G68</f>
        <v>99.94572</v>
      </c>
      <c r="W68" s="389">
        <f t="shared" ref="W68:W75" si="86">$W$18*G68</f>
        <v>57.11184</v>
      </c>
      <c r="X68" s="389">
        <f t="shared" ref="X68:X75" si="87">$X$18*G68</f>
        <v>47.5932</v>
      </c>
      <c r="Y68" s="389">
        <f t="shared" ref="Y68:Y75" si="88">$Y$18*G68</f>
        <v>38.07456</v>
      </c>
      <c r="Z68" s="389">
        <f t="shared" ref="Z68:Z75" si="89">$Z$18*G68</f>
        <v>104.70504</v>
      </c>
    </row>
    <row r="69" s="429" customFormat="1" spans="2:26">
      <c r="B69" s="394" t="s">
        <v>4904</v>
      </c>
      <c r="C69" s="397"/>
      <c r="D69" s="354">
        <f t="shared" si="74"/>
        <v>-62.109126</v>
      </c>
      <c r="E69" s="359">
        <f t="shared" si="6"/>
        <v>-1e-5</v>
      </c>
      <c r="F69" s="360"/>
      <c r="G69" s="355">
        <v>-1e-5</v>
      </c>
      <c r="H69" s="386">
        <f t="shared" si="75"/>
        <v>-1e-5</v>
      </c>
      <c r="I69" s="386">
        <f t="shared" si="76"/>
        <v>-1e-5</v>
      </c>
      <c r="J69" s="386">
        <f t="shared" si="77"/>
        <v>-1e-5</v>
      </c>
      <c r="K69" s="378"/>
      <c r="L69" s="370"/>
      <c r="M69" s="370"/>
      <c r="N69" s="394" t="s">
        <v>4904</v>
      </c>
      <c r="O69" s="389">
        <f t="shared" si="78"/>
        <v>-0.237966</v>
      </c>
      <c r="P69" s="363">
        <f t="shared" si="79"/>
        <v>-1.427796</v>
      </c>
      <c r="Q69" s="389">
        <f t="shared" si="80"/>
        <v>-3.807456</v>
      </c>
      <c r="R69" s="389">
        <f t="shared" si="81"/>
        <v>-5.711184</v>
      </c>
      <c r="S69" s="389">
        <f t="shared" si="82"/>
        <v>-4.75932</v>
      </c>
      <c r="T69" s="389">
        <f t="shared" si="83"/>
        <v>-4.283388</v>
      </c>
      <c r="U69" s="391">
        <f t="shared" si="84"/>
        <v>-7.13898</v>
      </c>
      <c r="V69" s="389">
        <f t="shared" si="85"/>
        <v>-9.994572</v>
      </c>
      <c r="W69" s="389">
        <f t="shared" si="86"/>
        <v>-5.711184</v>
      </c>
      <c r="X69" s="389">
        <f t="shared" si="87"/>
        <v>-4.75932</v>
      </c>
      <c r="Y69" s="389">
        <f t="shared" si="88"/>
        <v>-3.807456</v>
      </c>
      <c r="Z69" s="389">
        <f t="shared" si="89"/>
        <v>-10.470504</v>
      </c>
    </row>
    <row r="70" s="429" customFormat="1" spans="2:26">
      <c r="B70" s="394" t="s">
        <v>4905</v>
      </c>
      <c r="C70" s="397"/>
      <c r="D70" s="354">
        <f t="shared" si="74"/>
        <v>1801.164654</v>
      </c>
      <c r="E70" s="359">
        <f t="shared" si="6"/>
        <v>0.00029</v>
      </c>
      <c r="F70" s="360"/>
      <c r="G70" s="355">
        <v>0.00029</v>
      </c>
      <c r="H70" s="386">
        <f t="shared" si="75"/>
        <v>0.00029</v>
      </c>
      <c r="I70" s="386">
        <f t="shared" si="76"/>
        <v>0.00029</v>
      </c>
      <c r="J70" s="386">
        <f t="shared" si="77"/>
        <v>0.00029</v>
      </c>
      <c r="K70" s="378"/>
      <c r="L70" s="370"/>
      <c r="M70" s="370"/>
      <c r="N70" s="394" t="s">
        <v>4905</v>
      </c>
      <c r="O70" s="389">
        <f t="shared" si="78"/>
        <v>6.901014</v>
      </c>
      <c r="P70" s="363">
        <f t="shared" si="79"/>
        <v>41.406084</v>
      </c>
      <c r="Q70" s="389">
        <f t="shared" si="80"/>
        <v>110.416224</v>
      </c>
      <c r="R70" s="389">
        <f t="shared" si="81"/>
        <v>165.624336</v>
      </c>
      <c r="S70" s="389">
        <f t="shared" si="82"/>
        <v>138.02028</v>
      </c>
      <c r="T70" s="389">
        <f t="shared" si="83"/>
        <v>124.218252</v>
      </c>
      <c r="U70" s="391">
        <f t="shared" si="84"/>
        <v>207.03042</v>
      </c>
      <c r="V70" s="389">
        <f t="shared" si="85"/>
        <v>289.842588</v>
      </c>
      <c r="W70" s="389">
        <f t="shared" si="86"/>
        <v>165.624336</v>
      </c>
      <c r="X70" s="389">
        <f t="shared" si="87"/>
        <v>138.02028</v>
      </c>
      <c r="Y70" s="389">
        <f t="shared" si="88"/>
        <v>110.416224</v>
      </c>
      <c r="Z70" s="389">
        <f t="shared" si="89"/>
        <v>303.644616</v>
      </c>
    </row>
    <row r="71" s="429" customFormat="1" spans="2:26">
      <c r="B71" s="394" t="s">
        <v>4906</v>
      </c>
      <c r="C71" s="397"/>
      <c r="D71" s="354">
        <f t="shared" si="74"/>
        <v>1242.18252</v>
      </c>
      <c r="E71" s="359">
        <f t="shared" si="6"/>
        <v>0.0002</v>
      </c>
      <c r="F71" s="360"/>
      <c r="G71" s="355">
        <v>0.0002</v>
      </c>
      <c r="H71" s="386">
        <f t="shared" si="75"/>
        <v>0.0002</v>
      </c>
      <c r="I71" s="386">
        <f t="shared" si="76"/>
        <v>0.0002</v>
      </c>
      <c r="J71" s="386">
        <f t="shared" si="77"/>
        <v>0.0002</v>
      </c>
      <c r="K71" s="378"/>
      <c r="L71" s="370"/>
      <c r="M71" s="370"/>
      <c r="N71" s="394" t="s">
        <v>4906</v>
      </c>
      <c r="O71" s="389">
        <f t="shared" si="78"/>
        <v>4.75932</v>
      </c>
      <c r="P71" s="363">
        <f t="shared" si="79"/>
        <v>28.55592</v>
      </c>
      <c r="Q71" s="389">
        <f t="shared" si="80"/>
        <v>76.14912</v>
      </c>
      <c r="R71" s="389">
        <f t="shared" si="81"/>
        <v>114.22368</v>
      </c>
      <c r="S71" s="389">
        <f t="shared" si="82"/>
        <v>95.1864</v>
      </c>
      <c r="T71" s="389">
        <f t="shared" si="83"/>
        <v>85.66776</v>
      </c>
      <c r="U71" s="391">
        <f t="shared" si="84"/>
        <v>142.7796</v>
      </c>
      <c r="V71" s="389">
        <f t="shared" si="85"/>
        <v>199.89144</v>
      </c>
      <c r="W71" s="389">
        <f t="shared" si="86"/>
        <v>114.22368</v>
      </c>
      <c r="X71" s="389">
        <f t="shared" si="87"/>
        <v>95.1864</v>
      </c>
      <c r="Y71" s="389">
        <f t="shared" si="88"/>
        <v>76.14912</v>
      </c>
      <c r="Z71" s="389">
        <f t="shared" si="89"/>
        <v>209.41008</v>
      </c>
    </row>
    <row r="72" s="429" customFormat="1" spans="2:26">
      <c r="B72" s="400" t="s">
        <v>4907</v>
      </c>
      <c r="C72" s="397"/>
      <c r="D72" s="354">
        <f t="shared" si="74"/>
        <v>0</v>
      </c>
      <c r="E72" s="359">
        <f t="shared" si="6"/>
        <v>0</v>
      </c>
      <c r="F72" s="360"/>
      <c r="G72" s="355"/>
      <c r="H72" s="361"/>
      <c r="I72" s="361"/>
      <c r="J72" s="361"/>
      <c r="K72" s="378"/>
      <c r="L72" s="370"/>
      <c r="M72" s="370"/>
      <c r="N72" s="400" t="s">
        <v>4907</v>
      </c>
      <c r="O72" s="389">
        <f t="shared" si="78"/>
        <v>0</v>
      </c>
      <c r="P72" s="363">
        <f t="shared" si="79"/>
        <v>0</v>
      </c>
      <c r="Q72" s="389">
        <f t="shared" si="80"/>
        <v>0</v>
      </c>
      <c r="R72" s="389">
        <f t="shared" si="81"/>
        <v>0</v>
      </c>
      <c r="S72" s="389">
        <f t="shared" si="82"/>
        <v>0</v>
      </c>
      <c r="T72" s="389">
        <f t="shared" si="83"/>
        <v>0</v>
      </c>
      <c r="U72" s="391">
        <f t="shared" si="84"/>
        <v>0</v>
      </c>
      <c r="V72" s="389">
        <f t="shared" si="85"/>
        <v>0</v>
      </c>
      <c r="W72" s="389">
        <f t="shared" si="86"/>
        <v>0</v>
      </c>
      <c r="X72" s="389">
        <f t="shared" si="87"/>
        <v>0</v>
      </c>
      <c r="Y72" s="389">
        <f t="shared" si="88"/>
        <v>0</v>
      </c>
      <c r="Z72" s="389">
        <f t="shared" si="89"/>
        <v>0</v>
      </c>
    </row>
    <row r="73" s="429" customFormat="1" spans="2:26">
      <c r="B73" s="400" t="s">
        <v>4908</v>
      </c>
      <c r="C73" s="397"/>
      <c r="D73" s="354">
        <f t="shared" si="74"/>
        <v>0</v>
      </c>
      <c r="E73" s="359">
        <f t="shared" si="6"/>
        <v>0</v>
      </c>
      <c r="F73" s="360"/>
      <c r="G73" s="355"/>
      <c r="H73" s="361"/>
      <c r="I73" s="361"/>
      <c r="J73" s="361"/>
      <c r="K73" s="378"/>
      <c r="L73" s="370"/>
      <c r="M73" s="370"/>
      <c r="N73" s="400" t="s">
        <v>4908</v>
      </c>
      <c r="O73" s="389">
        <f t="shared" si="78"/>
        <v>0</v>
      </c>
      <c r="P73" s="363">
        <f t="shared" si="79"/>
        <v>0</v>
      </c>
      <c r="Q73" s="389">
        <f t="shared" si="80"/>
        <v>0</v>
      </c>
      <c r="R73" s="389">
        <f t="shared" si="81"/>
        <v>0</v>
      </c>
      <c r="S73" s="389">
        <f t="shared" si="82"/>
        <v>0</v>
      </c>
      <c r="T73" s="389">
        <f t="shared" si="83"/>
        <v>0</v>
      </c>
      <c r="U73" s="391">
        <f t="shared" si="84"/>
        <v>0</v>
      </c>
      <c r="V73" s="389">
        <f t="shared" si="85"/>
        <v>0</v>
      </c>
      <c r="W73" s="389">
        <f t="shared" si="86"/>
        <v>0</v>
      </c>
      <c r="X73" s="389">
        <f t="shared" si="87"/>
        <v>0</v>
      </c>
      <c r="Y73" s="389">
        <f t="shared" si="88"/>
        <v>0</v>
      </c>
      <c r="Z73" s="389">
        <f t="shared" si="89"/>
        <v>0</v>
      </c>
    </row>
    <row r="74" s="429" customFormat="1" spans="2:26">
      <c r="B74" s="400" t="s">
        <v>4909</v>
      </c>
      <c r="C74" s="397"/>
      <c r="D74" s="354">
        <f t="shared" si="74"/>
        <v>0</v>
      </c>
      <c r="E74" s="359">
        <f t="shared" si="6"/>
        <v>0</v>
      </c>
      <c r="F74" s="360"/>
      <c r="G74" s="355"/>
      <c r="H74" s="361"/>
      <c r="I74" s="361"/>
      <c r="J74" s="361"/>
      <c r="K74" s="378"/>
      <c r="L74" s="370"/>
      <c r="M74" s="370"/>
      <c r="N74" s="400" t="s">
        <v>4909</v>
      </c>
      <c r="O74" s="389">
        <f t="shared" si="78"/>
        <v>0</v>
      </c>
      <c r="P74" s="363">
        <f t="shared" si="79"/>
        <v>0</v>
      </c>
      <c r="Q74" s="389">
        <f t="shared" si="80"/>
        <v>0</v>
      </c>
      <c r="R74" s="389">
        <f t="shared" si="81"/>
        <v>0</v>
      </c>
      <c r="S74" s="389">
        <f t="shared" si="82"/>
        <v>0</v>
      </c>
      <c r="T74" s="389">
        <f t="shared" si="83"/>
        <v>0</v>
      </c>
      <c r="U74" s="391">
        <f t="shared" si="84"/>
        <v>0</v>
      </c>
      <c r="V74" s="389">
        <f t="shared" si="85"/>
        <v>0</v>
      </c>
      <c r="W74" s="389">
        <f t="shared" si="86"/>
        <v>0</v>
      </c>
      <c r="X74" s="389">
        <f t="shared" si="87"/>
        <v>0</v>
      </c>
      <c r="Y74" s="389">
        <f t="shared" si="88"/>
        <v>0</v>
      </c>
      <c r="Z74" s="389">
        <f t="shared" si="89"/>
        <v>0</v>
      </c>
    </row>
    <row r="75" s="429" customFormat="1" spans="2:26">
      <c r="B75" s="400" t="s">
        <v>4910</v>
      </c>
      <c r="C75" s="397"/>
      <c r="D75" s="354">
        <f t="shared" si="74"/>
        <v>0</v>
      </c>
      <c r="E75" s="359">
        <f t="shared" si="6"/>
        <v>0</v>
      </c>
      <c r="F75" s="360"/>
      <c r="G75" s="355">
        <v>0</v>
      </c>
      <c r="H75" s="355">
        <v>0</v>
      </c>
      <c r="I75" s="355">
        <v>0</v>
      </c>
      <c r="J75" s="355">
        <v>0</v>
      </c>
      <c r="K75" s="378"/>
      <c r="L75" s="370"/>
      <c r="M75" s="370"/>
      <c r="N75" s="400" t="s">
        <v>4910</v>
      </c>
      <c r="O75" s="389">
        <f t="shared" si="78"/>
        <v>0</v>
      </c>
      <c r="P75" s="363">
        <f t="shared" si="79"/>
        <v>0</v>
      </c>
      <c r="Q75" s="389">
        <f t="shared" si="80"/>
        <v>0</v>
      </c>
      <c r="R75" s="389">
        <f t="shared" si="81"/>
        <v>0</v>
      </c>
      <c r="S75" s="389">
        <f t="shared" si="82"/>
        <v>0</v>
      </c>
      <c r="T75" s="389">
        <f t="shared" si="83"/>
        <v>0</v>
      </c>
      <c r="U75" s="391">
        <f t="shared" si="84"/>
        <v>0</v>
      </c>
      <c r="V75" s="389">
        <f t="shared" si="85"/>
        <v>0</v>
      </c>
      <c r="W75" s="389">
        <f t="shared" si="86"/>
        <v>0</v>
      </c>
      <c r="X75" s="389">
        <f t="shared" si="87"/>
        <v>0</v>
      </c>
      <c r="Y75" s="389">
        <f t="shared" si="88"/>
        <v>0</v>
      </c>
      <c r="Z75" s="389">
        <f t="shared" si="89"/>
        <v>0</v>
      </c>
    </row>
    <row r="76" s="429" customFormat="1" ht="21" spans="2:26">
      <c r="B76" s="401" t="s">
        <v>4911</v>
      </c>
      <c r="C76" s="346" t="s">
        <v>4912</v>
      </c>
      <c r="D76" s="347">
        <f>D77+D78+D79</f>
        <v>0</v>
      </c>
      <c r="E76" s="339">
        <f t="shared" si="6"/>
        <v>0</v>
      </c>
      <c r="F76" s="348" t="s">
        <v>4913</v>
      </c>
      <c r="G76" s="402" t="s">
        <v>4914</v>
      </c>
      <c r="H76" s="402" t="s">
        <v>4914</v>
      </c>
      <c r="I76" s="402" t="s">
        <v>4914</v>
      </c>
      <c r="J76" s="402" t="s">
        <v>4914</v>
      </c>
      <c r="K76" s="378" t="s">
        <v>4915</v>
      </c>
      <c r="L76" s="370"/>
      <c r="M76" s="357"/>
      <c r="N76" s="401" t="s">
        <v>4916</v>
      </c>
      <c r="O76" s="363">
        <f t="shared" ref="O76:Z76" si="90">O77+O78+O79</f>
        <v>0</v>
      </c>
      <c r="P76" s="363">
        <f t="shared" si="90"/>
        <v>0</v>
      </c>
      <c r="Q76" s="363">
        <f t="shared" si="90"/>
        <v>0</v>
      </c>
      <c r="R76" s="363">
        <f t="shared" si="90"/>
        <v>0</v>
      </c>
      <c r="S76" s="363">
        <f t="shared" si="90"/>
        <v>0</v>
      </c>
      <c r="T76" s="363">
        <f t="shared" si="90"/>
        <v>0</v>
      </c>
      <c r="U76" s="363">
        <f t="shared" si="90"/>
        <v>0</v>
      </c>
      <c r="V76" s="363">
        <f t="shared" si="90"/>
        <v>0</v>
      </c>
      <c r="W76" s="363">
        <f t="shared" si="90"/>
        <v>0</v>
      </c>
      <c r="X76" s="363">
        <f t="shared" si="90"/>
        <v>0</v>
      </c>
      <c r="Y76" s="363">
        <f t="shared" si="90"/>
        <v>0</v>
      </c>
      <c r="Z76" s="363">
        <f t="shared" si="90"/>
        <v>0</v>
      </c>
    </row>
    <row r="77" s="429" customFormat="1" ht="33" spans="2:26">
      <c r="B77" s="377" t="s">
        <v>4917</v>
      </c>
      <c r="C77" s="377" t="s">
        <v>4918</v>
      </c>
      <c r="D77" s="403">
        <v>0</v>
      </c>
      <c r="E77" s="339">
        <f t="shared" si="6"/>
        <v>0</v>
      </c>
      <c r="F77" s="348" t="s">
        <v>4913</v>
      </c>
      <c r="G77" s="402" t="s">
        <v>4914</v>
      </c>
      <c r="H77" s="402" t="s">
        <v>4914</v>
      </c>
      <c r="I77" s="402" t="s">
        <v>4914</v>
      </c>
      <c r="J77" s="402" t="s">
        <v>4914</v>
      </c>
      <c r="K77" s="387" t="s">
        <v>4919</v>
      </c>
      <c r="L77" s="388"/>
      <c r="M77" s="370"/>
      <c r="N77" s="377" t="s">
        <v>4917</v>
      </c>
      <c r="O77" s="363">
        <f t="shared" ref="O77:O79" si="91">D77</f>
        <v>0</v>
      </c>
      <c r="P77" s="363">
        <v>0</v>
      </c>
      <c r="Q77" s="363">
        <v>0</v>
      </c>
      <c r="R77" s="363">
        <v>0</v>
      </c>
      <c r="S77" s="363">
        <v>0</v>
      </c>
      <c r="T77" s="363">
        <v>0</v>
      </c>
      <c r="U77" s="363">
        <v>0</v>
      </c>
      <c r="V77" s="363">
        <v>0</v>
      </c>
      <c r="W77" s="363">
        <v>0</v>
      </c>
      <c r="X77" s="363">
        <v>0</v>
      </c>
      <c r="Y77" s="363">
        <v>0</v>
      </c>
      <c r="Z77" s="363">
        <v>0</v>
      </c>
    </row>
    <row r="78" s="429" customFormat="1" spans="2:26">
      <c r="B78" s="377" t="s">
        <v>4920</v>
      </c>
      <c r="C78" s="377" t="s">
        <v>4918</v>
      </c>
      <c r="D78" s="403">
        <v>0</v>
      </c>
      <c r="E78" s="339">
        <f t="shared" si="6"/>
        <v>0</v>
      </c>
      <c r="F78" s="348" t="s">
        <v>4913</v>
      </c>
      <c r="G78" s="402" t="s">
        <v>4914</v>
      </c>
      <c r="H78" s="402" t="s">
        <v>4914</v>
      </c>
      <c r="I78" s="402" t="s">
        <v>4914</v>
      </c>
      <c r="J78" s="402" t="s">
        <v>4914</v>
      </c>
      <c r="K78" s="378"/>
      <c r="L78" s="370"/>
      <c r="M78" s="370"/>
      <c r="N78" s="377" t="s">
        <v>4920</v>
      </c>
      <c r="O78" s="363">
        <f t="shared" si="91"/>
        <v>0</v>
      </c>
      <c r="P78" s="363">
        <v>0</v>
      </c>
      <c r="Q78" s="363">
        <v>0</v>
      </c>
      <c r="R78" s="363">
        <v>0</v>
      </c>
      <c r="S78" s="363">
        <v>0</v>
      </c>
      <c r="T78" s="363">
        <v>0</v>
      </c>
      <c r="U78" s="363">
        <v>0</v>
      </c>
      <c r="V78" s="363">
        <v>0</v>
      </c>
      <c r="W78" s="363">
        <v>0</v>
      </c>
      <c r="X78" s="363">
        <v>0</v>
      </c>
      <c r="Y78" s="363">
        <v>0</v>
      </c>
      <c r="Z78" s="363">
        <v>0</v>
      </c>
    </row>
    <row r="79" s="429" customFormat="1" spans="2:26">
      <c r="B79" s="377" t="s">
        <v>4921</v>
      </c>
      <c r="C79" s="377" t="s">
        <v>4918</v>
      </c>
      <c r="D79" s="403">
        <v>0</v>
      </c>
      <c r="E79" s="339">
        <f t="shared" si="6"/>
        <v>0</v>
      </c>
      <c r="F79" s="348" t="s">
        <v>4913</v>
      </c>
      <c r="G79" s="402" t="s">
        <v>4914</v>
      </c>
      <c r="H79" s="402" t="s">
        <v>4914</v>
      </c>
      <c r="I79" s="402" t="s">
        <v>4914</v>
      </c>
      <c r="J79" s="402" t="s">
        <v>4914</v>
      </c>
      <c r="K79" s="378"/>
      <c r="L79" s="370"/>
      <c r="M79" s="370"/>
      <c r="N79" s="377" t="s">
        <v>4921</v>
      </c>
      <c r="O79" s="363">
        <f t="shared" si="91"/>
        <v>0</v>
      </c>
      <c r="P79" s="363">
        <v>0</v>
      </c>
      <c r="Q79" s="363">
        <v>0</v>
      </c>
      <c r="R79" s="363">
        <v>0</v>
      </c>
      <c r="S79" s="363">
        <v>0</v>
      </c>
      <c r="T79" s="363">
        <v>0</v>
      </c>
      <c r="U79" s="363">
        <v>0</v>
      </c>
      <c r="V79" s="363">
        <v>0</v>
      </c>
      <c r="W79" s="363">
        <v>0</v>
      </c>
      <c r="X79" s="363">
        <v>0</v>
      </c>
      <c r="Y79" s="363">
        <v>0</v>
      </c>
      <c r="Z79" s="363">
        <v>0</v>
      </c>
    </row>
    <row r="80" s="429" customFormat="1" ht="21" spans="2:26">
      <c r="B80" s="401" t="s">
        <v>4922</v>
      </c>
      <c r="C80" s="346" t="s">
        <v>4923</v>
      </c>
      <c r="D80" s="404">
        <f>D31-D32-D50-D67-D76</f>
        <v>644217.001823216</v>
      </c>
      <c r="E80" s="405">
        <f t="shared" si="6"/>
        <v>0.103723404805795</v>
      </c>
      <c r="F80" s="348"/>
      <c r="G80" s="406">
        <f>(O80+P80+Q80)/(O18+P18+Q18)</f>
        <v>0.103723404805796</v>
      </c>
      <c r="H80" s="406">
        <f>(R80+S80+T80)/(R18+S18+T18)</f>
        <v>0.103723404805795</v>
      </c>
      <c r="I80" s="406">
        <f>(U80+V80+W80)/(U18+V18+W18)</f>
        <v>0.103723404805796</v>
      </c>
      <c r="J80" s="406">
        <f>(X80+Y80+Z80)/(X18+Y18+Z18)</f>
        <v>0.103723404805795</v>
      </c>
      <c r="K80" s="356"/>
      <c r="L80" s="357"/>
      <c r="M80" s="357"/>
      <c r="N80" s="401" t="s">
        <v>4924</v>
      </c>
      <c r="O80" s="407">
        <f t="shared" ref="O80:Z80" si="92">O31-O32-O50-O67-O76</f>
        <v>2468.26437480159</v>
      </c>
      <c r="P80" s="407">
        <f t="shared" si="92"/>
        <v>14809.5862488095</v>
      </c>
      <c r="Q80" s="407">
        <f t="shared" si="92"/>
        <v>39492.2299968255</v>
      </c>
      <c r="R80" s="407">
        <f t="shared" si="92"/>
        <v>59238.3449952382</v>
      </c>
      <c r="S80" s="407">
        <f t="shared" si="92"/>
        <v>49365.2874960318</v>
      </c>
      <c r="T80" s="407">
        <f t="shared" si="92"/>
        <v>44428.7587464286</v>
      </c>
      <c r="U80" s="407">
        <f t="shared" si="92"/>
        <v>74047.9312440478</v>
      </c>
      <c r="V80" s="407">
        <f t="shared" si="92"/>
        <v>103667.103741667</v>
      </c>
      <c r="W80" s="407">
        <f t="shared" si="92"/>
        <v>59238.3449952382</v>
      </c>
      <c r="X80" s="407">
        <f t="shared" si="92"/>
        <v>49365.2874960318</v>
      </c>
      <c r="Y80" s="407">
        <f t="shared" si="92"/>
        <v>39492.2299968255</v>
      </c>
      <c r="Z80" s="407">
        <f t="shared" si="92"/>
        <v>108603.63249127</v>
      </c>
    </row>
    <row r="81" s="429" customFormat="1" spans="2:26">
      <c r="B81" s="408" t="s">
        <v>4925</v>
      </c>
      <c r="C81" s="397"/>
      <c r="D81" s="354">
        <f>SUM(O81:Z81)</f>
        <v>0</v>
      </c>
      <c r="E81" s="339"/>
      <c r="F81" s="360"/>
      <c r="G81" s="355">
        <f>G24-G25-G38-G56-G73</f>
        <v>-0.0341023377350549</v>
      </c>
      <c r="H81" s="361"/>
      <c r="I81" s="361"/>
      <c r="J81" s="361"/>
      <c r="K81" s="378"/>
      <c r="L81" s="370"/>
      <c r="M81" s="370"/>
      <c r="N81" s="408" t="s">
        <v>4926</v>
      </c>
      <c r="O81" s="354">
        <f t="shared" ref="O81:Z81" si="93">SUM(Z81:AK81)</f>
        <v>0</v>
      </c>
      <c r="P81" s="354">
        <f t="shared" si="93"/>
        <v>0</v>
      </c>
      <c r="Q81" s="354">
        <f t="shared" si="93"/>
        <v>0</v>
      </c>
      <c r="R81" s="354">
        <f t="shared" si="93"/>
        <v>0</v>
      </c>
      <c r="S81" s="354">
        <f t="shared" si="93"/>
        <v>0</v>
      </c>
      <c r="T81" s="354">
        <f t="shared" si="93"/>
        <v>0</v>
      </c>
      <c r="U81" s="354">
        <f t="shared" si="93"/>
        <v>0</v>
      </c>
      <c r="V81" s="354">
        <f t="shared" si="93"/>
        <v>0</v>
      </c>
      <c r="W81" s="354">
        <f t="shared" si="93"/>
        <v>0</v>
      </c>
      <c r="X81" s="354">
        <f t="shared" si="93"/>
        <v>0</v>
      </c>
      <c r="Y81" s="354">
        <f t="shared" si="93"/>
        <v>0</v>
      </c>
      <c r="Z81" s="354">
        <f t="shared" si="93"/>
        <v>0</v>
      </c>
    </row>
    <row r="82" s="429" customFormat="1" spans="2:26">
      <c r="B82" s="377" t="s">
        <v>4927</v>
      </c>
      <c r="C82" s="377" t="s">
        <v>4928</v>
      </c>
      <c r="D82" s="407">
        <f>D80</f>
        <v>644217.001823216</v>
      </c>
      <c r="E82" s="405">
        <f t="shared" ref="E82:E84" si="94">D82/$D$18</f>
        <v>0.103723404805795</v>
      </c>
      <c r="F82" s="360"/>
      <c r="G82" s="409">
        <f>O80+P80+Q80</f>
        <v>56770.0806204366</v>
      </c>
      <c r="H82" s="409">
        <f>R80+S80+T80</f>
        <v>153032.391237699</v>
      </c>
      <c r="I82" s="409">
        <f>U80+V80+W80</f>
        <v>236953.379980953</v>
      </c>
      <c r="J82" s="409">
        <f>X80+Y80+Z80</f>
        <v>197461.149984127</v>
      </c>
      <c r="K82" s="378"/>
      <c r="L82" s="370"/>
      <c r="M82" s="370"/>
      <c r="N82" s="377" t="s">
        <v>4927</v>
      </c>
      <c r="O82" s="407">
        <f t="shared" ref="O82:Z82" si="95">O80</f>
        <v>2468.26437480159</v>
      </c>
      <c r="P82" s="407">
        <f t="shared" si="95"/>
        <v>14809.5862488095</v>
      </c>
      <c r="Q82" s="407">
        <f t="shared" si="95"/>
        <v>39492.2299968255</v>
      </c>
      <c r="R82" s="407">
        <f t="shared" si="95"/>
        <v>59238.3449952382</v>
      </c>
      <c r="S82" s="407">
        <f t="shared" si="95"/>
        <v>49365.2874960318</v>
      </c>
      <c r="T82" s="407">
        <f t="shared" si="95"/>
        <v>44428.7587464286</v>
      </c>
      <c r="U82" s="407">
        <f t="shared" si="95"/>
        <v>74047.9312440478</v>
      </c>
      <c r="V82" s="407">
        <f t="shared" si="95"/>
        <v>103667.103741667</v>
      </c>
      <c r="W82" s="407">
        <f t="shared" si="95"/>
        <v>59238.3449952382</v>
      </c>
      <c r="X82" s="407">
        <f t="shared" si="95"/>
        <v>49365.2874960318</v>
      </c>
      <c r="Y82" s="407">
        <f t="shared" si="95"/>
        <v>39492.2299968255</v>
      </c>
      <c r="Z82" s="407">
        <f t="shared" si="95"/>
        <v>108603.63249127</v>
      </c>
    </row>
    <row r="83" s="429" customFormat="1" spans="2:26">
      <c r="B83" s="377" t="s">
        <v>4929</v>
      </c>
      <c r="C83" s="377"/>
      <c r="D83" s="347">
        <f>SUM(O11:Z11)*O9</f>
        <v>2603500</v>
      </c>
      <c r="E83" s="339">
        <f t="shared" si="94"/>
        <v>0.419181554736417</v>
      </c>
      <c r="F83" s="360"/>
      <c r="G83" s="409">
        <f>SUM(O11:Q11)*$O$9</f>
        <v>336550</v>
      </c>
      <c r="H83" s="409">
        <f>SUM(R11:T11)*$O$9</f>
        <v>590550</v>
      </c>
      <c r="I83" s="409">
        <f>SUM(U11:W11)*$O$9</f>
        <v>914400</v>
      </c>
      <c r="J83" s="409">
        <f>SUM(X11:Z11)*$O$9</f>
        <v>762000</v>
      </c>
      <c r="K83" s="410"/>
      <c r="L83" s="411"/>
      <c r="M83" s="411"/>
      <c r="N83" s="377" t="s">
        <v>4929</v>
      </c>
      <c r="O83" s="354">
        <f t="shared" ref="O83:Z83" si="96">SUM(Z11:AK11)*Z9</f>
        <v>419100</v>
      </c>
      <c r="P83" s="354">
        <f t="shared" si="96"/>
        <v>0</v>
      </c>
      <c r="Q83" s="354">
        <f t="shared" si="96"/>
        <v>0</v>
      </c>
      <c r="R83" s="354">
        <f t="shared" si="96"/>
        <v>0</v>
      </c>
      <c r="S83" s="354">
        <f t="shared" si="96"/>
        <v>0</v>
      </c>
      <c r="T83" s="354">
        <f t="shared" si="96"/>
        <v>0</v>
      </c>
      <c r="U83" s="354">
        <f t="shared" si="96"/>
        <v>0</v>
      </c>
      <c r="V83" s="354">
        <f t="shared" si="96"/>
        <v>0</v>
      </c>
      <c r="W83" s="354">
        <f t="shared" si="96"/>
        <v>0</v>
      </c>
      <c r="X83" s="354">
        <f t="shared" si="96"/>
        <v>0</v>
      </c>
      <c r="Y83" s="354">
        <f t="shared" si="96"/>
        <v>0</v>
      </c>
      <c r="Z83" s="354">
        <f t="shared" si="96"/>
        <v>0</v>
      </c>
    </row>
    <row r="84" s="429" customFormat="1" spans="2:26">
      <c r="B84" s="377" t="s">
        <v>4930</v>
      </c>
      <c r="C84" s="377"/>
      <c r="D84" s="354">
        <f>Z12*Z9</f>
        <v>0</v>
      </c>
      <c r="E84" s="339">
        <f t="shared" si="94"/>
        <v>0</v>
      </c>
      <c r="F84" s="360"/>
      <c r="G84" s="409">
        <f>Q12*$O$9</f>
        <v>0</v>
      </c>
      <c r="H84" s="409">
        <f>T12*$O$9</f>
        <v>0</v>
      </c>
      <c r="I84" s="409">
        <f>W12*$O$9</f>
        <v>0</v>
      </c>
      <c r="J84" s="409">
        <f>Z12*$O$9</f>
        <v>0</v>
      </c>
      <c r="K84" s="378"/>
      <c r="L84" s="370"/>
      <c r="M84" s="370"/>
      <c r="N84" s="377" t="s">
        <v>4930</v>
      </c>
      <c r="O84" s="354">
        <f t="shared" ref="O84:Z84" si="97">AK12*AK9</f>
        <v>0</v>
      </c>
      <c r="P84" s="354">
        <f t="shared" si="97"/>
        <v>0</v>
      </c>
      <c r="Q84" s="354">
        <f t="shared" si="97"/>
        <v>0</v>
      </c>
      <c r="R84" s="354">
        <f t="shared" si="97"/>
        <v>0</v>
      </c>
      <c r="S84" s="354">
        <f t="shared" si="97"/>
        <v>0</v>
      </c>
      <c r="T84" s="354">
        <f t="shared" si="97"/>
        <v>0</v>
      </c>
      <c r="U84" s="354">
        <f t="shared" si="97"/>
        <v>0</v>
      </c>
      <c r="V84" s="354">
        <f t="shared" si="97"/>
        <v>0</v>
      </c>
      <c r="W84" s="354">
        <f t="shared" si="97"/>
        <v>0</v>
      </c>
      <c r="X84" s="354">
        <f t="shared" si="97"/>
        <v>0</v>
      </c>
      <c r="Y84" s="354">
        <f t="shared" si="97"/>
        <v>0</v>
      </c>
      <c r="Z84" s="354">
        <f t="shared" si="97"/>
        <v>0</v>
      </c>
    </row>
    <row r="85" s="429" customFormat="1" spans="2:26">
      <c r="B85" s="377" t="s">
        <v>4931</v>
      </c>
      <c r="C85" s="377"/>
      <c r="D85" s="412">
        <f>Z13</f>
        <v>0</v>
      </c>
      <c r="E85" s="413" t="s">
        <v>4914</v>
      </c>
      <c r="F85" s="360"/>
      <c r="G85" s="412">
        <f>Q13</f>
        <v>0</v>
      </c>
      <c r="H85" s="412">
        <f>T13</f>
        <v>0</v>
      </c>
      <c r="I85" s="412">
        <f>W13</f>
        <v>0</v>
      </c>
      <c r="J85" s="412">
        <f>Z13</f>
        <v>0</v>
      </c>
      <c r="K85" s="378"/>
      <c r="L85" s="370"/>
      <c r="M85" s="370"/>
      <c r="N85" s="377" t="s">
        <v>4931</v>
      </c>
      <c r="O85" s="412">
        <f t="shared" ref="O85:Z85" si="98">AK13</f>
        <v>0</v>
      </c>
      <c r="P85" s="412">
        <f t="shared" si="98"/>
        <v>0</v>
      </c>
      <c r="Q85" s="412">
        <f t="shared" si="98"/>
        <v>0</v>
      </c>
      <c r="R85" s="412">
        <f t="shared" si="98"/>
        <v>0</v>
      </c>
      <c r="S85" s="412">
        <f t="shared" si="98"/>
        <v>0</v>
      </c>
      <c r="T85" s="412">
        <f t="shared" si="98"/>
        <v>0</v>
      </c>
      <c r="U85" s="412">
        <f t="shared" si="98"/>
        <v>0</v>
      </c>
      <c r="V85" s="412">
        <f t="shared" si="98"/>
        <v>0</v>
      </c>
      <c r="W85" s="412">
        <f t="shared" si="98"/>
        <v>0</v>
      </c>
      <c r="X85" s="412">
        <f t="shared" si="98"/>
        <v>0</v>
      </c>
      <c r="Y85" s="412">
        <f t="shared" si="98"/>
        <v>0</v>
      </c>
      <c r="Z85" s="412">
        <f t="shared" si="98"/>
        <v>0</v>
      </c>
    </row>
    <row r="86" s="429" customFormat="1" spans="2:26">
      <c r="B86" s="377" t="s">
        <v>4932</v>
      </c>
      <c r="C86" s="377" t="s">
        <v>4933</v>
      </c>
      <c r="D86" s="413" t="s">
        <v>4914</v>
      </c>
      <c r="E86" s="413" t="s">
        <v>4914</v>
      </c>
      <c r="F86" s="360"/>
      <c r="G86" s="414"/>
      <c r="H86" s="414"/>
      <c r="I86" s="414"/>
      <c r="J86" s="414"/>
      <c r="K86" s="378"/>
      <c r="L86" s="370"/>
      <c r="M86" s="370"/>
      <c r="N86" s="377" t="s">
        <v>4932</v>
      </c>
      <c r="O86" s="413" t="s">
        <v>4914</v>
      </c>
      <c r="P86" s="413" t="s">
        <v>4914</v>
      </c>
      <c r="Q86" s="413" t="s">
        <v>4914</v>
      </c>
      <c r="R86" s="413" t="s">
        <v>4914</v>
      </c>
      <c r="S86" s="413" t="s">
        <v>4914</v>
      </c>
      <c r="T86" s="413" t="s">
        <v>4914</v>
      </c>
      <c r="U86" s="413" t="s">
        <v>4914</v>
      </c>
      <c r="V86" s="413" t="s">
        <v>4914</v>
      </c>
      <c r="W86" s="413" t="s">
        <v>4914</v>
      </c>
      <c r="X86" s="413" t="s">
        <v>4914</v>
      </c>
      <c r="Y86" s="413" t="s">
        <v>4914</v>
      </c>
      <c r="Z86" s="413" t="s">
        <v>4914</v>
      </c>
    </row>
    <row r="87" s="429" customFormat="1" spans="2:26">
      <c r="B87" s="377" t="s">
        <v>4934</v>
      </c>
      <c r="C87" s="377" t="s">
        <v>4933</v>
      </c>
      <c r="D87" s="413" t="s">
        <v>4914</v>
      </c>
      <c r="E87" s="413" t="s">
        <v>4914</v>
      </c>
      <c r="F87" s="415"/>
      <c r="G87" s="414"/>
      <c r="H87" s="414"/>
      <c r="I87" s="414"/>
      <c r="J87" s="414"/>
      <c r="K87" s="378"/>
      <c r="L87" s="370"/>
      <c r="M87" s="370"/>
      <c r="N87" s="377" t="s">
        <v>4934</v>
      </c>
      <c r="O87" s="413" t="s">
        <v>4914</v>
      </c>
      <c r="P87" s="413" t="s">
        <v>4914</v>
      </c>
      <c r="Q87" s="413" t="s">
        <v>4914</v>
      </c>
      <c r="R87" s="413" t="s">
        <v>4914</v>
      </c>
      <c r="S87" s="413" t="s">
        <v>4914</v>
      </c>
      <c r="T87" s="413" t="s">
        <v>4914</v>
      </c>
      <c r="U87" s="413" t="s">
        <v>4914</v>
      </c>
      <c r="V87" s="413" t="s">
        <v>4914</v>
      </c>
      <c r="W87" s="413" t="s">
        <v>4914</v>
      </c>
      <c r="X87" s="413" t="s">
        <v>4914</v>
      </c>
      <c r="Y87" s="413" t="s">
        <v>4914</v>
      </c>
      <c r="Z87" s="413" t="s">
        <v>4914</v>
      </c>
    </row>
    <row r="88" s="429" customFormat="1" spans="2:26">
      <c r="B88" s="265"/>
      <c r="C88" s="265" t="s">
        <v>4935</v>
      </c>
      <c r="D88" s="266">
        <f>SUM(O80:Z80)-D80</f>
        <v>0</v>
      </c>
      <c r="E88" s="267"/>
      <c r="F88" s="268"/>
      <c r="G88" s="269"/>
      <c r="H88" s="269"/>
      <c r="I88" s="269"/>
      <c r="J88" s="269"/>
      <c r="K88" s="265"/>
      <c r="L88" s="265"/>
      <c r="M88" s="265"/>
      <c r="N88" s="265"/>
      <c r="O88" s="265"/>
      <c r="P88" s="265"/>
      <c r="Q88" s="265"/>
      <c r="R88" s="265"/>
      <c r="S88" s="265"/>
      <c r="T88" s="265"/>
      <c r="U88" s="265"/>
      <c r="V88" s="265"/>
      <c r="W88" s="265"/>
      <c r="X88" s="265"/>
      <c r="Y88" s="265"/>
      <c r="Z88" s="265"/>
    </row>
    <row r="89" s="429" customFormat="1" spans="2:26">
      <c r="B89" s="265"/>
      <c r="C89" s="265"/>
      <c r="D89" s="266"/>
      <c r="E89" s="267"/>
      <c r="F89" s="268"/>
      <c r="G89" s="269"/>
      <c r="H89" s="269"/>
      <c r="I89" s="269"/>
      <c r="J89" s="269"/>
      <c r="K89" s="265"/>
      <c r="L89" s="265"/>
      <c r="M89" s="265"/>
      <c r="N89" s="265"/>
      <c r="O89" s="265"/>
      <c r="P89" s="265"/>
      <c r="Q89" s="265"/>
      <c r="R89" s="265"/>
      <c r="S89" s="265"/>
      <c r="T89" s="265"/>
      <c r="U89" s="265"/>
      <c r="V89" s="265"/>
      <c r="W89" s="265"/>
      <c r="X89" s="265"/>
      <c r="Y89" s="265"/>
      <c r="Z89" s="265"/>
    </row>
    <row r="90" s="429" customFormat="1" spans="2:26">
      <c r="B90" s="265"/>
      <c r="C90" s="265"/>
      <c r="D90" s="266"/>
      <c r="E90" s="267"/>
      <c r="F90" s="268"/>
      <c r="G90" s="269"/>
      <c r="H90" s="269"/>
      <c r="I90" s="269"/>
      <c r="J90" s="269"/>
      <c r="K90" s="265"/>
      <c r="L90" s="265"/>
      <c r="M90" s="265"/>
      <c r="N90" s="265"/>
      <c r="O90" s="265"/>
      <c r="P90" s="265"/>
      <c r="Q90" s="265"/>
      <c r="R90" s="265"/>
      <c r="S90" s="265"/>
      <c r="T90" s="265"/>
      <c r="U90" s="265"/>
      <c r="V90" s="265"/>
      <c r="W90" s="265"/>
      <c r="X90" s="265"/>
      <c r="Y90" s="265"/>
      <c r="Z90" s="265"/>
    </row>
    <row r="91" s="429" customFormat="1" spans="2:26">
      <c r="B91" s="265"/>
      <c r="C91" s="265"/>
      <c r="D91" s="266"/>
      <c r="E91" s="267"/>
      <c r="F91" s="268"/>
      <c r="G91" s="269"/>
      <c r="H91" s="269"/>
      <c r="I91" s="269"/>
      <c r="J91" s="269"/>
      <c r="K91" s="265"/>
      <c r="L91" s="265"/>
      <c r="M91" s="265"/>
      <c r="N91" s="265"/>
      <c r="O91" s="265"/>
      <c r="P91" s="265"/>
      <c r="Q91" s="265"/>
      <c r="R91" s="266"/>
      <c r="S91" s="265"/>
      <c r="T91" s="265"/>
      <c r="U91" s="265"/>
      <c r="V91" s="265"/>
      <c r="W91" s="265"/>
      <c r="X91" s="265"/>
      <c r="Y91" s="265"/>
      <c r="Z91" s="265"/>
    </row>
    <row r="92" s="429" customFormat="1" spans="2:26">
      <c r="B92" s="265"/>
      <c r="C92" s="265"/>
      <c r="D92" s="266"/>
      <c r="E92" s="267"/>
      <c r="F92" s="268"/>
      <c r="G92" s="269"/>
      <c r="H92" s="269"/>
      <c r="I92" s="269"/>
      <c r="J92" s="269"/>
      <c r="K92" s="265"/>
      <c r="L92" s="265"/>
      <c r="M92" s="265"/>
      <c r="N92" s="265"/>
      <c r="O92" s="265"/>
      <c r="P92" s="265"/>
      <c r="Q92" s="265"/>
      <c r="R92" s="266"/>
      <c r="S92" s="265"/>
      <c r="T92" s="265"/>
      <c r="U92" s="265"/>
      <c r="V92" s="265"/>
      <c r="W92" s="265"/>
      <c r="X92" s="265"/>
      <c r="Y92" s="265"/>
      <c r="Z92" s="265"/>
    </row>
    <row r="93" s="429" customFormat="1" spans="2:26">
      <c r="B93" s="265"/>
      <c r="C93" s="265"/>
      <c r="D93" s="266"/>
      <c r="E93" s="267"/>
      <c r="F93" s="268"/>
      <c r="G93" s="269"/>
      <c r="H93" s="269"/>
      <c r="I93" s="269"/>
      <c r="J93" s="269"/>
      <c r="K93" s="265"/>
      <c r="L93" s="265"/>
      <c r="M93" s="265"/>
      <c r="N93" s="265"/>
      <c r="O93" s="265"/>
      <c r="P93" s="265"/>
      <c r="Q93" s="265"/>
      <c r="R93" s="266"/>
      <c r="S93" s="265"/>
      <c r="T93" s="265"/>
      <c r="U93" s="265"/>
      <c r="V93" s="265"/>
      <c r="W93" s="265"/>
      <c r="X93" s="265"/>
      <c r="Y93" s="265"/>
      <c r="Z93" s="265"/>
    </row>
    <row r="94" s="429" customFormat="1" spans="2:26">
      <c r="B94" s="265"/>
      <c r="C94" s="265"/>
      <c r="D94" s="266"/>
      <c r="E94" s="267"/>
      <c r="F94" s="268"/>
      <c r="G94" s="269"/>
      <c r="H94" s="269"/>
      <c r="I94" s="269"/>
      <c r="J94" s="269"/>
      <c r="K94" s="265"/>
      <c r="L94" s="265"/>
      <c r="M94" s="265"/>
      <c r="N94" s="265"/>
      <c r="O94" s="265"/>
      <c r="P94" s="265"/>
      <c r="Q94" s="265"/>
      <c r="R94" s="266"/>
      <c r="S94" s="265"/>
      <c r="T94" s="265"/>
      <c r="U94" s="265"/>
      <c r="V94" s="265"/>
      <c r="W94" s="265"/>
      <c r="X94" s="265"/>
      <c r="Y94" s="265"/>
      <c r="Z94" s="265"/>
    </row>
    <row r="95" s="429" customFormat="1" spans="2:26">
      <c r="B95" s="265"/>
      <c r="C95" s="265"/>
      <c r="D95" s="266"/>
      <c r="E95" s="267"/>
      <c r="F95" s="268"/>
      <c r="G95" s="269"/>
      <c r="H95" s="269"/>
      <c r="I95" s="269"/>
      <c r="J95" s="269"/>
      <c r="K95" s="265"/>
      <c r="L95" s="265"/>
      <c r="M95" s="265"/>
      <c r="N95" s="265"/>
      <c r="O95" s="265"/>
      <c r="P95" s="265"/>
      <c r="Q95" s="265"/>
      <c r="R95" s="266"/>
      <c r="S95" s="265"/>
      <c r="T95" s="265"/>
      <c r="U95" s="265"/>
      <c r="V95" s="265"/>
      <c r="W95" s="265"/>
      <c r="X95" s="265"/>
      <c r="Y95" s="265"/>
      <c r="Z95" s="265"/>
    </row>
    <row r="96" s="429" customFormat="1" spans="2:26">
      <c r="B96" s="265"/>
      <c r="C96" s="265"/>
      <c r="D96" s="266"/>
      <c r="E96" s="267"/>
      <c r="F96" s="268"/>
      <c r="G96" s="269"/>
      <c r="H96" s="416">
        <f>379.99*15%</f>
        <v>56.9985</v>
      </c>
      <c r="I96" s="269"/>
      <c r="J96" s="269"/>
      <c r="K96" s="265"/>
      <c r="L96" s="265"/>
      <c r="M96" s="265"/>
      <c r="N96" s="265"/>
      <c r="O96" s="265"/>
      <c r="P96" s="265"/>
      <c r="Q96" s="265"/>
      <c r="R96" s="266"/>
      <c r="S96" s="265"/>
      <c r="T96" s="265"/>
      <c r="U96" s="265"/>
      <c r="V96" s="265"/>
      <c r="W96" s="265"/>
      <c r="X96" s="265"/>
      <c r="Y96" s="265"/>
      <c r="Z96" s="265"/>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96"/>
  <sheetViews>
    <sheetView zoomScale="55" zoomScaleNormal="55" topLeftCell="H19" workbookViewId="0">
      <selection activeCell="AB41" sqref="AB41"/>
    </sheetView>
  </sheetViews>
  <sheetFormatPr defaultColWidth="9" defaultRowHeight="16.5"/>
  <cols>
    <col min="1" max="1" width="2.875" style="417" customWidth="1"/>
    <col min="2" max="2" width="33.525" style="265" customWidth="1"/>
    <col min="3" max="3" width="38.75" style="265" customWidth="1"/>
    <col min="4" max="4" width="15" style="266" customWidth="1"/>
    <col min="5" max="5" width="26.3083333333333" style="267" customWidth="1"/>
    <col min="6" max="6" width="15.625" style="268" customWidth="1"/>
    <col min="7" max="10" width="16.5" style="269" customWidth="1"/>
    <col min="11" max="11" width="32.65" style="265" customWidth="1"/>
    <col min="12" max="12" width="5.58333333333333" style="265" customWidth="1"/>
    <col min="13" max="13" width="8.825" style="265" customWidth="1"/>
    <col min="14" max="14" width="38.75" style="265" customWidth="1"/>
    <col min="15" max="15" width="21.8833333333333" style="265" customWidth="1"/>
    <col min="16" max="16" width="16.5" style="265" customWidth="1"/>
    <col min="17" max="17" width="17.8833333333333" style="265" customWidth="1"/>
    <col min="18" max="18" width="15.8833333333333" style="266" customWidth="1"/>
    <col min="19" max="26" width="15.8833333333333" style="265" customWidth="1"/>
    <col min="27" max="27" width="19.4583333333333" style="417" customWidth="1"/>
    <col min="28" max="16384" width="9" style="417"/>
  </cols>
  <sheetData>
    <row r="1" s="417" customFormat="1" ht="37.5" spans="2:27">
      <c r="B1" s="270" t="s">
        <v>4785</v>
      </c>
      <c r="C1" s="271"/>
      <c r="D1" s="272"/>
      <c r="E1" s="273"/>
      <c r="F1" s="274"/>
      <c r="G1" s="275"/>
      <c r="H1" s="275"/>
      <c r="I1" s="275"/>
      <c r="J1" s="275"/>
      <c r="K1" s="271"/>
      <c r="L1" s="271"/>
      <c r="M1" s="271"/>
      <c r="N1" s="271"/>
      <c r="O1" s="271"/>
      <c r="P1" s="271"/>
      <c r="Q1" s="271"/>
      <c r="R1" s="276"/>
      <c r="S1" s="265"/>
      <c r="T1" s="265"/>
      <c r="U1" s="265"/>
      <c r="V1" s="265"/>
      <c r="W1" s="265"/>
      <c r="X1" s="265"/>
      <c r="Y1" s="265"/>
      <c r="Z1" s="265"/>
    </row>
    <row r="2" s="417" customFormat="1" spans="2:27">
      <c r="B2" s="277" t="s">
        <v>4786</v>
      </c>
      <c r="C2" s="278" t="s">
        <v>4787</v>
      </c>
      <c r="D2" s="279" t="s">
        <v>4788</v>
      </c>
      <c r="E2" s="280"/>
      <c r="F2" s="281"/>
      <c r="G2" s="282"/>
      <c r="H2" s="282"/>
      <c r="I2" s="282"/>
      <c r="J2" s="282"/>
      <c r="K2" s="277"/>
      <c r="L2" s="277"/>
      <c r="M2" s="277"/>
      <c r="N2" s="277"/>
      <c r="O2" s="277"/>
      <c r="P2" s="277"/>
      <c r="Q2" s="277"/>
      <c r="R2" s="283"/>
      <c r="S2" s="265"/>
      <c r="T2" s="265"/>
      <c r="U2" s="265"/>
      <c r="V2" s="265"/>
      <c r="W2" s="265"/>
      <c r="X2" s="265"/>
      <c r="Y2" s="265"/>
      <c r="Z2" s="265"/>
    </row>
    <row r="3" s="417" customFormat="1" ht="29.25" spans="2:27">
      <c r="B3" s="284" t="s">
        <v>4789</v>
      </c>
      <c r="C3" s="285">
        <v>6.8</v>
      </c>
      <c r="D3" s="283"/>
      <c r="E3" s="286" t="s">
        <v>4936</v>
      </c>
      <c r="F3" s="287"/>
      <c r="G3" s="282"/>
      <c r="H3" s="282"/>
      <c r="I3" s="282"/>
      <c r="J3" s="282"/>
      <c r="K3" s="277"/>
      <c r="L3" s="277"/>
      <c r="M3" s="277"/>
      <c r="N3" s="288"/>
      <c r="O3" s="288"/>
      <c r="P3" s="288"/>
      <c r="Q3" s="288"/>
      <c r="R3" s="288"/>
      <c r="S3" s="288"/>
      <c r="T3" s="288"/>
      <c r="U3" s="288"/>
      <c r="V3" s="288"/>
      <c r="W3" s="288"/>
      <c r="X3" s="288"/>
      <c r="Y3" s="288"/>
      <c r="Z3" s="288"/>
    </row>
    <row r="4" s="417" customFormat="1" ht="30" spans="2:27">
      <c r="B4" s="288" t="s">
        <v>4790</v>
      </c>
      <c r="C4" s="288"/>
      <c r="D4" s="288"/>
      <c r="E4" s="289"/>
      <c r="F4" s="288"/>
      <c r="G4" s="282"/>
      <c r="H4" s="419"/>
      <c r="I4" s="419"/>
      <c r="J4" s="419"/>
      <c r="K4" s="288"/>
      <c r="L4" s="288"/>
      <c r="M4" s="277"/>
      <c r="N4" s="288" t="s">
        <v>4791</v>
      </c>
      <c r="O4" s="288"/>
      <c r="P4" s="288"/>
      <c r="Q4" s="288"/>
      <c r="R4" s="288"/>
      <c r="S4" s="288"/>
      <c r="T4" s="288"/>
      <c r="U4" s="288"/>
      <c r="V4" s="288"/>
      <c r="W4" s="288"/>
      <c r="X4" s="288"/>
      <c r="Y4" s="288"/>
      <c r="Z4" s="288"/>
    </row>
    <row r="5" s="417" customFormat="1" ht="30" spans="2:27">
      <c r="B5" s="288"/>
      <c r="C5" s="288"/>
      <c r="D5" s="288"/>
      <c r="E5" s="289"/>
      <c r="F5" s="288"/>
      <c r="G5" s="282"/>
      <c r="H5" s="419"/>
      <c r="I5" s="419"/>
      <c r="J5" s="419"/>
      <c r="K5" s="288"/>
      <c r="L5" s="288"/>
      <c r="M5" s="277"/>
      <c r="N5" s="290" t="s">
        <v>4792</v>
      </c>
      <c r="O5" s="291">
        <v>202307</v>
      </c>
      <c r="P5" s="291">
        <v>202308</v>
      </c>
      <c r="Q5" s="291">
        <v>202309</v>
      </c>
      <c r="R5" s="291">
        <v>202310</v>
      </c>
      <c r="S5" s="291">
        <v>202311</v>
      </c>
      <c r="T5" s="291">
        <v>202312</v>
      </c>
      <c r="U5" s="291">
        <v>202401</v>
      </c>
      <c r="V5" s="291">
        <v>202402</v>
      </c>
      <c r="W5" s="291">
        <v>202403</v>
      </c>
      <c r="X5" s="291">
        <v>202404</v>
      </c>
      <c r="Y5" s="291">
        <v>202405</v>
      </c>
      <c r="Z5" s="291">
        <v>202406</v>
      </c>
    </row>
    <row r="6" s="417" customFormat="1" ht="21" spans="2:27">
      <c r="B6" s="290" t="s">
        <v>4793</v>
      </c>
      <c r="C6" s="292" t="s">
        <v>4794</v>
      </c>
      <c r="D6" s="293" t="str">
        <f>C2</f>
        <v>SKUAAA</v>
      </c>
      <c r="E6" s="294" t="s">
        <v>4795</v>
      </c>
      <c r="F6" s="282"/>
      <c r="G6" s="282"/>
      <c r="H6" s="282"/>
      <c r="I6" s="282"/>
      <c r="J6" s="282"/>
      <c r="K6" s="295"/>
      <c r="L6" s="295"/>
      <c r="M6" s="295"/>
      <c r="N6" s="296"/>
      <c r="O6" s="297" t="s">
        <v>4796</v>
      </c>
      <c r="P6" s="297" t="s">
        <v>4797</v>
      </c>
      <c r="Q6" s="297" t="s">
        <v>4798</v>
      </c>
      <c r="R6" s="297" t="s">
        <v>4799</v>
      </c>
      <c r="S6" s="297" t="s">
        <v>4800</v>
      </c>
      <c r="T6" s="297" t="s">
        <v>4801</v>
      </c>
      <c r="U6" s="297" t="s">
        <v>4802</v>
      </c>
      <c r="V6" s="297" t="s">
        <v>4803</v>
      </c>
      <c r="W6" s="297" t="s">
        <v>4804</v>
      </c>
      <c r="X6" s="297" t="s">
        <v>4805</v>
      </c>
      <c r="Y6" s="297" t="s">
        <v>4806</v>
      </c>
      <c r="Z6" s="298" t="s">
        <v>4807</v>
      </c>
    </row>
    <row r="7" s="417" customFormat="1" ht="21.75" spans="2:27">
      <c r="B7" s="299" t="s">
        <v>4808</v>
      </c>
      <c r="C7" s="300" t="s">
        <v>4809</v>
      </c>
      <c r="D7" s="301">
        <v>129.99</v>
      </c>
      <c r="E7" s="302">
        <v>159.99</v>
      </c>
      <c r="F7" s="282"/>
      <c r="G7" s="282"/>
      <c r="H7" s="282"/>
      <c r="I7" s="282"/>
      <c r="J7" s="282"/>
      <c r="K7" s="277"/>
      <c r="L7" s="277"/>
      <c r="M7" s="277"/>
      <c r="N7" s="299" t="s">
        <v>4808</v>
      </c>
      <c r="O7" s="303">
        <f>$D$7</f>
        <v>129.99</v>
      </c>
      <c r="P7" s="303">
        <f t="shared" ref="P7:Z7" si="0">$D$7</f>
        <v>129.99</v>
      </c>
      <c r="Q7" s="303">
        <f t="shared" si="0"/>
        <v>129.99</v>
      </c>
      <c r="R7" s="303">
        <f t="shared" si="0"/>
        <v>129.99</v>
      </c>
      <c r="S7" s="303">
        <f t="shared" si="0"/>
        <v>129.99</v>
      </c>
      <c r="T7" s="303">
        <f t="shared" si="0"/>
        <v>129.99</v>
      </c>
      <c r="U7" s="303">
        <f t="shared" si="0"/>
        <v>129.99</v>
      </c>
      <c r="V7" s="303">
        <f t="shared" si="0"/>
        <v>129.99</v>
      </c>
      <c r="W7" s="303">
        <f t="shared" si="0"/>
        <v>129.99</v>
      </c>
      <c r="X7" s="303">
        <f t="shared" si="0"/>
        <v>129.99</v>
      </c>
      <c r="Y7" s="303">
        <f t="shared" si="0"/>
        <v>129.99</v>
      </c>
      <c r="Z7" s="303">
        <f t="shared" si="0"/>
        <v>129.99</v>
      </c>
      <c r="AA7" s="417" t="s">
        <v>4810</v>
      </c>
    </row>
    <row r="8" s="417" customFormat="1" ht="21" spans="2:27">
      <c r="B8" s="299" t="s">
        <v>4811</v>
      </c>
      <c r="C8" s="300" t="s">
        <v>4809</v>
      </c>
      <c r="D8" s="304">
        <f>D7*C3</f>
        <v>883.932</v>
      </c>
      <c r="E8" s="305"/>
      <c r="F8" s="306"/>
      <c r="G8" s="307"/>
      <c r="H8" s="282"/>
      <c r="I8" s="282"/>
      <c r="J8" s="282"/>
      <c r="K8" s="308"/>
      <c r="L8" s="308"/>
      <c r="M8" s="308"/>
      <c r="N8" s="299" t="s">
        <v>4811</v>
      </c>
      <c r="O8" s="309">
        <f t="shared" ref="O8:Z8" si="1">O7*$C$3</f>
        <v>883.932</v>
      </c>
      <c r="P8" s="309">
        <f t="shared" si="1"/>
        <v>883.932</v>
      </c>
      <c r="Q8" s="309">
        <f t="shared" si="1"/>
        <v>883.932</v>
      </c>
      <c r="R8" s="309">
        <f t="shared" si="1"/>
        <v>883.932</v>
      </c>
      <c r="S8" s="309">
        <f t="shared" si="1"/>
        <v>883.932</v>
      </c>
      <c r="T8" s="309">
        <f t="shared" si="1"/>
        <v>883.932</v>
      </c>
      <c r="U8" s="309">
        <f t="shared" si="1"/>
        <v>883.932</v>
      </c>
      <c r="V8" s="309">
        <f t="shared" si="1"/>
        <v>883.932</v>
      </c>
      <c r="W8" s="309">
        <f t="shared" si="1"/>
        <v>883.932</v>
      </c>
      <c r="X8" s="309">
        <f t="shared" si="1"/>
        <v>883.932</v>
      </c>
      <c r="Y8" s="309">
        <f t="shared" si="1"/>
        <v>883.932</v>
      </c>
      <c r="Z8" s="309">
        <f t="shared" si="1"/>
        <v>883.932</v>
      </c>
    </row>
    <row r="9" s="417" customFormat="1" ht="21" spans="2:27">
      <c r="B9" s="299" t="s">
        <v>4812</v>
      </c>
      <c r="C9" s="300" t="s">
        <v>4813</v>
      </c>
      <c r="D9" s="310">
        <v>260</v>
      </c>
      <c r="E9" s="305"/>
      <c r="F9" s="306"/>
      <c r="G9" s="307"/>
      <c r="H9" s="282"/>
      <c r="I9" s="282"/>
      <c r="J9" s="282"/>
      <c r="K9" s="277"/>
      <c r="L9" s="277"/>
      <c r="M9" s="277"/>
      <c r="N9" s="299" t="s">
        <v>4812</v>
      </c>
      <c r="O9" s="303">
        <f t="shared" ref="O9:Z9" si="2">$D$9</f>
        <v>260</v>
      </c>
      <c r="P9" s="303">
        <f t="shared" si="2"/>
        <v>260</v>
      </c>
      <c r="Q9" s="303">
        <f t="shared" si="2"/>
        <v>260</v>
      </c>
      <c r="R9" s="303">
        <f t="shared" si="2"/>
        <v>260</v>
      </c>
      <c r="S9" s="303">
        <f t="shared" si="2"/>
        <v>260</v>
      </c>
      <c r="T9" s="303">
        <f t="shared" si="2"/>
        <v>260</v>
      </c>
      <c r="U9" s="303">
        <f t="shared" si="2"/>
        <v>260</v>
      </c>
      <c r="V9" s="303">
        <f t="shared" si="2"/>
        <v>260</v>
      </c>
      <c r="W9" s="303">
        <f t="shared" si="2"/>
        <v>260</v>
      </c>
      <c r="X9" s="303">
        <f t="shared" si="2"/>
        <v>260</v>
      </c>
      <c r="Y9" s="303">
        <f t="shared" si="2"/>
        <v>260</v>
      </c>
      <c r="Z9" s="303">
        <f t="shared" si="2"/>
        <v>260</v>
      </c>
    </row>
    <row r="10" s="417" customFormat="1" ht="21" spans="2:27">
      <c r="B10" s="299" t="s">
        <v>4814</v>
      </c>
      <c r="C10" s="300" t="s">
        <v>4815</v>
      </c>
      <c r="D10" s="311">
        <f>SUM(O10:Z10)</f>
        <v>16150</v>
      </c>
      <c r="E10" s="305"/>
      <c r="F10" s="306"/>
      <c r="G10" s="307"/>
      <c r="H10" s="282"/>
      <c r="I10" s="282"/>
      <c r="J10" s="282"/>
      <c r="K10" s="277"/>
      <c r="L10" s="277"/>
      <c r="M10" s="277"/>
      <c r="N10" s="299" t="s">
        <v>4816</v>
      </c>
      <c r="O10" s="312">
        <v>150</v>
      </c>
      <c r="P10" s="312">
        <v>500</v>
      </c>
      <c r="Q10" s="312">
        <v>1500</v>
      </c>
      <c r="R10" s="312">
        <v>2200</v>
      </c>
      <c r="S10" s="313">
        <v>1500</v>
      </c>
      <c r="T10" s="313">
        <v>1200</v>
      </c>
      <c r="U10" s="313">
        <v>1800</v>
      </c>
      <c r="V10" s="313">
        <v>2100</v>
      </c>
      <c r="W10" s="313">
        <v>1200</v>
      </c>
      <c r="X10" s="314">
        <v>1000</v>
      </c>
      <c r="Y10" s="313">
        <v>800</v>
      </c>
      <c r="Z10" s="314">
        <v>2200</v>
      </c>
    </row>
    <row r="11" s="417" customFormat="1" ht="21.75" spans="2:27">
      <c r="B11" s="315" t="s">
        <v>4817</v>
      </c>
      <c r="C11" s="316" t="s">
        <v>4818</v>
      </c>
      <c r="D11" s="317">
        <v>1000</v>
      </c>
      <c r="E11" s="420">
        <f>D9*D11</f>
        <v>260000</v>
      </c>
      <c r="F11" s="306"/>
      <c r="G11" s="307"/>
      <c r="H11" s="282"/>
      <c r="I11" s="282"/>
      <c r="J11" s="282"/>
      <c r="K11" s="277"/>
      <c r="L11" s="277"/>
      <c r="M11" s="277"/>
      <c r="N11" s="315" t="s">
        <v>4819</v>
      </c>
      <c r="O11" s="318">
        <v>1000</v>
      </c>
      <c r="P11" s="318">
        <f>P10*1.5</f>
        <v>750</v>
      </c>
      <c r="Q11" s="318">
        <f t="shared" ref="Q11:Z11" si="3">Q10*1.5</f>
        <v>2250</v>
      </c>
      <c r="R11" s="318">
        <f t="shared" si="3"/>
        <v>3300</v>
      </c>
      <c r="S11" s="318">
        <f t="shared" si="3"/>
        <v>2250</v>
      </c>
      <c r="T11" s="318">
        <f t="shared" si="3"/>
        <v>1800</v>
      </c>
      <c r="U11" s="318">
        <f t="shared" si="3"/>
        <v>2700</v>
      </c>
      <c r="V11" s="318">
        <f t="shared" si="3"/>
        <v>3150</v>
      </c>
      <c r="W11" s="318">
        <f t="shared" si="3"/>
        <v>1800</v>
      </c>
      <c r="X11" s="318">
        <f t="shared" si="3"/>
        <v>1500</v>
      </c>
      <c r="Y11" s="318">
        <f t="shared" si="3"/>
        <v>1200</v>
      </c>
      <c r="Z11" s="318">
        <f t="shared" si="3"/>
        <v>3300</v>
      </c>
    </row>
    <row r="12" s="417" customFormat="1" ht="21" spans="2:27">
      <c r="B12" s="319"/>
      <c r="C12" s="319"/>
      <c r="D12" s="320">
        <f>D9*D11</f>
        <v>260000</v>
      </c>
      <c r="E12" s="319"/>
      <c r="F12" s="319"/>
      <c r="G12" s="282"/>
      <c r="H12" s="421"/>
      <c r="I12" s="282"/>
      <c r="J12" s="282"/>
      <c r="K12" s="277"/>
      <c r="L12" s="277"/>
      <c r="M12" s="277"/>
      <c r="N12" s="265" t="s">
        <v>4820</v>
      </c>
      <c r="O12" s="321"/>
      <c r="P12" s="321"/>
      <c r="Q12" s="321"/>
      <c r="R12" s="321"/>
      <c r="S12" s="321"/>
      <c r="T12" s="321"/>
      <c r="U12" s="321"/>
      <c r="V12" s="321"/>
      <c r="W12" s="321"/>
      <c r="X12" s="321"/>
      <c r="Y12" s="321"/>
      <c r="Z12" s="321"/>
    </row>
    <row r="13" s="417" customFormat="1" ht="32.25" spans="2:27">
      <c r="B13" s="319"/>
      <c r="C13" s="319"/>
      <c r="D13" s="319"/>
      <c r="E13" s="319"/>
      <c r="F13" s="319"/>
      <c r="G13" s="422"/>
      <c r="H13" s="422"/>
      <c r="I13" s="422"/>
      <c r="J13" s="422"/>
      <c r="K13" s="322"/>
      <c r="L13" s="323"/>
      <c r="M13" s="277"/>
      <c r="N13" s="321"/>
      <c r="O13" s="321"/>
      <c r="P13" s="321"/>
      <c r="Q13" s="321"/>
      <c r="R13" s="321"/>
      <c r="S13" s="321"/>
      <c r="T13" s="321"/>
      <c r="U13" s="321"/>
      <c r="V13" s="321"/>
      <c r="W13" s="321"/>
      <c r="X13" s="321"/>
      <c r="Y13" s="321"/>
      <c r="Z13" s="321"/>
    </row>
    <row r="14" s="417" customFormat="1" ht="32.25" spans="2:27">
      <c r="B14" s="321"/>
      <c r="C14" s="324"/>
      <c r="D14" s="325" t="s">
        <v>4821</v>
      </c>
      <c r="E14" s="326">
        <f>D18/C3</f>
        <v>2099338.5</v>
      </c>
      <c r="F14" s="322"/>
      <c r="G14" s="422"/>
      <c r="H14" s="422"/>
      <c r="I14" s="422"/>
      <c r="J14" s="422"/>
      <c r="K14" s="322"/>
      <c r="L14" s="323"/>
      <c r="M14" s="277"/>
      <c r="N14" s="321"/>
      <c r="O14" s="321"/>
      <c r="P14" s="321"/>
      <c r="Q14" s="321"/>
      <c r="R14" s="321"/>
      <c r="S14" s="321"/>
      <c r="T14" s="321"/>
      <c r="U14" s="321"/>
      <c r="V14" s="321"/>
      <c r="W14" s="321"/>
      <c r="X14" s="321"/>
      <c r="Y14" s="321"/>
      <c r="Z14" s="321"/>
    </row>
    <row r="15" s="417" customFormat="1" ht="31.5" spans="2:27">
      <c r="B15" s="323" t="s">
        <v>4822</v>
      </c>
      <c r="C15" s="323"/>
      <c r="D15" s="323"/>
      <c r="E15" s="327"/>
      <c r="F15" s="323"/>
      <c r="G15" s="423"/>
      <c r="H15" s="423"/>
      <c r="I15" s="423"/>
      <c r="J15" s="423"/>
      <c r="K15" s="323"/>
      <c r="L15" s="323"/>
      <c r="M15" s="277"/>
      <c r="N15" s="321"/>
      <c r="O15" s="321"/>
      <c r="P15" s="321"/>
      <c r="Q15" s="321"/>
      <c r="R15" s="321"/>
      <c r="S15" s="321"/>
      <c r="T15" s="321"/>
      <c r="U15" s="321"/>
      <c r="V15" s="321"/>
      <c r="W15" s="321"/>
      <c r="X15" s="321"/>
      <c r="Y15" s="321"/>
      <c r="Z15" s="321"/>
    </row>
    <row r="16" s="417" customFormat="1" ht="22.5" spans="2:27">
      <c r="B16" s="328" t="s">
        <v>4823</v>
      </c>
      <c r="C16" s="329" t="s">
        <v>4824</v>
      </c>
      <c r="D16" s="330" t="s">
        <v>4825</v>
      </c>
      <c r="E16" s="331" t="s">
        <v>4826</v>
      </c>
      <c r="F16" s="332" t="s">
        <v>4827</v>
      </c>
      <c r="G16" s="332"/>
      <c r="H16" s="332"/>
      <c r="I16" s="332"/>
      <c r="J16" s="332"/>
      <c r="K16" s="329" t="s">
        <v>4828</v>
      </c>
      <c r="L16" s="277"/>
      <c r="M16" s="277"/>
      <c r="N16" s="277"/>
      <c r="O16" s="277"/>
      <c r="P16" s="277"/>
      <c r="Q16" s="277"/>
      <c r="R16" s="283"/>
      <c r="S16" s="277"/>
      <c r="T16" s="277"/>
      <c r="U16" s="277"/>
      <c r="V16" s="277"/>
      <c r="W16" s="277"/>
      <c r="X16" s="277"/>
      <c r="Y16" s="277"/>
      <c r="Z16" s="277"/>
    </row>
    <row r="17" s="417" customFormat="1" ht="22.5" spans="2:27">
      <c r="B17" s="328"/>
      <c r="C17" s="329"/>
      <c r="D17" s="330"/>
      <c r="E17" s="333"/>
      <c r="F17" s="334" t="s">
        <v>4829</v>
      </c>
      <c r="G17" s="332" t="s">
        <v>4830</v>
      </c>
      <c r="H17" s="332" t="s">
        <v>4831</v>
      </c>
      <c r="I17" s="332" t="s">
        <v>4832</v>
      </c>
      <c r="J17" s="332" t="s">
        <v>4833</v>
      </c>
      <c r="K17" s="329"/>
      <c r="L17" s="277"/>
      <c r="M17" s="277"/>
      <c r="N17" s="329" t="s">
        <v>4823</v>
      </c>
      <c r="O17" s="335" t="str">
        <f t="shared" ref="O17:Z17" si="4">O6</f>
        <v>上市第1月</v>
      </c>
      <c r="P17" s="335" t="str">
        <f t="shared" si="4"/>
        <v>上市第2月</v>
      </c>
      <c r="Q17" s="335" t="str">
        <f t="shared" si="4"/>
        <v>上市第3月</v>
      </c>
      <c r="R17" s="335" t="str">
        <f t="shared" si="4"/>
        <v>上市第4月</v>
      </c>
      <c r="S17" s="335" t="str">
        <f t="shared" si="4"/>
        <v>上市第5月</v>
      </c>
      <c r="T17" s="335" t="str">
        <f t="shared" si="4"/>
        <v>上市第6月</v>
      </c>
      <c r="U17" s="335" t="str">
        <f t="shared" si="4"/>
        <v>上市第7月</v>
      </c>
      <c r="V17" s="335" t="str">
        <f t="shared" si="4"/>
        <v>上市第8月</v>
      </c>
      <c r="W17" s="335" t="str">
        <f t="shared" si="4"/>
        <v>上市第9月</v>
      </c>
      <c r="X17" s="335" t="str">
        <f t="shared" si="4"/>
        <v>上市第10月</v>
      </c>
      <c r="Y17" s="335" t="str">
        <f t="shared" si="4"/>
        <v>上市第11月</v>
      </c>
      <c r="Z17" s="335" t="str">
        <f t="shared" si="4"/>
        <v>上市第12月</v>
      </c>
    </row>
    <row r="18" s="417" customFormat="1" ht="21" spans="2:27">
      <c r="B18" s="336" t="s">
        <v>4834</v>
      </c>
      <c r="C18" s="337"/>
      <c r="D18" s="338">
        <f>SUM(O18:Z18)</f>
        <v>14275501.8</v>
      </c>
      <c r="E18" s="339">
        <f t="shared" ref="E18:E62" si="5">D18/$D$18</f>
        <v>1</v>
      </c>
      <c r="F18" s="340"/>
      <c r="G18" s="342">
        <v>1</v>
      </c>
      <c r="H18" s="342">
        <v>1</v>
      </c>
      <c r="I18" s="342">
        <v>1</v>
      </c>
      <c r="J18" s="342">
        <v>1</v>
      </c>
      <c r="K18" s="343"/>
      <c r="L18" s="344"/>
      <c r="M18" s="277"/>
      <c r="N18" s="336" t="s">
        <v>4834</v>
      </c>
      <c r="O18" s="345">
        <f t="shared" ref="O18:Z18" si="6">O8*O10</f>
        <v>132589.8</v>
      </c>
      <c r="P18" s="345">
        <f t="shared" si="6"/>
        <v>441966</v>
      </c>
      <c r="Q18" s="345">
        <f t="shared" si="6"/>
        <v>1325898</v>
      </c>
      <c r="R18" s="345">
        <f t="shared" si="6"/>
        <v>1944650.4</v>
      </c>
      <c r="S18" s="345">
        <f t="shared" si="6"/>
        <v>1325898</v>
      </c>
      <c r="T18" s="345">
        <f t="shared" si="6"/>
        <v>1060718.4</v>
      </c>
      <c r="U18" s="345">
        <f t="shared" si="6"/>
        <v>1591077.6</v>
      </c>
      <c r="V18" s="345">
        <f t="shared" si="6"/>
        <v>1856257.2</v>
      </c>
      <c r="W18" s="345">
        <f t="shared" si="6"/>
        <v>1060718.4</v>
      </c>
      <c r="X18" s="345">
        <f t="shared" si="6"/>
        <v>883932</v>
      </c>
      <c r="Y18" s="345">
        <f t="shared" si="6"/>
        <v>707145.6</v>
      </c>
      <c r="Z18" s="345">
        <f t="shared" si="6"/>
        <v>1944650.4</v>
      </c>
    </row>
    <row r="19" s="418" customFormat="1" ht="21" spans="2:27">
      <c r="B19" s="336" t="s">
        <v>4835</v>
      </c>
      <c r="C19" s="346"/>
      <c r="D19" s="347">
        <f t="shared" ref="D18:D66" si="7">SUM(O19:Z19)</f>
        <v>11474773.4724363</v>
      </c>
      <c r="E19" s="339">
        <f t="shared" si="5"/>
        <v>0.80380876505765</v>
      </c>
      <c r="F19" s="348" t="s">
        <v>4836</v>
      </c>
      <c r="G19" s="424">
        <f>G20+G28</f>
        <v>0.905909422712167</v>
      </c>
      <c r="H19" s="424">
        <f t="shared" ref="G19:J19" si="8">H20+H28</f>
        <v>0.80380876505765</v>
      </c>
      <c r="I19" s="424">
        <f t="shared" si="8"/>
        <v>0.80380876505765</v>
      </c>
      <c r="J19" s="424">
        <f t="shared" si="8"/>
        <v>0.848616133346915</v>
      </c>
      <c r="K19" s="350" t="s">
        <v>4837</v>
      </c>
      <c r="L19" s="351"/>
      <c r="M19" s="277"/>
      <c r="N19" s="336" t="s">
        <v>4835</v>
      </c>
      <c r="O19" s="352">
        <f t="shared" ref="O19:Z19" si="9">O20+O28</f>
        <v>106576.843397241</v>
      </c>
      <c r="P19" s="352">
        <f t="shared" si="9"/>
        <v>355256.144657469</v>
      </c>
      <c r="Q19" s="352">
        <f t="shared" si="9"/>
        <v>1065768.43397241</v>
      </c>
      <c r="R19" s="352">
        <f t="shared" si="9"/>
        <v>1563127.03649287</v>
      </c>
      <c r="S19" s="352">
        <f t="shared" si="9"/>
        <v>1065768.43397241</v>
      </c>
      <c r="T19" s="352">
        <f t="shared" si="9"/>
        <v>852614.747177926</v>
      </c>
      <c r="U19" s="352">
        <f t="shared" si="9"/>
        <v>1278922.12076689</v>
      </c>
      <c r="V19" s="352">
        <f t="shared" si="9"/>
        <v>1492075.80756137</v>
      </c>
      <c r="W19" s="352">
        <f t="shared" si="9"/>
        <v>852614.747177926</v>
      </c>
      <c r="X19" s="352">
        <f t="shared" si="9"/>
        <v>710512.289314939</v>
      </c>
      <c r="Y19" s="352">
        <f t="shared" si="9"/>
        <v>568409.831451951</v>
      </c>
      <c r="Z19" s="352">
        <f t="shared" si="9"/>
        <v>1563127.03649287</v>
      </c>
    </row>
    <row r="20" s="417" customFormat="1" ht="18" spans="2:27">
      <c r="B20" s="353" t="s">
        <v>4838</v>
      </c>
      <c r="C20" s="346"/>
      <c r="D20" s="354">
        <f t="shared" si="7"/>
        <v>6677415.97243626</v>
      </c>
      <c r="E20" s="339">
        <f t="shared" si="5"/>
        <v>0.467753502888162</v>
      </c>
      <c r="F20" s="348"/>
      <c r="G20" s="361">
        <f t="shared" ref="G20:J20" si="10">G21+G22+G23+G24+G25+G26+G27</f>
        <v>0.614035271055804</v>
      </c>
      <c r="H20" s="361">
        <f t="shared" si="10"/>
        <v>0.467753502888162</v>
      </c>
      <c r="I20" s="361">
        <f t="shared" si="10"/>
        <v>0.467753502888162</v>
      </c>
      <c r="J20" s="361">
        <f t="shared" si="10"/>
        <v>0.467753502888162</v>
      </c>
      <c r="K20" s="356"/>
      <c r="L20" s="357"/>
      <c r="M20" s="357"/>
      <c r="N20" s="353" t="s">
        <v>4838</v>
      </c>
      <c r="O20" s="352">
        <f t="shared" ref="O20:Z20" si="11">SUM(O21:O27)</f>
        <v>62019.3433972408</v>
      </c>
      <c r="P20" s="352">
        <f t="shared" si="11"/>
        <v>206731.144657469</v>
      </c>
      <c r="Q20" s="352">
        <f t="shared" si="11"/>
        <v>620193.433972408</v>
      </c>
      <c r="R20" s="352">
        <f t="shared" si="11"/>
        <v>909617.036492865</v>
      </c>
      <c r="S20" s="352">
        <f t="shared" si="11"/>
        <v>620193.433972408</v>
      </c>
      <c r="T20" s="352">
        <f t="shared" si="11"/>
        <v>496154.747177926</v>
      </c>
      <c r="U20" s="352">
        <f t="shared" si="11"/>
        <v>744232.12076689</v>
      </c>
      <c r="V20" s="352">
        <f t="shared" si="11"/>
        <v>868270.807561371</v>
      </c>
      <c r="W20" s="352">
        <f t="shared" si="11"/>
        <v>496154.747177926</v>
      </c>
      <c r="X20" s="352">
        <f t="shared" si="11"/>
        <v>413462.289314939</v>
      </c>
      <c r="Y20" s="352">
        <f t="shared" si="11"/>
        <v>330769.831451951</v>
      </c>
      <c r="Z20" s="352">
        <f t="shared" si="11"/>
        <v>909617.036492865</v>
      </c>
    </row>
    <row r="21" s="417" customFormat="1" ht="21" spans="2:27">
      <c r="B21" s="358" t="s">
        <v>4839</v>
      </c>
      <c r="C21" s="346"/>
      <c r="D21" s="354">
        <f t="shared" si="7"/>
        <v>2141325.27</v>
      </c>
      <c r="E21" s="359">
        <f t="shared" si="5"/>
        <v>0.15</v>
      </c>
      <c r="F21" s="360"/>
      <c r="G21" s="361">
        <v>0.150098912370032</v>
      </c>
      <c r="H21" s="361">
        <f t="shared" ref="H21:H27" si="12">SUM(R21:T21)/SUM($R$18:$T$18)</f>
        <v>0.15</v>
      </c>
      <c r="I21" s="361">
        <f t="shared" ref="I21:I27" si="13">SUM(S21:U21)/SUM($S$18:$U$18)</f>
        <v>0.15</v>
      </c>
      <c r="J21" s="361">
        <f t="shared" ref="J21:J27" si="14">SUM(T21:V21)/SUM($T$18:$V$18)</f>
        <v>0.15</v>
      </c>
      <c r="K21" s="356"/>
      <c r="L21" s="357"/>
      <c r="M21" s="357"/>
      <c r="N21" s="362" t="s">
        <v>4839</v>
      </c>
      <c r="O21" s="363">
        <f t="shared" ref="O21:Z21" si="15">O18*15%</f>
        <v>19888.47</v>
      </c>
      <c r="P21" s="363">
        <f t="shared" si="15"/>
        <v>66294.9</v>
      </c>
      <c r="Q21" s="363">
        <f t="shared" si="15"/>
        <v>198884.7</v>
      </c>
      <c r="R21" s="363">
        <f t="shared" si="15"/>
        <v>291697.56</v>
      </c>
      <c r="S21" s="363">
        <f t="shared" si="15"/>
        <v>198884.7</v>
      </c>
      <c r="T21" s="363">
        <f t="shared" si="15"/>
        <v>159107.76</v>
      </c>
      <c r="U21" s="363">
        <f t="shared" si="15"/>
        <v>238661.64</v>
      </c>
      <c r="V21" s="363">
        <f t="shared" si="15"/>
        <v>278438.58</v>
      </c>
      <c r="W21" s="363">
        <f t="shared" si="15"/>
        <v>159107.76</v>
      </c>
      <c r="X21" s="363">
        <f t="shared" si="15"/>
        <v>132589.8</v>
      </c>
      <c r="Y21" s="363">
        <f t="shared" si="15"/>
        <v>106071.84</v>
      </c>
      <c r="Z21" s="363">
        <f t="shared" si="15"/>
        <v>291697.56</v>
      </c>
    </row>
    <row r="22" s="417" customFormat="1" spans="2:27">
      <c r="B22" s="364" t="s">
        <v>4840</v>
      </c>
      <c r="C22" s="365"/>
      <c r="D22" s="354">
        <f t="shared" si="7"/>
        <v>1775789.4</v>
      </c>
      <c r="E22" s="359">
        <f t="shared" si="5"/>
        <v>0.124394184168013</v>
      </c>
      <c r="F22" s="366" t="s">
        <v>4841</v>
      </c>
      <c r="G22" s="386">
        <v>0.270577039965623</v>
      </c>
      <c r="H22" s="361">
        <f t="shared" si="12"/>
        <v>0.124394184168013</v>
      </c>
      <c r="I22" s="361">
        <f t="shared" si="13"/>
        <v>0.124394184168013</v>
      </c>
      <c r="J22" s="361">
        <f t="shared" si="14"/>
        <v>0.124394184168013</v>
      </c>
      <c r="K22" s="368"/>
      <c r="L22" s="369"/>
      <c r="M22" s="370"/>
      <c r="N22" s="364" t="s">
        <v>4840</v>
      </c>
      <c r="O22" s="371">
        <f>16.17*O10*$C$3</f>
        <v>16493.4</v>
      </c>
      <c r="P22" s="371">
        <f t="shared" ref="P22:Z22" si="16">16.17*P10*$C$3</f>
        <v>54978</v>
      </c>
      <c r="Q22" s="371">
        <f t="shared" si="16"/>
        <v>164934</v>
      </c>
      <c r="R22" s="371">
        <f t="shared" si="16"/>
        <v>241903.2</v>
      </c>
      <c r="S22" s="371">
        <f t="shared" si="16"/>
        <v>164934</v>
      </c>
      <c r="T22" s="371">
        <f t="shared" si="16"/>
        <v>131947.2</v>
      </c>
      <c r="U22" s="371">
        <f t="shared" si="16"/>
        <v>197920.8</v>
      </c>
      <c r="V22" s="371">
        <f t="shared" si="16"/>
        <v>230907.6</v>
      </c>
      <c r="W22" s="371">
        <f t="shared" si="16"/>
        <v>131947.2</v>
      </c>
      <c r="X22" s="371">
        <f t="shared" si="16"/>
        <v>109956</v>
      </c>
      <c r="Y22" s="371">
        <f t="shared" si="16"/>
        <v>87964.8</v>
      </c>
      <c r="Z22" s="371">
        <f t="shared" si="16"/>
        <v>241903.2</v>
      </c>
      <c r="AA22" s="417" t="s">
        <v>4842</v>
      </c>
    </row>
    <row r="23" s="417" customFormat="1" spans="2:27">
      <c r="B23" s="364" t="s">
        <v>4843</v>
      </c>
      <c r="C23" s="365"/>
      <c r="D23" s="354">
        <f t="shared" si="7"/>
        <v>621831.451127503</v>
      </c>
      <c r="E23" s="359">
        <f t="shared" si="5"/>
        <v>0.043559341019277</v>
      </c>
      <c r="F23" s="372" t="s">
        <v>4844</v>
      </c>
      <c r="G23" s="386">
        <v>0.043559341019277</v>
      </c>
      <c r="H23" s="361">
        <f t="shared" si="12"/>
        <v>0.043559341019277</v>
      </c>
      <c r="I23" s="361">
        <f t="shared" si="13"/>
        <v>0.043559341019277</v>
      </c>
      <c r="J23" s="361">
        <f t="shared" si="14"/>
        <v>0.043559341019277</v>
      </c>
      <c r="K23" s="373" t="s">
        <v>4845</v>
      </c>
      <c r="L23" s="374"/>
      <c r="M23" s="375"/>
      <c r="N23" s="364" t="s">
        <v>4843</v>
      </c>
      <c r="O23" s="376">
        <f t="shared" ref="O23:Z23" si="17">O18*$G$23</f>
        <v>5775.52431387773</v>
      </c>
      <c r="P23" s="376">
        <f t="shared" si="17"/>
        <v>19251.7477129258</v>
      </c>
      <c r="Q23" s="376">
        <f t="shared" si="17"/>
        <v>57755.2431387773</v>
      </c>
      <c r="R23" s="376">
        <f t="shared" si="17"/>
        <v>84707.6899368734</v>
      </c>
      <c r="S23" s="376">
        <f t="shared" si="17"/>
        <v>57755.2431387773</v>
      </c>
      <c r="T23" s="376">
        <f t="shared" si="17"/>
        <v>46204.1945110219</v>
      </c>
      <c r="U23" s="376">
        <f t="shared" si="17"/>
        <v>69306.2917665328</v>
      </c>
      <c r="V23" s="376">
        <f t="shared" si="17"/>
        <v>80857.3403942883</v>
      </c>
      <c r="W23" s="376">
        <f t="shared" si="17"/>
        <v>46204.1945110219</v>
      </c>
      <c r="X23" s="376">
        <f t="shared" si="17"/>
        <v>38503.4954258516</v>
      </c>
      <c r="Y23" s="376">
        <f t="shared" si="17"/>
        <v>30802.7963406812</v>
      </c>
      <c r="Z23" s="376">
        <f t="shared" si="17"/>
        <v>84707.6899368734</v>
      </c>
    </row>
    <row r="24" s="417" customFormat="1" spans="2:27">
      <c r="B24" s="358" t="s">
        <v>4846</v>
      </c>
      <c r="C24" s="346"/>
      <c r="D24" s="354">
        <f t="shared" si="7"/>
        <v>713775.09</v>
      </c>
      <c r="E24" s="359">
        <f t="shared" si="5"/>
        <v>0.05</v>
      </c>
      <c r="F24" s="360"/>
      <c r="G24" s="361">
        <v>0.05</v>
      </c>
      <c r="H24" s="361">
        <f t="shared" si="12"/>
        <v>0.05</v>
      </c>
      <c r="I24" s="361">
        <f t="shared" si="13"/>
        <v>0.05</v>
      </c>
      <c r="J24" s="361">
        <f t="shared" si="14"/>
        <v>0.05</v>
      </c>
      <c r="K24" s="356"/>
      <c r="L24" s="357"/>
      <c r="M24" s="357"/>
      <c r="N24" s="358" t="s">
        <v>4846</v>
      </c>
      <c r="O24" s="363">
        <f t="shared" ref="O24:Z24" si="18">O18*$G$24</f>
        <v>6629.49</v>
      </c>
      <c r="P24" s="363">
        <f t="shared" si="18"/>
        <v>22098.3</v>
      </c>
      <c r="Q24" s="363">
        <f t="shared" si="18"/>
        <v>66294.9</v>
      </c>
      <c r="R24" s="363">
        <f t="shared" si="18"/>
        <v>97232.52</v>
      </c>
      <c r="S24" s="363">
        <f t="shared" si="18"/>
        <v>66294.9</v>
      </c>
      <c r="T24" s="363">
        <f t="shared" si="18"/>
        <v>53035.92</v>
      </c>
      <c r="U24" s="363">
        <f t="shared" si="18"/>
        <v>79553.88</v>
      </c>
      <c r="V24" s="363">
        <f t="shared" si="18"/>
        <v>92812.86</v>
      </c>
      <c r="W24" s="363">
        <f t="shared" si="18"/>
        <v>53035.92</v>
      </c>
      <c r="X24" s="363">
        <f t="shared" si="18"/>
        <v>44196.6</v>
      </c>
      <c r="Y24" s="363">
        <f t="shared" si="18"/>
        <v>35357.28</v>
      </c>
      <c r="Z24" s="363">
        <f t="shared" si="18"/>
        <v>97232.52</v>
      </c>
    </row>
    <row r="25" s="417" customFormat="1" spans="2:27">
      <c r="B25" s="358" t="s">
        <v>4847</v>
      </c>
      <c r="C25" s="346"/>
      <c r="D25" s="354">
        <f t="shared" si="7"/>
        <v>1187057.73228455</v>
      </c>
      <c r="E25" s="359">
        <f t="shared" si="5"/>
        <v>0.0831534855247294</v>
      </c>
      <c r="F25" s="360"/>
      <c r="G25" s="361">
        <v>0.0831534855247294</v>
      </c>
      <c r="H25" s="361">
        <f t="shared" si="12"/>
        <v>0.0831534855247294</v>
      </c>
      <c r="I25" s="361">
        <f t="shared" si="13"/>
        <v>0.0831534855247294</v>
      </c>
      <c r="J25" s="361">
        <f t="shared" si="14"/>
        <v>0.0831534855247294</v>
      </c>
      <c r="K25" s="356"/>
      <c r="L25" s="357"/>
      <c r="M25" s="357"/>
      <c r="N25" s="358" t="s">
        <v>4847</v>
      </c>
      <c r="O25" s="363">
        <f t="shared" ref="O25:Z25" si="19">O18*$G$25</f>
        <v>11025.3040150268</v>
      </c>
      <c r="P25" s="363">
        <f t="shared" si="19"/>
        <v>36751.0133834226</v>
      </c>
      <c r="Q25" s="363">
        <f t="shared" si="19"/>
        <v>110253.040150268</v>
      </c>
      <c r="R25" s="363">
        <f t="shared" si="19"/>
        <v>161704.458887059</v>
      </c>
      <c r="S25" s="363">
        <f t="shared" si="19"/>
        <v>110253.040150268</v>
      </c>
      <c r="T25" s="363">
        <f t="shared" si="19"/>
        <v>88202.4321202141</v>
      </c>
      <c r="U25" s="363">
        <f t="shared" si="19"/>
        <v>132303.648180321</v>
      </c>
      <c r="V25" s="363">
        <f t="shared" si="19"/>
        <v>154354.256210375</v>
      </c>
      <c r="W25" s="363">
        <f t="shared" si="19"/>
        <v>88202.4321202141</v>
      </c>
      <c r="X25" s="363">
        <f t="shared" si="19"/>
        <v>73502.0267668451</v>
      </c>
      <c r="Y25" s="363">
        <f t="shared" si="19"/>
        <v>58801.6214134761</v>
      </c>
      <c r="Z25" s="363">
        <f t="shared" si="19"/>
        <v>161704.458887059</v>
      </c>
    </row>
    <row r="26" s="417" customFormat="1" spans="2:27">
      <c r="B26" s="358" t="s">
        <v>4848</v>
      </c>
      <c r="C26" s="377"/>
      <c r="D26" s="354">
        <f t="shared" si="7"/>
        <v>247696.824092641</v>
      </c>
      <c r="E26" s="359">
        <f t="shared" si="5"/>
        <v>0.0173511815950765</v>
      </c>
      <c r="F26" s="360"/>
      <c r="G26" s="361">
        <v>0.0173511815950765</v>
      </c>
      <c r="H26" s="361">
        <f t="shared" si="12"/>
        <v>0.0173511815950765</v>
      </c>
      <c r="I26" s="361">
        <f t="shared" si="13"/>
        <v>0.0173511815950765</v>
      </c>
      <c r="J26" s="361">
        <f t="shared" si="14"/>
        <v>0.0173511815950765</v>
      </c>
      <c r="K26" s="378"/>
      <c r="L26" s="370"/>
      <c r="M26" s="370"/>
      <c r="N26" s="358" t="s">
        <v>4848</v>
      </c>
      <c r="O26" s="363">
        <f t="shared" ref="O26:Z26" si="20">O18*$G$26</f>
        <v>2300.58969745487</v>
      </c>
      <c r="P26" s="363">
        <f t="shared" si="20"/>
        <v>7668.63232484958</v>
      </c>
      <c r="Q26" s="363">
        <f t="shared" si="20"/>
        <v>23005.8969745487</v>
      </c>
      <c r="R26" s="363">
        <f t="shared" si="20"/>
        <v>33741.9822293382</v>
      </c>
      <c r="S26" s="363">
        <f t="shared" si="20"/>
        <v>23005.8969745487</v>
      </c>
      <c r="T26" s="363">
        <f t="shared" si="20"/>
        <v>18404.717579639</v>
      </c>
      <c r="U26" s="363">
        <f t="shared" si="20"/>
        <v>27607.0763694585</v>
      </c>
      <c r="V26" s="363">
        <f t="shared" si="20"/>
        <v>32208.2557643682</v>
      </c>
      <c r="W26" s="363">
        <f t="shared" si="20"/>
        <v>18404.717579639</v>
      </c>
      <c r="X26" s="363">
        <f t="shared" si="20"/>
        <v>15337.2646496992</v>
      </c>
      <c r="Y26" s="363">
        <f t="shared" si="20"/>
        <v>12269.8117197593</v>
      </c>
      <c r="Z26" s="363">
        <f t="shared" si="20"/>
        <v>33741.9822293382</v>
      </c>
    </row>
    <row r="27" s="417" customFormat="1" spans="2:27">
      <c r="B27" s="358" t="s">
        <v>4849</v>
      </c>
      <c r="C27" s="377"/>
      <c r="D27" s="354">
        <f t="shared" si="7"/>
        <v>-10059.7950684311</v>
      </c>
      <c r="E27" s="359">
        <f t="shared" si="5"/>
        <v>-0.000704689418933847</v>
      </c>
      <c r="F27" s="379" t="s">
        <v>4850</v>
      </c>
      <c r="G27" s="361">
        <v>-0.000704689418933847</v>
      </c>
      <c r="H27" s="361">
        <f t="shared" si="12"/>
        <v>-0.000704689418933847</v>
      </c>
      <c r="I27" s="361">
        <f t="shared" si="13"/>
        <v>-0.000704689418933847</v>
      </c>
      <c r="J27" s="361">
        <f t="shared" si="14"/>
        <v>-0.000704689418933847</v>
      </c>
      <c r="K27" s="378" t="s">
        <v>4851</v>
      </c>
      <c r="L27" s="370"/>
      <c r="M27" s="370"/>
      <c r="N27" s="358" t="s">
        <v>4849</v>
      </c>
      <c r="O27" s="363">
        <f t="shared" ref="O27:Z27" si="21">O18*$G$27</f>
        <v>-93.434629118555</v>
      </c>
      <c r="P27" s="363">
        <f t="shared" si="21"/>
        <v>-311.448763728517</v>
      </c>
      <c r="Q27" s="363">
        <f t="shared" si="21"/>
        <v>-934.34629118555</v>
      </c>
      <c r="R27" s="363">
        <f t="shared" si="21"/>
        <v>-1370.37456040547</v>
      </c>
      <c r="S27" s="363">
        <f t="shared" si="21"/>
        <v>-934.34629118555</v>
      </c>
      <c r="T27" s="363">
        <f t="shared" si="21"/>
        <v>-747.47703294844</v>
      </c>
      <c r="U27" s="363">
        <f t="shared" si="21"/>
        <v>-1121.21554942266</v>
      </c>
      <c r="V27" s="363">
        <f t="shared" si="21"/>
        <v>-1308.08480765977</v>
      </c>
      <c r="W27" s="363">
        <f t="shared" si="21"/>
        <v>-747.47703294844</v>
      </c>
      <c r="X27" s="363">
        <f t="shared" si="21"/>
        <v>-622.897527457033</v>
      </c>
      <c r="Y27" s="363">
        <f t="shared" si="21"/>
        <v>-498.318021965627</v>
      </c>
      <c r="Z27" s="363">
        <f t="shared" si="21"/>
        <v>-1370.37456040547</v>
      </c>
    </row>
    <row r="28" s="418" customFormat="1" ht="30" spans="2:27">
      <c r="B28" s="380" t="s">
        <v>4852</v>
      </c>
      <c r="C28" s="346"/>
      <c r="D28" s="347">
        <f t="shared" si="7"/>
        <v>4797357.5</v>
      </c>
      <c r="E28" s="339">
        <f t="shared" si="5"/>
        <v>0.336055262169488</v>
      </c>
      <c r="F28" s="348" t="s">
        <v>4853</v>
      </c>
      <c r="G28" s="424">
        <f t="shared" ref="G28:J28" si="22">G29+G30</f>
        <v>0.291874151656363</v>
      </c>
      <c r="H28" s="424">
        <f t="shared" si="22"/>
        <v>0.336055262169488</v>
      </c>
      <c r="I28" s="424">
        <f t="shared" si="22"/>
        <v>0.336055262169488</v>
      </c>
      <c r="J28" s="424">
        <f t="shared" si="22"/>
        <v>0.380862630458753</v>
      </c>
      <c r="K28" s="381" t="s">
        <v>4854</v>
      </c>
      <c r="L28" s="357"/>
      <c r="M28" s="357"/>
      <c r="N28" s="380" t="s">
        <v>4852</v>
      </c>
      <c r="O28" s="352">
        <f t="shared" ref="O28:Z28" si="23">SUM(O29:O30)</f>
        <v>44557.5</v>
      </c>
      <c r="P28" s="352">
        <f t="shared" si="23"/>
        <v>148525</v>
      </c>
      <c r="Q28" s="352">
        <f t="shared" si="23"/>
        <v>445575</v>
      </c>
      <c r="R28" s="352">
        <f t="shared" si="23"/>
        <v>653510</v>
      </c>
      <c r="S28" s="352">
        <f t="shared" si="23"/>
        <v>445575</v>
      </c>
      <c r="T28" s="352">
        <f t="shared" si="23"/>
        <v>356460</v>
      </c>
      <c r="U28" s="352">
        <f t="shared" si="23"/>
        <v>534690</v>
      </c>
      <c r="V28" s="352">
        <f t="shared" si="23"/>
        <v>623805</v>
      </c>
      <c r="W28" s="352">
        <f t="shared" si="23"/>
        <v>356460</v>
      </c>
      <c r="X28" s="352">
        <f t="shared" si="23"/>
        <v>297050</v>
      </c>
      <c r="Y28" s="352">
        <f t="shared" si="23"/>
        <v>237640</v>
      </c>
      <c r="Z28" s="352">
        <f t="shared" si="23"/>
        <v>653510</v>
      </c>
    </row>
    <row r="29" s="417" customFormat="1" spans="2:27">
      <c r="B29" s="358" t="s">
        <v>4855</v>
      </c>
      <c r="C29" s="377"/>
      <c r="D29" s="354">
        <f t="shared" si="7"/>
        <v>4199000</v>
      </c>
      <c r="E29" s="359">
        <f t="shared" si="5"/>
        <v>0.294140273233688</v>
      </c>
      <c r="F29" s="360">
        <v>0.00800253753523574</v>
      </c>
      <c r="G29" s="361">
        <v>0.235146426812361</v>
      </c>
      <c r="H29" s="361">
        <f t="shared" ref="H29:H49" si="24">SUM(R29:T29)/SUM($R$18:$T$18)</f>
        <v>0.294140273233688</v>
      </c>
      <c r="I29" s="361">
        <f>SUM(S29:U29)/SUM($S$18:$U$18)</f>
        <v>0.294140273233688</v>
      </c>
      <c r="J29" s="361">
        <f>SUM(T29:V29)/SUM($S$18:$U$18)</f>
        <v>0.333358976331513</v>
      </c>
      <c r="K29" s="378"/>
      <c r="L29" s="370"/>
      <c r="M29" s="370"/>
      <c r="N29" s="382" t="s">
        <v>4855</v>
      </c>
      <c r="O29" s="371">
        <f>O9*O10</f>
        <v>39000</v>
      </c>
      <c r="P29" s="371">
        <f t="shared" ref="O29:Z29" si="25">P9*P10</f>
        <v>130000</v>
      </c>
      <c r="Q29" s="371">
        <f t="shared" si="25"/>
        <v>390000</v>
      </c>
      <c r="R29" s="371">
        <f t="shared" si="25"/>
        <v>572000</v>
      </c>
      <c r="S29" s="371">
        <f t="shared" si="25"/>
        <v>390000</v>
      </c>
      <c r="T29" s="371">
        <f t="shared" si="25"/>
        <v>312000</v>
      </c>
      <c r="U29" s="371">
        <f t="shared" si="25"/>
        <v>468000</v>
      </c>
      <c r="V29" s="371">
        <f t="shared" si="25"/>
        <v>546000</v>
      </c>
      <c r="W29" s="371">
        <f t="shared" si="25"/>
        <v>312000</v>
      </c>
      <c r="X29" s="371">
        <f t="shared" si="25"/>
        <v>260000</v>
      </c>
      <c r="Y29" s="371">
        <f t="shared" si="25"/>
        <v>208000</v>
      </c>
      <c r="Z29" s="371">
        <f t="shared" si="25"/>
        <v>572000</v>
      </c>
    </row>
    <row r="30" s="417" customFormat="1" spans="2:27">
      <c r="B30" s="358" t="s">
        <v>4856</v>
      </c>
      <c r="C30" s="377"/>
      <c r="D30" s="354">
        <f t="shared" si="7"/>
        <v>598357.5</v>
      </c>
      <c r="E30" s="359">
        <f t="shared" si="5"/>
        <v>0.0419149889358005</v>
      </c>
      <c r="F30" s="360">
        <v>0.00207566621826828</v>
      </c>
      <c r="G30" s="361">
        <v>0.0567277248440016</v>
      </c>
      <c r="H30" s="361">
        <f t="shared" si="24"/>
        <v>0.0419149889358005</v>
      </c>
      <c r="I30" s="361">
        <f>SUM(S30:U30)/SUM($S$18:$U$18)</f>
        <v>0.0419149889358005</v>
      </c>
      <c r="J30" s="361">
        <f>SUM(T30:V30)/SUM($S$18:$U$18)</f>
        <v>0.0475036541272406</v>
      </c>
      <c r="K30" s="378"/>
      <c r="L30" s="370"/>
      <c r="M30" s="370"/>
      <c r="N30" s="382" t="s">
        <v>4856</v>
      </c>
      <c r="O30" s="371">
        <f>5*O10*7.41</f>
        <v>5557.5</v>
      </c>
      <c r="P30" s="371">
        <f t="shared" ref="P30:Z30" si="26">5*P10*7.41</f>
        <v>18525</v>
      </c>
      <c r="Q30" s="371">
        <f t="shared" si="26"/>
        <v>55575</v>
      </c>
      <c r="R30" s="371">
        <f t="shared" si="26"/>
        <v>81510</v>
      </c>
      <c r="S30" s="371">
        <f t="shared" si="26"/>
        <v>55575</v>
      </c>
      <c r="T30" s="371">
        <f t="shared" si="26"/>
        <v>44460</v>
      </c>
      <c r="U30" s="371">
        <f t="shared" si="26"/>
        <v>66690</v>
      </c>
      <c r="V30" s="371">
        <f t="shared" si="26"/>
        <v>77805</v>
      </c>
      <c r="W30" s="371">
        <f t="shared" si="26"/>
        <v>44460</v>
      </c>
      <c r="X30" s="371">
        <f t="shared" si="26"/>
        <v>37050</v>
      </c>
      <c r="Y30" s="371">
        <f t="shared" si="26"/>
        <v>29640</v>
      </c>
      <c r="Z30" s="371">
        <f t="shared" si="26"/>
        <v>81510</v>
      </c>
      <c r="AA30" s="417" t="s">
        <v>4857</v>
      </c>
    </row>
    <row r="31" s="417" customFormat="1" spans="2:27">
      <c r="B31" s="382" t="s">
        <v>4858</v>
      </c>
      <c r="C31" s="377"/>
      <c r="D31" s="354">
        <f t="shared" si="7"/>
        <v>2800728.32756374</v>
      </c>
      <c r="E31" s="339">
        <f t="shared" si="5"/>
        <v>0.19619123494235</v>
      </c>
      <c r="F31" s="360"/>
      <c r="G31" s="361">
        <f t="shared" ref="G31:J31" si="27">G18-G19</f>
        <v>0.0940905772878333</v>
      </c>
      <c r="H31" s="361">
        <f t="shared" si="27"/>
        <v>0.19619123494235</v>
      </c>
      <c r="I31" s="361">
        <f t="shared" si="27"/>
        <v>0.19619123494235</v>
      </c>
      <c r="J31" s="361">
        <f t="shared" si="27"/>
        <v>0.151383866653085</v>
      </c>
      <c r="K31" s="378"/>
      <c r="L31" s="370"/>
      <c r="M31" s="370"/>
      <c r="N31" s="382" t="s">
        <v>4858</v>
      </c>
      <c r="O31" s="363">
        <f t="shared" ref="O31:Z31" si="28">O18-O19</f>
        <v>26012.9566027592</v>
      </c>
      <c r="P31" s="363">
        <f t="shared" si="28"/>
        <v>86709.8553425306</v>
      </c>
      <c r="Q31" s="363">
        <f t="shared" si="28"/>
        <v>260129.566027592</v>
      </c>
      <c r="R31" s="363">
        <f t="shared" si="28"/>
        <v>381523.363507135</v>
      </c>
      <c r="S31" s="363">
        <f t="shared" si="28"/>
        <v>260129.566027592</v>
      </c>
      <c r="T31" s="363">
        <f t="shared" si="28"/>
        <v>208103.652822074</v>
      </c>
      <c r="U31" s="363">
        <f t="shared" si="28"/>
        <v>312155.47923311</v>
      </c>
      <c r="V31" s="363">
        <f t="shared" si="28"/>
        <v>364181.392438628</v>
      </c>
      <c r="W31" s="363">
        <f t="shared" si="28"/>
        <v>208103.652822074</v>
      </c>
      <c r="X31" s="363">
        <f t="shared" si="28"/>
        <v>173419.710685061</v>
      </c>
      <c r="Y31" s="363">
        <f t="shared" si="28"/>
        <v>138735.768548049</v>
      </c>
      <c r="Z31" s="363">
        <f t="shared" si="28"/>
        <v>381523.363507135</v>
      </c>
    </row>
    <row r="32" s="418" customFormat="1" ht="28" customHeight="1" spans="2:27">
      <c r="B32" s="353" t="s">
        <v>4859</v>
      </c>
      <c r="C32" s="346"/>
      <c r="D32" s="354">
        <f>D33+D3+D35+3961+313+1213+235+2468+0+141+250+1469+15965+3602+2947+376+196</f>
        <v>310627.635885189</v>
      </c>
      <c r="E32" s="339">
        <f t="shared" si="5"/>
        <v>0.0217594898054784</v>
      </c>
      <c r="F32" s="348" t="s">
        <v>4860</v>
      </c>
      <c r="G32" s="384">
        <f>SUM(G33:G49)</f>
        <v>0.026892044735758</v>
      </c>
      <c r="H32" s="384">
        <f t="shared" si="24"/>
        <v>0.0103196136520613</v>
      </c>
      <c r="I32" s="384">
        <f t="shared" ref="I32:I49" si="29">SUM(U32:W32)/SUM($U$18:$W$18)</f>
        <v>0.0103197539904809</v>
      </c>
      <c r="J32" s="384">
        <f t="shared" ref="J32:J49" si="30">SUM(X32:Z32)/SUM($X$18:$Z$18)</f>
        <v>0.0103197983555296</v>
      </c>
      <c r="K32" s="381" t="s">
        <v>4861</v>
      </c>
      <c r="L32" s="357"/>
      <c r="M32" s="357"/>
      <c r="N32" s="353" t="s">
        <v>4862</v>
      </c>
      <c r="O32" s="352">
        <f>SUM(O33:O49)</f>
        <v>3565.61083310521</v>
      </c>
      <c r="P32" s="352">
        <f>SUM(P33:P49)</f>
        <v>11885.369443684</v>
      </c>
      <c r="Q32" s="352">
        <f>SUM(Q33:Q49)</f>
        <v>35656.1083310521</v>
      </c>
      <c r="R32" s="352">
        <v>20068</v>
      </c>
      <c r="S32" s="352">
        <v>13683</v>
      </c>
      <c r="T32" s="352">
        <v>10946</v>
      </c>
      <c r="U32" s="352">
        <v>16420</v>
      </c>
      <c r="V32" s="352">
        <v>19156</v>
      </c>
      <c r="W32" s="352">
        <v>10946</v>
      </c>
      <c r="X32" s="352">
        <v>9122</v>
      </c>
      <c r="Y32" s="352">
        <v>7298</v>
      </c>
      <c r="Z32" s="352">
        <v>20068</v>
      </c>
      <c r="AA32" s="425"/>
    </row>
    <row r="33" s="417" customFormat="1" ht="19" customHeight="1" spans="2:26">
      <c r="B33" s="385" t="s">
        <v>4863</v>
      </c>
      <c r="C33" s="377"/>
      <c r="D33" s="354">
        <f t="shared" si="7"/>
        <v>276880.338039242</v>
      </c>
      <c r="E33" s="359">
        <f t="shared" si="5"/>
        <v>0.0193954889935457</v>
      </c>
      <c r="F33" s="360"/>
      <c r="G33" s="386">
        <v>0.0193954889935457</v>
      </c>
      <c r="H33" s="386">
        <f t="shared" si="24"/>
        <v>0.0193954889935457</v>
      </c>
      <c r="I33" s="386">
        <f t="shared" si="29"/>
        <v>0.0193954889935457</v>
      </c>
      <c r="J33" s="386">
        <f t="shared" si="30"/>
        <v>0.0193954889935457</v>
      </c>
      <c r="K33" s="387" t="s">
        <v>4864</v>
      </c>
      <c r="L33" s="388"/>
      <c r="M33" s="370"/>
      <c r="N33" s="385" t="s">
        <v>4863</v>
      </c>
      <c r="O33" s="363">
        <f t="shared" ref="O33:Z33" si="31">O18*$G$33</f>
        <v>2571.64400655643</v>
      </c>
      <c r="P33" s="363">
        <f t="shared" si="31"/>
        <v>8572.14668852142</v>
      </c>
      <c r="Q33" s="363">
        <f t="shared" si="31"/>
        <v>25716.4400655643</v>
      </c>
      <c r="R33" s="363">
        <f t="shared" si="31"/>
        <v>37717.4454294942</v>
      </c>
      <c r="S33" s="363">
        <f t="shared" si="31"/>
        <v>25716.4400655643</v>
      </c>
      <c r="T33" s="363">
        <f t="shared" si="31"/>
        <v>20573.1520524514</v>
      </c>
      <c r="U33" s="363">
        <f t="shared" si="31"/>
        <v>30859.7280786771</v>
      </c>
      <c r="V33" s="363">
        <f t="shared" si="31"/>
        <v>36003.01609179</v>
      </c>
      <c r="W33" s="363">
        <f t="shared" si="31"/>
        <v>20573.1520524514</v>
      </c>
      <c r="X33" s="363">
        <f t="shared" si="31"/>
        <v>17144.2933770428</v>
      </c>
      <c r="Y33" s="363">
        <f t="shared" si="31"/>
        <v>13715.4347016343</v>
      </c>
      <c r="Z33" s="363">
        <f t="shared" si="31"/>
        <v>37717.4454294942</v>
      </c>
    </row>
    <row r="34" s="417" customFormat="1" spans="2:26">
      <c r="B34" s="385" t="s">
        <v>4865</v>
      </c>
      <c r="C34" s="377"/>
      <c r="D34" s="354">
        <f t="shared" si="7"/>
        <v>20237.1756557496</v>
      </c>
      <c r="E34" s="359">
        <f t="shared" si="5"/>
        <v>0.00141761571251734</v>
      </c>
      <c r="F34" s="360">
        <v>0.00408360222843546</v>
      </c>
      <c r="G34" s="361">
        <v>0.00141761571251734</v>
      </c>
      <c r="H34" s="386">
        <f t="shared" si="24"/>
        <v>0.00141761571251734</v>
      </c>
      <c r="I34" s="386">
        <f t="shared" si="29"/>
        <v>0.00141761571251734</v>
      </c>
      <c r="J34" s="386">
        <f t="shared" si="30"/>
        <v>0.00141761571251734</v>
      </c>
      <c r="K34" s="378"/>
      <c r="L34" s="370"/>
      <c r="M34" s="370"/>
      <c r="N34" s="385" t="s">
        <v>4865</v>
      </c>
      <c r="O34" s="363">
        <f t="shared" ref="O34:Z34" si="32">O18*$G$34</f>
        <v>187.961383799532</v>
      </c>
      <c r="P34" s="363">
        <f t="shared" si="32"/>
        <v>626.537945998439</v>
      </c>
      <c r="Q34" s="363">
        <f t="shared" si="32"/>
        <v>1879.61383799532</v>
      </c>
      <c r="R34" s="363">
        <f t="shared" si="32"/>
        <v>2756.76696239313</v>
      </c>
      <c r="S34" s="363">
        <f t="shared" si="32"/>
        <v>1879.61383799532</v>
      </c>
      <c r="T34" s="363">
        <f t="shared" si="32"/>
        <v>1503.69107039625</v>
      </c>
      <c r="U34" s="363">
        <f t="shared" si="32"/>
        <v>2255.53660559438</v>
      </c>
      <c r="V34" s="363">
        <f t="shared" si="32"/>
        <v>2631.45937319344</v>
      </c>
      <c r="W34" s="363">
        <f t="shared" si="32"/>
        <v>1503.69107039625</v>
      </c>
      <c r="X34" s="363">
        <f t="shared" si="32"/>
        <v>1253.07589199688</v>
      </c>
      <c r="Y34" s="363">
        <f t="shared" si="32"/>
        <v>1002.4607135975</v>
      </c>
      <c r="Z34" s="363">
        <f t="shared" si="32"/>
        <v>2756.76696239313</v>
      </c>
    </row>
    <row r="35" s="417" customFormat="1" spans="2:26">
      <c r="B35" s="385" t="s">
        <v>4866</v>
      </c>
      <c r="C35" s="377"/>
      <c r="D35" s="354">
        <f t="shared" si="7"/>
        <v>611.297845946685</v>
      </c>
      <c r="E35" s="359">
        <f t="shared" si="5"/>
        <v>4.28214611654972e-5</v>
      </c>
      <c r="F35" s="360"/>
      <c r="G35" s="361">
        <v>4.28214611654972e-5</v>
      </c>
      <c r="H35" s="386">
        <f t="shared" si="24"/>
        <v>4.28214611654972e-5</v>
      </c>
      <c r="I35" s="386">
        <f t="shared" si="29"/>
        <v>4.28214611654972e-5</v>
      </c>
      <c r="J35" s="386">
        <f t="shared" si="30"/>
        <v>4.28214611654972e-5</v>
      </c>
      <c r="K35" s="378"/>
      <c r="L35" s="370"/>
      <c r="M35" s="370"/>
      <c r="N35" s="385" t="s">
        <v>4866</v>
      </c>
      <c r="O35" s="363">
        <f t="shared" ref="O35:Z35" si="33">O18*$G$35</f>
        <v>5.67768897164104</v>
      </c>
      <c r="P35" s="363">
        <f t="shared" si="33"/>
        <v>18.9256299054701</v>
      </c>
      <c r="Q35" s="363">
        <f t="shared" si="33"/>
        <v>56.7768897164104</v>
      </c>
      <c r="R35" s="363">
        <f t="shared" si="33"/>
        <v>83.2727715840686</v>
      </c>
      <c r="S35" s="363">
        <f t="shared" si="33"/>
        <v>56.7768897164104</v>
      </c>
      <c r="T35" s="363">
        <f t="shared" si="33"/>
        <v>45.4215117731283</v>
      </c>
      <c r="U35" s="363">
        <f t="shared" si="33"/>
        <v>68.1322676596925</v>
      </c>
      <c r="V35" s="363">
        <f t="shared" si="33"/>
        <v>79.4876456029746</v>
      </c>
      <c r="W35" s="363">
        <f t="shared" si="33"/>
        <v>45.4215117731283</v>
      </c>
      <c r="X35" s="363">
        <f t="shared" si="33"/>
        <v>37.8512598109403</v>
      </c>
      <c r="Y35" s="363">
        <f t="shared" si="33"/>
        <v>30.2810078487522</v>
      </c>
      <c r="Z35" s="363">
        <f t="shared" si="33"/>
        <v>83.2727715840686</v>
      </c>
    </row>
    <row r="36" s="417" customFormat="1" spans="2:26">
      <c r="B36" s="385" t="s">
        <v>4867</v>
      </c>
      <c r="C36" s="377"/>
      <c r="D36" s="354">
        <f t="shared" si="7"/>
        <v>10300.1911221774</v>
      </c>
      <c r="E36" s="359">
        <f t="shared" si="5"/>
        <v>0.000721529181004159</v>
      </c>
      <c r="F36" s="360"/>
      <c r="G36" s="361">
        <v>0.000721529181004159</v>
      </c>
      <c r="H36" s="386">
        <f t="shared" si="24"/>
        <v>0.000721529181004159</v>
      </c>
      <c r="I36" s="386">
        <f t="shared" si="29"/>
        <v>0.000721529181004159</v>
      </c>
      <c r="J36" s="386">
        <f t="shared" si="30"/>
        <v>0.000721529181004159</v>
      </c>
      <c r="K36" s="378" t="s">
        <v>4868</v>
      </c>
      <c r="L36" s="370"/>
      <c r="M36" s="370"/>
      <c r="N36" s="385" t="s">
        <v>4867</v>
      </c>
      <c r="O36" s="363">
        <f t="shared" ref="O36:Z36" si="34">O18*$G$36</f>
        <v>95.6674098035052</v>
      </c>
      <c r="P36" s="363">
        <f t="shared" si="34"/>
        <v>318.891366011684</v>
      </c>
      <c r="Q36" s="363">
        <f t="shared" si="34"/>
        <v>956.674098035052</v>
      </c>
      <c r="R36" s="363">
        <f t="shared" si="34"/>
        <v>1403.12201045141</v>
      </c>
      <c r="S36" s="363">
        <f t="shared" si="34"/>
        <v>956.674098035052</v>
      </c>
      <c r="T36" s="363">
        <f t="shared" si="34"/>
        <v>765.339278428042</v>
      </c>
      <c r="U36" s="363">
        <f t="shared" si="34"/>
        <v>1148.00891764206</v>
      </c>
      <c r="V36" s="363">
        <f t="shared" si="34"/>
        <v>1339.34373724907</v>
      </c>
      <c r="W36" s="363">
        <f t="shared" si="34"/>
        <v>765.339278428042</v>
      </c>
      <c r="X36" s="363">
        <f t="shared" si="34"/>
        <v>637.782732023368</v>
      </c>
      <c r="Y36" s="363">
        <f t="shared" si="34"/>
        <v>510.226185618695</v>
      </c>
      <c r="Z36" s="363">
        <f t="shared" si="34"/>
        <v>1403.12201045141</v>
      </c>
    </row>
    <row r="37" s="417" customFormat="1" spans="2:26">
      <c r="B37" s="385" t="s">
        <v>4869</v>
      </c>
      <c r="C37" s="377"/>
      <c r="D37" s="354">
        <f t="shared" si="7"/>
        <v>815.063794595581</v>
      </c>
      <c r="E37" s="359">
        <f t="shared" si="5"/>
        <v>5.70952815539963e-5</v>
      </c>
      <c r="F37" s="360">
        <v>0.00749896664625493</v>
      </c>
      <c r="G37" s="361">
        <v>5.70952815539963e-5</v>
      </c>
      <c r="H37" s="386">
        <f t="shared" si="24"/>
        <v>5.70952815539963e-5</v>
      </c>
      <c r="I37" s="386">
        <f t="shared" si="29"/>
        <v>5.70952815539963e-5</v>
      </c>
      <c r="J37" s="386">
        <f t="shared" si="30"/>
        <v>5.70952815539963e-5</v>
      </c>
      <c r="K37" s="387"/>
      <c r="L37" s="388"/>
      <c r="M37" s="370"/>
      <c r="N37" s="385" t="s">
        <v>4869</v>
      </c>
      <c r="O37" s="363">
        <f>O18*$G$37</f>
        <v>7.57025196218806</v>
      </c>
      <c r="P37" s="363">
        <f>P$18*$G37</f>
        <v>25.2341732072935</v>
      </c>
      <c r="Q37" s="363">
        <f>Q$18*$G37</f>
        <v>75.7025196218806</v>
      </c>
      <c r="R37" s="363">
        <f>R$18*$G37</f>
        <v>111.030362112092</v>
      </c>
      <c r="S37" s="363">
        <f t="shared" ref="S37:Z37" si="35">S$18*$G37</f>
        <v>75.7025196218806</v>
      </c>
      <c r="T37" s="363">
        <f t="shared" si="35"/>
        <v>60.5620156975045</v>
      </c>
      <c r="U37" s="363">
        <f t="shared" si="35"/>
        <v>90.8430235462567</v>
      </c>
      <c r="V37" s="363">
        <f t="shared" si="35"/>
        <v>105.983527470633</v>
      </c>
      <c r="W37" s="363">
        <f t="shared" si="35"/>
        <v>60.5620156975045</v>
      </c>
      <c r="X37" s="363">
        <f t="shared" si="35"/>
        <v>50.4683464145871</v>
      </c>
      <c r="Y37" s="363">
        <f t="shared" si="35"/>
        <v>40.3746771316696</v>
      </c>
      <c r="Z37" s="363">
        <f t="shared" si="35"/>
        <v>111.030362112092</v>
      </c>
    </row>
    <row r="38" s="417" customFormat="1" spans="2:26">
      <c r="B38" s="385" t="s">
        <v>4870</v>
      </c>
      <c r="C38" s="377"/>
      <c r="D38" s="354">
        <f t="shared" si="7"/>
        <v>3153.27805534165</v>
      </c>
      <c r="E38" s="359">
        <f t="shared" si="5"/>
        <v>0.000220887370512023</v>
      </c>
      <c r="F38" s="360">
        <v>0.00232881930648565</v>
      </c>
      <c r="G38" s="361">
        <v>0.000220887370512023</v>
      </c>
      <c r="H38" s="386">
        <f t="shared" si="24"/>
        <v>0.000220887370512023</v>
      </c>
      <c r="I38" s="386">
        <f t="shared" si="29"/>
        <v>0.000220887370512023</v>
      </c>
      <c r="J38" s="386">
        <f t="shared" si="30"/>
        <v>0.000220887370512023</v>
      </c>
      <c r="K38" s="387"/>
      <c r="L38" s="388"/>
      <c r="M38" s="370"/>
      <c r="N38" s="385" t="s">
        <v>4870</v>
      </c>
      <c r="O38" s="363">
        <f t="shared" ref="O38:Z38" si="36">O18*$G$38</f>
        <v>29.287412278715</v>
      </c>
      <c r="P38" s="363">
        <f t="shared" si="36"/>
        <v>97.6247075957168</v>
      </c>
      <c r="Q38" s="363">
        <f t="shared" si="36"/>
        <v>292.87412278715</v>
      </c>
      <c r="R38" s="363">
        <f t="shared" si="36"/>
        <v>429.548713421154</v>
      </c>
      <c r="S38" s="363">
        <f t="shared" si="36"/>
        <v>292.87412278715</v>
      </c>
      <c r="T38" s="363">
        <f t="shared" si="36"/>
        <v>234.29929822972</v>
      </c>
      <c r="U38" s="363">
        <f t="shared" si="36"/>
        <v>351.44894734458</v>
      </c>
      <c r="V38" s="363">
        <f t="shared" si="36"/>
        <v>410.02377190201</v>
      </c>
      <c r="W38" s="363">
        <f t="shared" si="36"/>
        <v>234.29929822972</v>
      </c>
      <c r="X38" s="363">
        <f t="shared" si="36"/>
        <v>195.249415191434</v>
      </c>
      <c r="Y38" s="363">
        <f t="shared" si="36"/>
        <v>156.199532153147</v>
      </c>
      <c r="Z38" s="363">
        <f t="shared" si="36"/>
        <v>429.548713421154</v>
      </c>
    </row>
    <row r="39" s="417" customFormat="1" spans="2:26">
      <c r="B39" s="385" t="s">
        <v>4871</v>
      </c>
      <c r="C39" s="346"/>
      <c r="D39" s="354">
        <f t="shared" si="7"/>
        <v>611.297845946685</v>
      </c>
      <c r="E39" s="359">
        <f t="shared" si="5"/>
        <v>4.28214611654972e-5</v>
      </c>
      <c r="F39" s="360">
        <v>0</v>
      </c>
      <c r="G39" s="361">
        <v>4.28214611654972e-5</v>
      </c>
      <c r="H39" s="386">
        <f t="shared" si="24"/>
        <v>4.28214611654972e-5</v>
      </c>
      <c r="I39" s="386">
        <f t="shared" si="29"/>
        <v>4.28214611654972e-5</v>
      </c>
      <c r="J39" s="386">
        <f t="shared" si="30"/>
        <v>4.28214611654972e-5</v>
      </c>
      <c r="K39" s="356"/>
      <c r="L39" s="357"/>
      <c r="M39" s="357"/>
      <c r="N39" s="385" t="s">
        <v>4871</v>
      </c>
      <c r="O39" s="363">
        <f>$O$18*G39</f>
        <v>5.67768897164104</v>
      </c>
      <c r="P39" s="363">
        <f t="shared" ref="P39:Z39" si="37">P$18*$G39</f>
        <v>18.9256299054701</v>
      </c>
      <c r="Q39" s="363">
        <f t="shared" si="37"/>
        <v>56.7768897164104</v>
      </c>
      <c r="R39" s="363">
        <f t="shared" si="37"/>
        <v>83.2727715840686</v>
      </c>
      <c r="S39" s="363">
        <f t="shared" si="37"/>
        <v>56.7768897164104</v>
      </c>
      <c r="T39" s="363">
        <f t="shared" si="37"/>
        <v>45.4215117731283</v>
      </c>
      <c r="U39" s="363">
        <f t="shared" si="37"/>
        <v>68.1322676596925</v>
      </c>
      <c r="V39" s="363">
        <f t="shared" si="37"/>
        <v>79.4876456029746</v>
      </c>
      <c r="W39" s="363">
        <f t="shared" si="37"/>
        <v>45.4215117731283</v>
      </c>
      <c r="X39" s="363">
        <f t="shared" si="37"/>
        <v>37.8512598109403</v>
      </c>
      <c r="Y39" s="363">
        <f t="shared" si="37"/>
        <v>30.2810078487522</v>
      </c>
      <c r="Z39" s="363">
        <f t="shared" si="37"/>
        <v>83.2727715840686</v>
      </c>
    </row>
    <row r="40" s="417" customFormat="1" spans="2:26">
      <c r="B40" s="385" t="s">
        <v>4872</v>
      </c>
      <c r="C40" s="346"/>
      <c r="D40" s="354">
        <f t="shared" si="7"/>
        <v>6418.6273824402</v>
      </c>
      <c r="E40" s="359">
        <f t="shared" si="5"/>
        <v>0.000449625342237721</v>
      </c>
      <c r="F40" s="360"/>
      <c r="G40" s="361">
        <v>0.000449625342237721</v>
      </c>
      <c r="H40" s="386">
        <f t="shared" si="24"/>
        <v>0.000449625342237721</v>
      </c>
      <c r="I40" s="386">
        <f t="shared" si="29"/>
        <v>0.000449625342237721</v>
      </c>
      <c r="J40" s="386">
        <f t="shared" si="30"/>
        <v>0.000449625342237721</v>
      </c>
      <c r="K40" s="356"/>
      <c r="L40" s="357"/>
      <c r="M40" s="357"/>
      <c r="N40" s="385" t="s">
        <v>4872</v>
      </c>
      <c r="O40" s="389">
        <f t="shared" ref="O40:Z40" si="38">O18*$G$40</f>
        <v>59.615734202231</v>
      </c>
      <c r="P40" s="389">
        <f t="shared" si="38"/>
        <v>198.719114007437</v>
      </c>
      <c r="Q40" s="389">
        <f t="shared" si="38"/>
        <v>596.15734202231</v>
      </c>
      <c r="R40" s="389">
        <f t="shared" si="38"/>
        <v>874.364101632721</v>
      </c>
      <c r="S40" s="389">
        <f t="shared" si="38"/>
        <v>596.15734202231</v>
      </c>
      <c r="T40" s="389">
        <f t="shared" si="38"/>
        <v>476.925873617848</v>
      </c>
      <c r="U40" s="389">
        <f t="shared" si="38"/>
        <v>715.388810426772</v>
      </c>
      <c r="V40" s="389">
        <f t="shared" si="38"/>
        <v>834.620278831234</v>
      </c>
      <c r="W40" s="389">
        <f t="shared" si="38"/>
        <v>476.925873617848</v>
      </c>
      <c r="X40" s="389">
        <f t="shared" si="38"/>
        <v>397.438228014873</v>
      </c>
      <c r="Y40" s="389">
        <f t="shared" si="38"/>
        <v>317.950582411899</v>
      </c>
      <c r="Z40" s="389">
        <f t="shared" si="38"/>
        <v>874.364101632721</v>
      </c>
    </row>
    <row r="41" s="417" customFormat="1" spans="2:26">
      <c r="B41" s="385" t="s">
        <v>4873</v>
      </c>
      <c r="C41" s="377"/>
      <c r="D41" s="354">
        <f t="shared" si="7"/>
        <v>0</v>
      </c>
      <c r="E41" s="359">
        <f t="shared" si="5"/>
        <v>0</v>
      </c>
      <c r="F41" s="360">
        <v>0.00110384180762023</v>
      </c>
      <c r="G41" s="386">
        <v>0</v>
      </c>
      <c r="H41" s="386">
        <f t="shared" si="24"/>
        <v>0</v>
      </c>
      <c r="I41" s="386">
        <f t="shared" si="29"/>
        <v>0</v>
      </c>
      <c r="J41" s="386">
        <f t="shared" si="30"/>
        <v>0</v>
      </c>
      <c r="K41" s="378" t="s">
        <v>4874</v>
      </c>
      <c r="L41" s="370"/>
      <c r="M41" s="370"/>
      <c r="N41" s="385" t="s">
        <v>4873</v>
      </c>
      <c r="O41" s="390">
        <f>O18*$G$41</f>
        <v>0</v>
      </c>
      <c r="P41" s="390">
        <f t="shared" ref="O41:Z41" si="39">P18*$G$41</f>
        <v>0</v>
      </c>
      <c r="Q41" s="390">
        <f t="shared" si="39"/>
        <v>0</v>
      </c>
      <c r="R41" s="390">
        <f t="shared" si="39"/>
        <v>0</v>
      </c>
      <c r="S41" s="390">
        <f t="shared" si="39"/>
        <v>0</v>
      </c>
      <c r="T41" s="390">
        <f t="shared" si="39"/>
        <v>0</v>
      </c>
      <c r="U41" s="390">
        <f t="shared" si="39"/>
        <v>0</v>
      </c>
      <c r="V41" s="390">
        <f t="shared" si="39"/>
        <v>0</v>
      </c>
      <c r="W41" s="390">
        <f t="shared" si="39"/>
        <v>0</v>
      </c>
      <c r="X41" s="390">
        <f t="shared" si="39"/>
        <v>0</v>
      </c>
      <c r="Y41" s="390">
        <f t="shared" si="39"/>
        <v>0</v>
      </c>
      <c r="Z41" s="390">
        <f t="shared" si="39"/>
        <v>0</v>
      </c>
    </row>
    <row r="42" s="417" customFormat="1" spans="2:26">
      <c r="B42" s="385" t="s">
        <v>4875</v>
      </c>
      <c r="C42" s="377"/>
      <c r="D42" s="354">
        <f t="shared" si="7"/>
        <v>366.778707568011</v>
      </c>
      <c r="E42" s="359">
        <f t="shared" si="5"/>
        <v>2.56928766992983e-5</v>
      </c>
      <c r="F42" s="360">
        <v>0.0119634201987296</v>
      </c>
      <c r="G42" s="386">
        <v>2.56928766992983e-5</v>
      </c>
      <c r="H42" s="386">
        <f t="shared" si="24"/>
        <v>2.56928766992983e-5</v>
      </c>
      <c r="I42" s="386">
        <f t="shared" si="29"/>
        <v>2.56928766992983e-5</v>
      </c>
      <c r="J42" s="386">
        <f t="shared" si="30"/>
        <v>2.56928766992983e-5</v>
      </c>
      <c r="K42" s="378" t="s">
        <v>4874</v>
      </c>
      <c r="L42" s="370"/>
      <c r="M42" s="370"/>
      <c r="N42" s="385" t="s">
        <v>4875</v>
      </c>
      <c r="O42" s="389">
        <f t="shared" ref="O42:Z42" si="40">O18*$G$42</f>
        <v>3.40661338298462</v>
      </c>
      <c r="P42" s="389">
        <f t="shared" si="40"/>
        <v>11.3553779432821</v>
      </c>
      <c r="Q42" s="389">
        <f t="shared" si="40"/>
        <v>34.0661338298462</v>
      </c>
      <c r="R42" s="389">
        <f t="shared" si="40"/>
        <v>49.9636629504411</v>
      </c>
      <c r="S42" s="389">
        <f t="shared" si="40"/>
        <v>34.0661338298462</v>
      </c>
      <c r="T42" s="389">
        <f t="shared" si="40"/>
        <v>27.252907063877</v>
      </c>
      <c r="U42" s="389">
        <f t="shared" si="40"/>
        <v>40.8793605958155</v>
      </c>
      <c r="V42" s="389">
        <f t="shared" si="40"/>
        <v>47.6925873617847</v>
      </c>
      <c r="W42" s="389">
        <f t="shared" si="40"/>
        <v>27.252907063877</v>
      </c>
      <c r="X42" s="389">
        <f t="shared" si="40"/>
        <v>22.7107558865641</v>
      </c>
      <c r="Y42" s="389">
        <f t="shared" si="40"/>
        <v>18.1686047092513</v>
      </c>
      <c r="Z42" s="389">
        <f t="shared" si="40"/>
        <v>49.9636629504411</v>
      </c>
    </row>
    <row r="43" s="417" customFormat="1" spans="2:26">
      <c r="B43" s="385" t="s">
        <v>4876</v>
      </c>
      <c r="C43" s="346"/>
      <c r="D43" s="354">
        <f t="shared" si="7"/>
        <v>649.809610241326</v>
      </c>
      <c r="E43" s="359">
        <f t="shared" si="5"/>
        <v>4.55192132189235e-5</v>
      </c>
      <c r="F43" s="360"/>
      <c r="G43" s="361">
        <v>4.55192132189235e-5</v>
      </c>
      <c r="H43" s="386">
        <f t="shared" si="24"/>
        <v>4.55192132189235e-5</v>
      </c>
      <c r="I43" s="386">
        <f t="shared" si="29"/>
        <v>4.55192132189235e-5</v>
      </c>
      <c r="J43" s="386">
        <f t="shared" si="30"/>
        <v>4.55192132189235e-5</v>
      </c>
      <c r="K43" s="356"/>
      <c r="L43" s="357"/>
      <c r="M43" s="357"/>
      <c r="N43" s="385" t="s">
        <v>4876</v>
      </c>
      <c r="O43" s="389">
        <f>O18*$G$43</f>
        <v>6.03538337685442</v>
      </c>
      <c r="P43" s="389">
        <f t="shared" ref="P43:P49" si="41">$P$18*G43</f>
        <v>20.1179445895147</v>
      </c>
      <c r="Q43" s="389">
        <f t="shared" ref="Q43:Q49" si="42">$Q$18*G43</f>
        <v>60.3538337685442</v>
      </c>
      <c r="R43" s="389">
        <f t="shared" ref="R43:R49" si="43">$R$18*G43</f>
        <v>88.5189561938649</v>
      </c>
      <c r="S43" s="389">
        <f t="shared" ref="S43:S49" si="44">$S$18*G43</f>
        <v>60.3538337685442</v>
      </c>
      <c r="T43" s="389">
        <f t="shared" ref="T43:T49" si="45">$T$18*G43</f>
        <v>48.2830670148354</v>
      </c>
      <c r="U43" s="391">
        <f t="shared" ref="U43:U49" si="46">$U$18*G43</f>
        <v>72.4246005222531</v>
      </c>
      <c r="V43" s="389">
        <f t="shared" ref="V43:V49" si="47">$V$18*G43</f>
        <v>84.4953672759619</v>
      </c>
      <c r="W43" s="389">
        <f t="shared" ref="W43:W49" si="48">$W$18*G43</f>
        <v>48.2830670148354</v>
      </c>
      <c r="X43" s="389">
        <f t="shared" ref="X43:X49" si="49">$X$18*G43</f>
        <v>40.2358891790295</v>
      </c>
      <c r="Y43" s="389">
        <f t="shared" ref="Y43:Y49" si="50">$Y$18*G43</f>
        <v>32.1887113432236</v>
      </c>
      <c r="Z43" s="389">
        <f t="shared" ref="Z43:Z49" si="51">$Z$18*G43</f>
        <v>88.5189561938649</v>
      </c>
    </row>
    <row r="44" s="417" customFormat="1" spans="2:26">
      <c r="B44" s="385" t="s">
        <v>4877</v>
      </c>
      <c r="C44" s="392"/>
      <c r="D44" s="354">
        <f t="shared" si="7"/>
        <v>3820.61153716678</v>
      </c>
      <c r="E44" s="359">
        <f t="shared" si="5"/>
        <v>0.000267634132284357</v>
      </c>
      <c r="F44" s="360">
        <v>0</v>
      </c>
      <c r="G44" s="361">
        <v>0.000267634132284357</v>
      </c>
      <c r="H44" s="386">
        <f t="shared" si="24"/>
        <v>0.000267634132284357</v>
      </c>
      <c r="I44" s="386">
        <f t="shared" si="29"/>
        <v>0.000267634132284357</v>
      </c>
      <c r="J44" s="386">
        <f t="shared" si="30"/>
        <v>0.000267634132284357</v>
      </c>
      <c r="K44" s="378"/>
      <c r="L44" s="370"/>
      <c r="M44" s="370"/>
      <c r="N44" s="385" t="s">
        <v>4877</v>
      </c>
      <c r="O44" s="389">
        <f t="shared" ref="O44:O49" si="52">$O$18*G44</f>
        <v>35.4855560727564</v>
      </c>
      <c r="P44" s="389">
        <f t="shared" si="41"/>
        <v>118.285186909188</v>
      </c>
      <c r="Q44" s="389">
        <f t="shared" si="42"/>
        <v>354.855560727564</v>
      </c>
      <c r="R44" s="389">
        <f t="shared" si="43"/>
        <v>520.454822400428</v>
      </c>
      <c r="S44" s="389">
        <f t="shared" si="44"/>
        <v>354.855560727564</v>
      </c>
      <c r="T44" s="389">
        <f t="shared" si="45"/>
        <v>283.884448582052</v>
      </c>
      <c r="U44" s="391">
        <f t="shared" si="46"/>
        <v>425.826672873077</v>
      </c>
      <c r="V44" s="389">
        <f t="shared" si="47"/>
        <v>496.79778501859</v>
      </c>
      <c r="W44" s="389">
        <f t="shared" si="48"/>
        <v>283.884448582052</v>
      </c>
      <c r="X44" s="389">
        <f t="shared" si="49"/>
        <v>236.570373818376</v>
      </c>
      <c r="Y44" s="389">
        <f t="shared" si="50"/>
        <v>189.256299054701</v>
      </c>
      <c r="Z44" s="389">
        <f t="shared" si="51"/>
        <v>520.454822400428</v>
      </c>
    </row>
    <row r="45" s="417" customFormat="1" spans="2:26">
      <c r="B45" s="385" t="s">
        <v>4878</v>
      </c>
      <c r="C45" s="377"/>
      <c r="D45" s="354">
        <f t="shared" si="7"/>
        <v>41515.2743777259</v>
      </c>
      <c r="E45" s="359">
        <f t="shared" si="5"/>
        <v>0.0029081481659528</v>
      </c>
      <c r="F45" s="360">
        <v>0</v>
      </c>
      <c r="G45" s="361">
        <v>0.0029081481659528</v>
      </c>
      <c r="H45" s="386">
        <f t="shared" si="24"/>
        <v>0.0029081481659528</v>
      </c>
      <c r="I45" s="386">
        <f t="shared" si="29"/>
        <v>0.0029081481659528</v>
      </c>
      <c r="J45" s="386">
        <f t="shared" si="30"/>
        <v>0.0029081481659528</v>
      </c>
      <c r="K45" s="378"/>
      <c r="L45" s="370"/>
      <c r="M45" s="370"/>
      <c r="N45" s="385" t="s">
        <v>4878</v>
      </c>
      <c r="O45" s="389">
        <f t="shared" si="52"/>
        <v>385.590783694049</v>
      </c>
      <c r="P45" s="389">
        <f t="shared" si="41"/>
        <v>1285.3026123135</v>
      </c>
      <c r="Q45" s="389">
        <f t="shared" si="42"/>
        <v>3855.90783694049</v>
      </c>
      <c r="R45" s="389">
        <f t="shared" si="43"/>
        <v>5655.33149417938</v>
      </c>
      <c r="S45" s="389">
        <f t="shared" si="44"/>
        <v>3855.90783694049</v>
      </c>
      <c r="T45" s="389">
        <f t="shared" si="45"/>
        <v>3084.72626955239</v>
      </c>
      <c r="U45" s="391">
        <f t="shared" si="46"/>
        <v>4627.08940432858</v>
      </c>
      <c r="V45" s="389">
        <f t="shared" si="47"/>
        <v>5398.27097171668</v>
      </c>
      <c r="W45" s="389">
        <f t="shared" si="48"/>
        <v>3084.72626955239</v>
      </c>
      <c r="X45" s="389">
        <f t="shared" si="49"/>
        <v>2570.60522462699</v>
      </c>
      <c r="Y45" s="389">
        <f t="shared" si="50"/>
        <v>2056.48417970159</v>
      </c>
      <c r="Z45" s="389">
        <f t="shared" si="51"/>
        <v>5655.33149417938</v>
      </c>
    </row>
    <row r="46" s="417" customFormat="1" spans="2:26">
      <c r="B46" s="385" t="s">
        <v>4879</v>
      </c>
      <c r="C46" s="392"/>
      <c r="D46" s="354">
        <f t="shared" si="7"/>
        <v>9367.12065938971</v>
      </c>
      <c r="E46" s="359">
        <f t="shared" si="5"/>
        <v>0.000656167523259302</v>
      </c>
      <c r="F46" s="360">
        <v>0</v>
      </c>
      <c r="G46" s="361">
        <v>0.000656167523259302</v>
      </c>
      <c r="H46" s="386">
        <f t="shared" si="24"/>
        <v>0.000656167523259302</v>
      </c>
      <c r="I46" s="386">
        <f t="shared" si="29"/>
        <v>0.000656167523259302</v>
      </c>
      <c r="J46" s="386">
        <f t="shared" si="30"/>
        <v>0.000656167523259302</v>
      </c>
      <c r="K46" s="378"/>
      <c r="L46" s="370"/>
      <c r="M46" s="370"/>
      <c r="N46" s="385" t="s">
        <v>4879</v>
      </c>
      <c r="O46" s="389">
        <f t="shared" si="52"/>
        <v>87.0011206754462</v>
      </c>
      <c r="P46" s="389">
        <f t="shared" si="41"/>
        <v>290.003735584821</v>
      </c>
      <c r="Q46" s="389">
        <f t="shared" si="42"/>
        <v>870.011206754462</v>
      </c>
      <c r="R46" s="389">
        <f t="shared" si="43"/>
        <v>1276.01643657321</v>
      </c>
      <c r="S46" s="389">
        <f t="shared" si="44"/>
        <v>870.011206754462</v>
      </c>
      <c r="T46" s="389">
        <f t="shared" si="45"/>
        <v>696.00896540357</v>
      </c>
      <c r="U46" s="391">
        <f t="shared" si="46"/>
        <v>1044.01344810535</v>
      </c>
      <c r="V46" s="389">
        <f t="shared" si="47"/>
        <v>1218.01568945625</v>
      </c>
      <c r="W46" s="389">
        <f t="shared" si="48"/>
        <v>696.00896540357</v>
      </c>
      <c r="X46" s="389">
        <f t="shared" si="49"/>
        <v>580.007471169641</v>
      </c>
      <c r="Y46" s="389">
        <f t="shared" si="50"/>
        <v>464.005976935713</v>
      </c>
      <c r="Z46" s="389">
        <f t="shared" si="51"/>
        <v>1276.01643657321</v>
      </c>
    </row>
    <row r="47" s="417" customFormat="1" spans="2:26">
      <c r="B47" s="385" t="s">
        <v>4880</v>
      </c>
      <c r="C47" s="392"/>
      <c r="D47" s="354">
        <f t="shared" si="7"/>
        <v>7663.07697232615</v>
      </c>
      <c r="E47" s="359">
        <f t="shared" si="5"/>
        <v>0.000536799131805381</v>
      </c>
      <c r="F47" s="360">
        <v>0</v>
      </c>
      <c r="G47" s="361">
        <v>0.000536799131805381</v>
      </c>
      <c r="H47" s="386">
        <f t="shared" si="24"/>
        <v>0.000536799131805381</v>
      </c>
      <c r="I47" s="386">
        <f t="shared" si="29"/>
        <v>0.000536799131805381</v>
      </c>
      <c r="J47" s="386">
        <f t="shared" si="30"/>
        <v>0.000536799131805381</v>
      </c>
      <c r="K47" s="378"/>
      <c r="L47" s="370"/>
      <c r="M47" s="370"/>
      <c r="N47" s="385" t="s">
        <v>4880</v>
      </c>
      <c r="O47" s="389">
        <f t="shared" si="52"/>
        <v>71.1740895262491</v>
      </c>
      <c r="P47" s="389">
        <f t="shared" si="41"/>
        <v>237.246965087497</v>
      </c>
      <c r="Q47" s="389">
        <f t="shared" si="42"/>
        <v>711.740895262491</v>
      </c>
      <c r="R47" s="389">
        <f t="shared" si="43"/>
        <v>1043.88664638499</v>
      </c>
      <c r="S47" s="389">
        <f t="shared" si="44"/>
        <v>711.740895262491</v>
      </c>
      <c r="T47" s="389">
        <f t="shared" si="45"/>
        <v>569.392716209993</v>
      </c>
      <c r="U47" s="391">
        <f t="shared" si="46"/>
        <v>854.089074314989</v>
      </c>
      <c r="V47" s="389">
        <f t="shared" si="47"/>
        <v>996.437253367487</v>
      </c>
      <c r="W47" s="389">
        <f t="shared" si="48"/>
        <v>569.392716209993</v>
      </c>
      <c r="X47" s="389">
        <f t="shared" si="49"/>
        <v>474.493930174994</v>
      </c>
      <c r="Y47" s="389">
        <f t="shared" si="50"/>
        <v>379.595144139995</v>
      </c>
      <c r="Z47" s="389">
        <f t="shared" si="51"/>
        <v>1043.88664638499</v>
      </c>
    </row>
    <row r="48" s="417" customFormat="1" spans="2:26">
      <c r="B48" s="385" t="s">
        <v>4881</v>
      </c>
      <c r="C48" s="377"/>
      <c r="D48" s="354">
        <f t="shared" si="7"/>
        <v>978.076553514696</v>
      </c>
      <c r="E48" s="359">
        <f t="shared" si="5"/>
        <v>6.85143378647955e-5</v>
      </c>
      <c r="F48" s="360"/>
      <c r="G48" s="361">
        <v>6.85143378647955e-5</v>
      </c>
      <c r="H48" s="386">
        <f t="shared" si="24"/>
        <v>6.85143378647955e-5</v>
      </c>
      <c r="I48" s="386">
        <f t="shared" si="29"/>
        <v>6.85143378647955e-5</v>
      </c>
      <c r="J48" s="386">
        <f t="shared" si="30"/>
        <v>6.85143378647955e-5</v>
      </c>
      <c r="K48" s="378"/>
      <c r="L48" s="370"/>
      <c r="M48" s="370"/>
      <c r="N48" s="385" t="s">
        <v>4881</v>
      </c>
      <c r="O48" s="389">
        <f t="shared" si="52"/>
        <v>9.08430235462566</v>
      </c>
      <c r="P48" s="389">
        <f t="shared" si="41"/>
        <v>30.2810078487522</v>
      </c>
      <c r="Q48" s="389">
        <f t="shared" si="42"/>
        <v>90.8430235462566</v>
      </c>
      <c r="R48" s="389">
        <f t="shared" si="43"/>
        <v>133.23643453451</v>
      </c>
      <c r="S48" s="389">
        <f t="shared" si="44"/>
        <v>90.8430235462566</v>
      </c>
      <c r="T48" s="389">
        <f t="shared" si="45"/>
        <v>72.6744188370053</v>
      </c>
      <c r="U48" s="391">
        <f t="shared" si="46"/>
        <v>109.011628255508</v>
      </c>
      <c r="V48" s="389">
        <f t="shared" si="47"/>
        <v>127.180232964759</v>
      </c>
      <c r="W48" s="389">
        <f t="shared" si="48"/>
        <v>72.6744188370053</v>
      </c>
      <c r="X48" s="389">
        <f t="shared" si="49"/>
        <v>60.5620156975044</v>
      </c>
      <c r="Y48" s="389">
        <f t="shared" si="50"/>
        <v>48.4496125580035</v>
      </c>
      <c r="Z48" s="389">
        <f t="shared" si="51"/>
        <v>133.23643453451</v>
      </c>
    </row>
    <row r="49" s="417" customFormat="1" spans="2:26">
      <c r="B49" s="385" t="s">
        <v>4882</v>
      </c>
      <c r="C49" s="377"/>
      <c r="D49" s="354">
        <f t="shared" si="7"/>
        <v>509.414871622238</v>
      </c>
      <c r="E49" s="359">
        <f t="shared" si="5"/>
        <v>3.56845509712477e-5</v>
      </c>
      <c r="F49" s="360">
        <v>0.0390524595705994</v>
      </c>
      <c r="G49" s="361">
        <v>3.56845509712477e-5</v>
      </c>
      <c r="H49" s="386">
        <f t="shared" si="24"/>
        <v>3.56845509712477e-5</v>
      </c>
      <c r="I49" s="386">
        <f t="shared" si="29"/>
        <v>3.56845509712477e-5</v>
      </c>
      <c r="J49" s="386">
        <f t="shared" si="30"/>
        <v>3.56845509712477e-5</v>
      </c>
      <c r="K49" s="378"/>
      <c r="L49" s="370"/>
      <c r="M49" s="370"/>
      <c r="N49" s="385" t="s">
        <v>4882</v>
      </c>
      <c r="O49" s="389">
        <f t="shared" si="52"/>
        <v>4.73140747636754</v>
      </c>
      <c r="P49" s="389">
        <f t="shared" si="41"/>
        <v>15.7713582545585</v>
      </c>
      <c r="Q49" s="389">
        <f t="shared" si="42"/>
        <v>47.3140747636754</v>
      </c>
      <c r="R49" s="389">
        <f t="shared" si="43"/>
        <v>69.3939763200572</v>
      </c>
      <c r="S49" s="389">
        <f t="shared" si="44"/>
        <v>47.3140747636754</v>
      </c>
      <c r="T49" s="389">
        <f t="shared" si="45"/>
        <v>37.8512598109403</v>
      </c>
      <c r="U49" s="391">
        <f t="shared" si="46"/>
        <v>56.7768897164105</v>
      </c>
      <c r="V49" s="389">
        <f t="shared" si="47"/>
        <v>66.2397046691455</v>
      </c>
      <c r="W49" s="389">
        <f t="shared" si="48"/>
        <v>37.8512598109403</v>
      </c>
      <c r="X49" s="389">
        <f t="shared" si="49"/>
        <v>31.5427165091169</v>
      </c>
      <c r="Y49" s="389">
        <f t="shared" si="50"/>
        <v>25.2341732072935</v>
      </c>
      <c r="Z49" s="389">
        <f t="shared" si="51"/>
        <v>69.3939763200572</v>
      </c>
    </row>
    <row r="50" s="418" customFormat="1" ht="18" spans="2:26">
      <c r="B50" s="353" t="s">
        <v>4883</v>
      </c>
      <c r="C50" s="346"/>
      <c r="D50" s="347">
        <f t="shared" si="7"/>
        <v>336068.13099284</v>
      </c>
      <c r="E50" s="339">
        <f t="shared" si="5"/>
        <v>0.0235415984461464</v>
      </c>
      <c r="F50" s="348">
        <v>0</v>
      </c>
      <c r="G50" s="406">
        <f t="shared" ref="G50:J50" si="53">SUM(G51:G66)</f>
        <v>0.0235415984461464</v>
      </c>
      <c r="H50" s="406">
        <f t="shared" si="53"/>
        <v>0.0235415984461464</v>
      </c>
      <c r="I50" s="406">
        <f t="shared" si="53"/>
        <v>0.0235415984461464</v>
      </c>
      <c r="J50" s="406">
        <f t="shared" si="53"/>
        <v>0.0235415984461464</v>
      </c>
      <c r="K50" s="356"/>
      <c r="L50" s="357"/>
      <c r="M50" s="357"/>
      <c r="N50" s="353" t="s">
        <v>4884</v>
      </c>
      <c r="O50" s="352">
        <f t="shared" ref="O50:Z50" si="54">SUM(O51:O66)</f>
        <v>3121.37582965486</v>
      </c>
      <c r="P50" s="352">
        <f t="shared" si="54"/>
        <v>10404.5860988495</v>
      </c>
      <c r="Q50" s="352">
        <f t="shared" si="54"/>
        <v>31213.7582965486</v>
      </c>
      <c r="R50" s="352">
        <f t="shared" si="54"/>
        <v>45780.178834938</v>
      </c>
      <c r="S50" s="352">
        <f t="shared" si="54"/>
        <v>31213.7582965486</v>
      </c>
      <c r="T50" s="352">
        <f t="shared" si="54"/>
        <v>24971.0066372389</v>
      </c>
      <c r="U50" s="352">
        <f t="shared" si="54"/>
        <v>37456.5099558584</v>
      </c>
      <c r="V50" s="352">
        <f t="shared" si="54"/>
        <v>43699.2616151681</v>
      </c>
      <c r="W50" s="352">
        <f t="shared" si="54"/>
        <v>24971.0066372389</v>
      </c>
      <c r="X50" s="352">
        <f t="shared" si="54"/>
        <v>20809.1721976991</v>
      </c>
      <c r="Y50" s="352">
        <f t="shared" si="54"/>
        <v>16647.3377581593</v>
      </c>
      <c r="Z50" s="352">
        <f t="shared" si="54"/>
        <v>45780.178834938</v>
      </c>
    </row>
    <row r="51" s="417" customFormat="1" spans="2:26">
      <c r="B51" s="385" t="s">
        <v>4885</v>
      </c>
      <c r="C51" s="377"/>
      <c r="D51" s="354">
        <f t="shared" si="7"/>
        <v>237273.445612072</v>
      </c>
      <c r="E51" s="359">
        <f t="shared" si="5"/>
        <v>0.0166210231301342</v>
      </c>
      <c r="F51" s="360">
        <v>0</v>
      </c>
      <c r="G51" s="361">
        <v>0.0166210231301342</v>
      </c>
      <c r="H51" s="386">
        <f t="shared" ref="H51:H66" si="55">SUM(R51:T51)/SUM($R$18:$T$18)</f>
        <v>0.0166210231301342</v>
      </c>
      <c r="I51" s="386">
        <f t="shared" ref="I51:I66" si="56">SUM(U51:W51)/SUM($U$18:$W$18)</f>
        <v>0.0166210231301342</v>
      </c>
      <c r="J51" s="386">
        <f t="shared" ref="J51:J66" si="57">SUM(X51:Z51)/SUM($X$18:$Z$18)</f>
        <v>0.0166210231301342</v>
      </c>
      <c r="K51" s="378"/>
      <c r="L51" s="370"/>
      <c r="M51" s="370"/>
      <c r="N51" s="385" t="s">
        <v>4885</v>
      </c>
      <c r="O51" s="389">
        <f t="shared" ref="O51:O66" si="58">$O$18*G51</f>
        <v>2203.77813261987</v>
      </c>
      <c r="P51" s="389">
        <f t="shared" ref="P51:P66" si="59">$P$18*G51</f>
        <v>7345.92710873289</v>
      </c>
      <c r="Q51" s="389">
        <f t="shared" ref="Q51:Q66" si="60">$Q$18*G51</f>
        <v>22037.7813261987</v>
      </c>
      <c r="R51" s="389">
        <f t="shared" ref="R51:R66" si="61">$R$18*G51</f>
        <v>32322.0792784247</v>
      </c>
      <c r="S51" s="389">
        <f t="shared" ref="S51:S66" si="62">$S$18*G51</f>
        <v>22037.7813261987</v>
      </c>
      <c r="T51" s="389">
        <f t="shared" ref="T51:T66" si="63">$T$18*G51</f>
        <v>17630.2250609589</v>
      </c>
      <c r="U51" s="391">
        <f t="shared" ref="U51:U66" si="64">$U$18*G51</f>
        <v>26445.3375914384</v>
      </c>
      <c r="V51" s="389">
        <f t="shared" ref="V51:V66" si="65">$V$18*G51</f>
        <v>30852.8938566781</v>
      </c>
      <c r="W51" s="389">
        <f t="shared" ref="W51:W66" si="66">$W$18*G51</f>
        <v>17630.2250609589</v>
      </c>
      <c r="X51" s="389">
        <f t="shared" ref="X51:X66" si="67">$X$18*G51</f>
        <v>14691.8542174658</v>
      </c>
      <c r="Y51" s="389">
        <f t="shared" ref="Y51:Y66" si="68">$Y$18*G51</f>
        <v>11753.4833739726</v>
      </c>
      <c r="Z51" s="389">
        <f t="shared" ref="Z51:Z66" si="69">$Z$18*G51</f>
        <v>32322.0792784247</v>
      </c>
    </row>
    <row r="52" s="417" customFormat="1" spans="2:26">
      <c r="B52" s="385" t="s">
        <v>4886</v>
      </c>
      <c r="C52" s="346"/>
      <c r="D52" s="354">
        <f t="shared" si="7"/>
        <v>17528.6478576414</v>
      </c>
      <c r="E52" s="359">
        <f t="shared" si="5"/>
        <v>0.00122788313176083</v>
      </c>
      <c r="F52" s="360">
        <v>0</v>
      </c>
      <c r="G52" s="361">
        <v>0.00122788313176083</v>
      </c>
      <c r="H52" s="386">
        <f t="shared" si="55"/>
        <v>0.00122788313176083</v>
      </c>
      <c r="I52" s="386">
        <f t="shared" si="56"/>
        <v>0.00122788313176083</v>
      </c>
      <c r="J52" s="386">
        <f t="shared" si="57"/>
        <v>0.00122788313176083</v>
      </c>
      <c r="K52" s="378"/>
      <c r="L52" s="370"/>
      <c r="M52" s="357"/>
      <c r="N52" s="385" t="s">
        <v>4886</v>
      </c>
      <c r="O52" s="389">
        <f t="shared" si="58"/>
        <v>162.804778863542</v>
      </c>
      <c r="P52" s="389">
        <f t="shared" si="59"/>
        <v>542.682596211807</v>
      </c>
      <c r="Q52" s="389">
        <f t="shared" si="60"/>
        <v>1628.04778863542</v>
      </c>
      <c r="R52" s="389">
        <f t="shared" si="61"/>
        <v>2387.80342333195</v>
      </c>
      <c r="S52" s="389">
        <f t="shared" si="62"/>
        <v>1628.04778863542</v>
      </c>
      <c r="T52" s="389">
        <f t="shared" si="63"/>
        <v>1302.43823090834</v>
      </c>
      <c r="U52" s="391">
        <f t="shared" si="64"/>
        <v>1953.65734636251</v>
      </c>
      <c r="V52" s="389">
        <f t="shared" si="65"/>
        <v>2279.26690408959</v>
      </c>
      <c r="W52" s="389">
        <f t="shared" si="66"/>
        <v>1302.43823090834</v>
      </c>
      <c r="X52" s="389">
        <f t="shared" si="67"/>
        <v>1085.36519242361</v>
      </c>
      <c r="Y52" s="389">
        <f t="shared" si="68"/>
        <v>868.292153938891</v>
      </c>
      <c r="Z52" s="389">
        <f t="shared" si="69"/>
        <v>2387.80342333195</v>
      </c>
    </row>
    <row r="53" s="417" customFormat="1" spans="2:26">
      <c r="B53" s="385" t="s">
        <v>4887</v>
      </c>
      <c r="C53" s="346"/>
      <c r="D53" s="354">
        <f t="shared" si="7"/>
        <v>611.297845946685</v>
      </c>
      <c r="E53" s="359">
        <f t="shared" si="5"/>
        <v>4.28214611654972e-5</v>
      </c>
      <c r="F53" s="360"/>
      <c r="G53" s="361">
        <v>4.28214611654972e-5</v>
      </c>
      <c r="H53" s="386">
        <f t="shared" si="55"/>
        <v>4.28214611654972e-5</v>
      </c>
      <c r="I53" s="386">
        <f t="shared" si="56"/>
        <v>4.28214611654972e-5</v>
      </c>
      <c r="J53" s="386">
        <f t="shared" si="57"/>
        <v>4.28214611654972e-5</v>
      </c>
      <c r="K53" s="356"/>
      <c r="L53" s="357"/>
      <c r="M53" s="357"/>
      <c r="N53" s="385" t="s">
        <v>4887</v>
      </c>
      <c r="O53" s="389">
        <f t="shared" si="58"/>
        <v>5.67768897164104</v>
      </c>
      <c r="P53" s="389">
        <f t="shared" si="59"/>
        <v>18.9256299054701</v>
      </c>
      <c r="Q53" s="389">
        <f t="shared" si="60"/>
        <v>56.7768897164104</v>
      </c>
      <c r="R53" s="389">
        <f t="shared" si="61"/>
        <v>83.2727715840686</v>
      </c>
      <c r="S53" s="389">
        <f t="shared" si="62"/>
        <v>56.7768897164104</v>
      </c>
      <c r="T53" s="389">
        <f t="shared" si="63"/>
        <v>45.4215117731283</v>
      </c>
      <c r="U53" s="391">
        <f t="shared" si="64"/>
        <v>68.1322676596925</v>
      </c>
      <c r="V53" s="389">
        <f t="shared" si="65"/>
        <v>79.4876456029746</v>
      </c>
      <c r="W53" s="389">
        <f t="shared" si="66"/>
        <v>45.4215117731283</v>
      </c>
      <c r="X53" s="389">
        <f t="shared" si="67"/>
        <v>37.8512598109403</v>
      </c>
      <c r="Y53" s="389">
        <f t="shared" si="68"/>
        <v>30.2810078487522</v>
      </c>
      <c r="Z53" s="389">
        <f t="shared" si="69"/>
        <v>83.2727715840686</v>
      </c>
    </row>
    <row r="54" s="417" customFormat="1" spans="2:26">
      <c r="B54" s="385" t="s">
        <v>4888</v>
      </c>
      <c r="C54" s="346"/>
      <c r="D54" s="354">
        <f t="shared" si="7"/>
        <v>7278.31591978988</v>
      </c>
      <c r="E54" s="359">
        <f t="shared" si="5"/>
        <v>0.000509846590456798</v>
      </c>
      <c r="F54" s="360"/>
      <c r="G54" s="361">
        <v>0.000509846590456798</v>
      </c>
      <c r="H54" s="386">
        <f t="shared" si="55"/>
        <v>0.000509846590456798</v>
      </c>
      <c r="I54" s="386">
        <f t="shared" si="56"/>
        <v>0.000509846590456798</v>
      </c>
      <c r="J54" s="386">
        <f t="shared" si="57"/>
        <v>0.000509846590456798</v>
      </c>
      <c r="K54" s="356"/>
      <c r="L54" s="357"/>
      <c r="M54" s="357"/>
      <c r="N54" s="385" t="s">
        <v>4888</v>
      </c>
      <c r="O54" s="389">
        <f t="shared" si="58"/>
        <v>67.6004574593488</v>
      </c>
      <c r="P54" s="389">
        <f t="shared" si="59"/>
        <v>225.334858197829</v>
      </c>
      <c r="Q54" s="389">
        <f t="shared" si="60"/>
        <v>676.004574593488</v>
      </c>
      <c r="R54" s="389">
        <f t="shared" si="61"/>
        <v>991.473376070449</v>
      </c>
      <c r="S54" s="389">
        <f t="shared" si="62"/>
        <v>676.004574593488</v>
      </c>
      <c r="T54" s="389">
        <f t="shared" si="63"/>
        <v>540.80365967479</v>
      </c>
      <c r="U54" s="391">
        <f t="shared" si="64"/>
        <v>811.205489512185</v>
      </c>
      <c r="V54" s="389">
        <f t="shared" si="65"/>
        <v>946.406404430883</v>
      </c>
      <c r="W54" s="389">
        <f t="shared" si="66"/>
        <v>540.80365967479</v>
      </c>
      <c r="X54" s="389">
        <f t="shared" si="67"/>
        <v>450.669716395658</v>
      </c>
      <c r="Y54" s="389">
        <f t="shared" si="68"/>
        <v>360.535773116527</v>
      </c>
      <c r="Z54" s="389">
        <f t="shared" si="69"/>
        <v>991.473376070449</v>
      </c>
    </row>
    <row r="55" s="417" customFormat="1" spans="2:26">
      <c r="B55" s="385" t="s">
        <v>4889</v>
      </c>
      <c r="C55" s="377"/>
      <c r="D55" s="354">
        <f t="shared" si="7"/>
        <v>9475.11661217363</v>
      </c>
      <c r="E55" s="359">
        <f t="shared" si="5"/>
        <v>0.000663732648065207</v>
      </c>
      <c r="F55" s="360">
        <v>0.0355440116134983</v>
      </c>
      <c r="G55" s="361">
        <v>0.000663732648065207</v>
      </c>
      <c r="H55" s="386">
        <f t="shared" si="55"/>
        <v>0.000663732648065207</v>
      </c>
      <c r="I55" s="386">
        <f t="shared" si="56"/>
        <v>0.000663732648065207</v>
      </c>
      <c r="J55" s="386">
        <f t="shared" si="57"/>
        <v>0.000663732648065207</v>
      </c>
      <c r="K55" s="378"/>
      <c r="L55" s="370"/>
      <c r="M55" s="370"/>
      <c r="N55" s="385" t="s">
        <v>4889</v>
      </c>
      <c r="O55" s="389">
        <f t="shared" si="58"/>
        <v>88.0041790604362</v>
      </c>
      <c r="P55" s="389">
        <f t="shared" si="59"/>
        <v>293.347263534787</v>
      </c>
      <c r="Q55" s="389">
        <f t="shared" si="60"/>
        <v>880.041790604362</v>
      </c>
      <c r="R55" s="389">
        <f t="shared" si="61"/>
        <v>1290.72795955306</v>
      </c>
      <c r="S55" s="389">
        <f t="shared" si="62"/>
        <v>880.041790604362</v>
      </c>
      <c r="T55" s="389">
        <f t="shared" si="63"/>
        <v>704.033432483489</v>
      </c>
      <c r="U55" s="391">
        <f t="shared" si="64"/>
        <v>1056.05014872523</v>
      </c>
      <c r="V55" s="389">
        <f t="shared" si="65"/>
        <v>1232.05850684611</v>
      </c>
      <c r="W55" s="389">
        <f t="shared" si="66"/>
        <v>704.033432483489</v>
      </c>
      <c r="X55" s="389">
        <f t="shared" si="67"/>
        <v>586.694527069575</v>
      </c>
      <c r="Y55" s="389">
        <f t="shared" si="68"/>
        <v>469.35562165566</v>
      </c>
      <c r="Z55" s="389">
        <f t="shared" si="69"/>
        <v>1290.72795955306</v>
      </c>
    </row>
    <row r="56" s="417" customFormat="1" spans="2:26">
      <c r="B56" s="385" t="s">
        <v>4890</v>
      </c>
      <c r="C56" s="377"/>
      <c r="D56" s="354">
        <f t="shared" si="7"/>
        <v>10392.0633810936</v>
      </c>
      <c r="E56" s="359">
        <f t="shared" si="5"/>
        <v>0.000727964839813452</v>
      </c>
      <c r="F56" s="360">
        <v>0.000559971777424903</v>
      </c>
      <c r="G56" s="361">
        <v>0.000727964839813452</v>
      </c>
      <c r="H56" s="386">
        <f t="shared" si="55"/>
        <v>0.000727964839813452</v>
      </c>
      <c r="I56" s="386">
        <f t="shared" si="56"/>
        <v>0.000727964839813452</v>
      </c>
      <c r="J56" s="386">
        <f t="shared" si="57"/>
        <v>0.000727964839813452</v>
      </c>
      <c r="K56" s="378"/>
      <c r="L56" s="370"/>
      <c r="M56" s="370"/>
      <c r="N56" s="385" t="s">
        <v>4890</v>
      </c>
      <c r="O56" s="389">
        <f t="shared" si="58"/>
        <v>96.5207125178976</v>
      </c>
      <c r="P56" s="389">
        <f t="shared" si="59"/>
        <v>321.735708392992</v>
      </c>
      <c r="Q56" s="389">
        <f t="shared" si="60"/>
        <v>965.207125178976</v>
      </c>
      <c r="R56" s="389">
        <f t="shared" si="61"/>
        <v>1415.63711692917</v>
      </c>
      <c r="S56" s="389">
        <f t="shared" si="62"/>
        <v>965.207125178976</v>
      </c>
      <c r="T56" s="389">
        <f t="shared" si="63"/>
        <v>772.165700143181</v>
      </c>
      <c r="U56" s="391">
        <f t="shared" si="64"/>
        <v>1158.24855021477</v>
      </c>
      <c r="V56" s="389">
        <f t="shared" si="65"/>
        <v>1351.28997525057</v>
      </c>
      <c r="W56" s="389">
        <f t="shared" si="66"/>
        <v>772.165700143181</v>
      </c>
      <c r="X56" s="389">
        <f t="shared" si="67"/>
        <v>643.471416785984</v>
      </c>
      <c r="Y56" s="389">
        <f t="shared" si="68"/>
        <v>514.777133428787</v>
      </c>
      <c r="Z56" s="389">
        <f t="shared" si="69"/>
        <v>1415.63711692917</v>
      </c>
    </row>
    <row r="57" s="417" customFormat="1" spans="2:26">
      <c r="B57" s="385" t="s">
        <v>4891</v>
      </c>
      <c r="C57" s="377"/>
      <c r="D57" s="354">
        <f t="shared" si="7"/>
        <v>8761.93579190249</v>
      </c>
      <c r="E57" s="359">
        <f t="shared" si="5"/>
        <v>0.00061377427670546</v>
      </c>
      <c r="F57" s="360">
        <v>0.00406331756446181</v>
      </c>
      <c r="G57" s="361">
        <v>0.00061377427670546</v>
      </c>
      <c r="H57" s="386">
        <f t="shared" si="55"/>
        <v>0.00061377427670546</v>
      </c>
      <c r="I57" s="386">
        <f t="shared" si="56"/>
        <v>0.00061377427670546</v>
      </c>
      <c r="J57" s="386">
        <f t="shared" si="57"/>
        <v>0.00061377427670546</v>
      </c>
      <c r="K57" s="378"/>
      <c r="L57" s="370"/>
      <c r="M57" s="370"/>
      <c r="N57" s="385" t="s">
        <v>4891</v>
      </c>
      <c r="O57" s="389">
        <f t="shared" si="58"/>
        <v>81.3802085935216</v>
      </c>
      <c r="P57" s="389">
        <f t="shared" si="59"/>
        <v>271.267361978405</v>
      </c>
      <c r="Q57" s="389">
        <f t="shared" si="60"/>
        <v>813.802085935216</v>
      </c>
      <c r="R57" s="389">
        <f t="shared" si="61"/>
        <v>1193.57639270498</v>
      </c>
      <c r="S57" s="389">
        <f t="shared" si="62"/>
        <v>813.802085935216</v>
      </c>
      <c r="T57" s="389">
        <f t="shared" si="63"/>
        <v>651.041668748173</v>
      </c>
      <c r="U57" s="391">
        <f t="shared" si="64"/>
        <v>976.562503122259</v>
      </c>
      <c r="V57" s="389">
        <f t="shared" si="65"/>
        <v>1139.3229203093</v>
      </c>
      <c r="W57" s="389">
        <f t="shared" si="66"/>
        <v>651.041668748173</v>
      </c>
      <c r="X57" s="389">
        <f t="shared" si="67"/>
        <v>542.534723956811</v>
      </c>
      <c r="Y57" s="389">
        <f t="shared" si="68"/>
        <v>434.027779165448</v>
      </c>
      <c r="Z57" s="389">
        <f t="shared" si="69"/>
        <v>1193.57639270498</v>
      </c>
    </row>
    <row r="58" s="417" customFormat="1" spans="2:26">
      <c r="B58" s="394" t="s">
        <v>4892</v>
      </c>
      <c r="C58" s="377"/>
      <c r="D58" s="354">
        <f t="shared" si="7"/>
        <v>1222.59569189337</v>
      </c>
      <c r="E58" s="359">
        <f t="shared" si="5"/>
        <v>8.56429223309944e-5</v>
      </c>
      <c r="F58" s="395"/>
      <c r="G58" s="361">
        <v>8.56429223309944e-5</v>
      </c>
      <c r="H58" s="386">
        <f t="shared" si="55"/>
        <v>8.56429223309944e-5</v>
      </c>
      <c r="I58" s="386">
        <f t="shared" si="56"/>
        <v>8.56429223309944e-5</v>
      </c>
      <c r="J58" s="386">
        <f t="shared" si="57"/>
        <v>8.56429223309944e-5</v>
      </c>
      <c r="K58" s="378"/>
      <c r="L58" s="370"/>
      <c r="M58" s="370"/>
      <c r="N58" s="394" t="s">
        <v>4892</v>
      </c>
      <c r="O58" s="389">
        <f t="shared" si="58"/>
        <v>11.3553779432821</v>
      </c>
      <c r="P58" s="389">
        <f t="shared" si="59"/>
        <v>37.8512598109403</v>
      </c>
      <c r="Q58" s="389">
        <f t="shared" si="60"/>
        <v>113.553779432821</v>
      </c>
      <c r="R58" s="389">
        <f t="shared" si="61"/>
        <v>166.545543168137</v>
      </c>
      <c r="S58" s="389">
        <f t="shared" si="62"/>
        <v>113.553779432821</v>
      </c>
      <c r="T58" s="389">
        <f t="shared" si="63"/>
        <v>90.8430235462566</v>
      </c>
      <c r="U58" s="391">
        <f t="shared" si="64"/>
        <v>136.264535319385</v>
      </c>
      <c r="V58" s="389">
        <f t="shared" si="65"/>
        <v>158.975291205949</v>
      </c>
      <c r="W58" s="389">
        <f t="shared" si="66"/>
        <v>90.8430235462566</v>
      </c>
      <c r="X58" s="389">
        <f t="shared" si="67"/>
        <v>75.7025196218805</v>
      </c>
      <c r="Y58" s="389">
        <f t="shared" si="68"/>
        <v>60.5620156975044</v>
      </c>
      <c r="Z58" s="389">
        <f t="shared" si="69"/>
        <v>166.545543168137</v>
      </c>
    </row>
    <row r="59" s="417" customFormat="1" spans="2:26">
      <c r="B59" s="394" t="s">
        <v>4893</v>
      </c>
      <c r="C59" s="396"/>
      <c r="D59" s="354">
        <f t="shared" si="7"/>
        <v>244.519138378674</v>
      </c>
      <c r="E59" s="359">
        <f t="shared" si="5"/>
        <v>1.71285844661989e-5</v>
      </c>
      <c r="F59" s="360"/>
      <c r="G59" s="361">
        <v>1.71285844661989e-5</v>
      </c>
      <c r="H59" s="386">
        <f t="shared" si="55"/>
        <v>1.71285844661989e-5</v>
      </c>
      <c r="I59" s="386">
        <f t="shared" si="56"/>
        <v>1.71285844661989e-5</v>
      </c>
      <c r="J59" s="386">
        <f t="shared" si="57"/>
        <v>1.71285844661989e-5</v>
      </c>
      <c r="K59" s="378"/>
      <c r="L59" s="370"/>
      <c r="M59" s="370"/>
      <c r="N59" s="394" t="s">
        <v>4893</v>
      </c>
      <c r="O59" s="389">
        <f t="shared" si="58"/>
        <v>2.27107558865642</v>
      </c>
      <c r="P59" s="389">
        <f t="shared" si="59"/>
        <v>7.57025196218806</v>
      </c>
      <c r="Q59" s="389">
        <f t="shared" si="60"/>
        <v>22.7107558865642</v>
      </c>
      <c r="R59" s="389">
        <f t="shared" si="61"/>
        <v>33.3091086336275</v>
      </c>
      <c r="S59" s="389">
        <f t="shared" si="62"/>
        <v>22.7107558865642</v>
      </c>
      <c r="T59" s="389">
        <f t="shared" si="63"/>
        <v>18.1686047092514</v>
      </c>
      <c r="U59" s="391">
        <f t="shared" si="64"/>
        <v>27.252907063877</v>
      </c>
      <c r="V59" s="389">
        <f t="shared" si="65"/>
        <v>31.7950582411899</v>
      </c>
      <c r="W59" s="389">
        <f t="shared" si="66"/>
        <v>18.1686047092514</v>
      </c>
      <c r="X59" s="389">
        <f t="shared" si="67"/>
        <v>15.1405039243761</v>
      </c>
      <c r="Y59" s="389">
        <f t="shared" si="68"/>
        <v>12.1124031395009</v>
      </c>
      <c r="Z59" s="389">
        <f t="shared" si="69"/>
        <v>33.3091086336275</v>
      </c>
    </row>
    <row r="60" s="417" customFormat="1" spans="2:26">
      <c r="B60" s="394" t="s">
        <v>4894</v>
      </c>
      <c r="C60" s="397"/>
      <c r="D60" s="354">
        <f t="shared" si="7"/>
        <v>634.221515169686</v>
      </c>
      <c r="E60" s="359">
        <f t="shared" si="5"/>
        <v>4.44272659592033e-5</v>
      </c>
      <c r="F60" s="360">
        <v>0.003</v>
      </c>
      <c r="G60" s="361">
        <v>4.44272659592033e-5</v>
      </c>
      <c r="H60" s="386">
        <f t="shared" si="55"/>
        <v>4.44272659592033e-5</v>
      </c>
      <c r="I60" s="386">
        <f t="shared" si="56"/>
        <v>4.44272659592033e-5</v>
      </c>
      <c r="J60" s="386">
        <f t="shared" si="57"/>
        <v>4.44272659592033e-5</v>
      </c>
      <c r="K60" s="378"/>
      <c r="L60" s="370"/>
      <c r="M60" s="370"/>
      <c r="N60" s="394" t="s">
        <v>4894</v>
      </c>
      <c r="O60" s="389">
        <f t="shared" si="58"/>
        <v>5.89060230807757</v>
      </c>
      <c r="P60" s="389">
        <f t="shared" si="59"/>
        <v>19.6353410269252</v>
      </c>
      <c r="Q60" s="389">
        <f t="shared" si="60"/>
        <v>58.9060230807757</v>
      </c>
      <c r="R60" s="389">
        <f t="shared" si="61"/>
        <v>86.3955005184711</v>
      </c>
      <c r="S60" s="389">
        <f t="shared" si="62"/>
        <v>58.9060230807757</v>
      </c>
      <c r="T60" s="389">
        <f t="shared" si="63"/>
        <v>47.1248184646206</v>
      </c>
      <c r="U60" s="391">
        <f t="shared" si="64"/>
        <v>70.6872276969309</v>
      </c>
      <c r="V60" s="389">
        <f t="shared" si="65"/>
        <v>82.468432313086</v>
      </c>
      <c r="W60" s="389">
        <f t="shared" si="66"/>
        <v>47.1248184646206</v>
      </c>
      <c r="X60" s="389">
        <f t="shared" si="67"/>
        <v>39.2706820538505</v>
      </c>
      <c r="Y60" s="389">
        <f t="shared" si="68"/>
        <v>31.4165456430804</v>
      </c>
      <c r="Z60" s="389">
        <f t="shared" si="69"/>
        <v>86.3955005184711</v>
      </c>
    </row>
    <row r="61" s="417" customFormat="1" spans="2:26">
      <c r="B61" s="394" t="s">
        <v>4895</v>
      </c>
      <c r="C61" s="397"/>
      <c r="D61" s="354">
        <f t="shared" si="7"/>
        <v>405.290471862652</v>
      </c>
      <c r="E61" s="359">
        <f t="shared" si="5"/>
        <v>2.83906287527246e-5</v>
      </c>
      <c r="F61" s="360">
        <v>0.003</v>
      </c>
      <c r="G61" s="361">
        <v>2.83906287527246e-5</v>
      </c>
      <c r="H61" s="386">
        <f t="shared" si="55"/>
        <v>2.83906287527246e-5</v>
      </c>
      <c r="I61" s="386">
        <f t="shared" si="56"/>
        <v>2.83906287527246e-5</v>
      </c>
      <c r="J61" s="386">
        <f t="shared" si="57"/>
        <v>2.83906287527246e-5</v>
      </c>
      <c r="K61" s="378"/>
      <c r="L61" s="370"/>
      <c r="M61" s="370"/>
      <c r="N61" s="394" t="s">
        <v>4895</v>
      </c>
      <c r="O61" s="389">
        <f t="shared" si="58"/>
        <v>3.764307788198</v>
      </c>
      <c r="P61" s="389">
        <f t="shared" si="59"/>
        <v>12.5476926273267</v>
      </c>
      <c r="Q61" s="389">
        <f t="shared" si="60"/>
        <v>37.64307788198</v>
      </c>
      <c r="R61" s="389">
        <f t="shared" si="61"/>
        <v>55.2098475602374</v>
      </c>
      <c r="S61" s="389">
        <f t="shared" si="62"/>
        <v>37.64307788198</v>
      </c>
      <c r="T61" s="389">
        <f t="shared" si="63"/>
        <v>30.114462305584</v>
      </c>
      <c r="U61" s="391">
        <f t="shared" si="64"/>
        <v>45.1716934583761</v>
      </c>
      <c r="V61" s="389">
        <f t="shared" si="65"/>
        <v>52.7003090347721</v>
      </c>
      <c r="W61" s="389">
        <f t="shared" si="66"/>
        <v>30.114462305584</v>
      </c>
      <c r="X61" s="389">
        <f t="shared" si="67"/>
        <v>25.0953852546534</v>
      </c>
      <c r="Y61" s="389">
        <f t="shared" si="68"/>
        <v>20.0763082037227</v>
      </c>
      <c r="Z61" s="389">
        <f t="shared" si="69"/>
        <v>55.2098475602374</v>
      </c>
    </row>
    <row r="62" s="417" customFormat="1" spans="2:26">
      <c r="B62" s="394" t="s">
        <v>4896</v>
      </c>
      <c r="C62" s="397"/>
      <c r="D62" s="354">
        <f t="shared" si="7"/>
        <v>3820.61153716678</v>
      </c>
      <c r="E62" s="359">
        <f t="shared" si="5"/>
        <v>0.000267634132284357</v>
      </c>
      <c r="F62" s="360">
        <v>0</v>
      </c>
      <c r="G62" s="361">
        <v>0.000267634132284357</v>
      </c>
      <c r="H62" s="386">
        <f t="shared" si="55"/>
        <v>0.000267634132284357</v>
      </c>
      <c r="I62" s="386">
        <f t="shared" si="56"/>
        <v>0.000267634132284357</v>
      </c>
      <c r="J62" s="386">
        <f t="shared" si="57"/>
        <v>0.000267634132284357</v>
      </c>
      <c r="K62" s="378"/>
      <c r="L62" s="370"/>
      <c r="M62" s="370"/>
      <c r="N62" s="394" t="s">
        <v>4896</v>
      </c>
      <c r="O62" s="389">
        <f t="shared" si="58"/>
        <v>35.4855560727564</v>
      </c>
      <c r="P62" s="389">
        <f t="shared" si="59"/>
        <v>118.285186909188</v>
      </c>
      <c r="Q62" s="389">
        <f t="shared" si="60"/>
        <v>354.855560727564</v>
      </c>
      <c r="R62" s="389">
        <f t="shared" si="61"/>
        <v>520.454822400428</v>
      </c>
      <c r="S62" s="389">
        <f t="shared" si="62"/>
        <v>354.855560727564</v>
      </c>
      <c r="T62" s="389">
        <f t="shared" si="63"/>
        <v>283.884448582052</v>
      </c>
      <c r="U62" s="391">
        <f t="shared" si="64"/>
        <v>425.826672873077</v>
      </c>
      <c r="V62" s="389">
        <f t="shared" si="65"/>
        <v>496.79778501859</v>
      </c>
      <c r="W62" s="389">
        <f t="shared" si="66"/>
        <v>283.884448582052</v>
      </c>
      <c r="X62" s="389">
        <f t="shared" si="67"/>
        <v>236.570373818376</v>
      </c>
      <c r="Y62" s="389">
        <f t="shared" si="68"/>
        <v>189.256299054701</v>
      </c>
      <c r="Z62" s="389">
        <f t="shared" si="69"/>
        <v>520.454822400428</v>
      </c>
    </row>
    <row r="63" s="417" customFormat="1" spans="2:26">
      <c r="B63" s="394" t="s">
        <v>4897</v>
      </c>
      <c r="C63" s="397"/>
      <c r="D63" s="354">
        <f t="shared" si="7"/>
        <v>0</v>
      </c>
      <c r="E63" s="359">
        <f t="shared" ref="E63:E75" si="70">D63/$D$18</f>
        <v>0</v>
      </c>
      <c r="F63" s="360"/>
      <c r="G63" s="361">
        <v>0</v>
      </c>
      <c r="H63" s="386">
        <f t="shared" si="55"/>
        <v>0</v>
      </c>
      <c r="I63" s="386">
        <f t="shared" si="56"/>
        <v>0</v>
      </c>
      <c r="J63" s="386">
        <f t="shared" si="57"/>
        <v>0</v>
      </c>
      <c r="K63" s="378"/>
      <c r="L63" s="370"/>
      <c r="M63" s="370"/>
      <c r="N63" s="394" t="s">
        <v>4897</v>
      </c>
      <c r="O63" s="389">
        <f t="shared" si="58"/>
        <v>0</v>
      </c>
      <c r="P63" s="389">
        <f t="shared" si="59"/>
        <v>0</v>
      </c>
      <c r="Q63" s="389">
        <f t="shared" si="60"/>
        <v>0</v>
      </c>
      <c r="R63" s="389">
        <f t="shared" si="61"/>
        <v>0</v>
      </c>
      <c r="S63" s="389">
        <f t="shared" si="62"/>
        <v>0</v>
      </c>
      <c r="T63" s="389">
        <f t="shared" si="63"/>
        <v>0</v>
      </c>
      <c r="U63" s="391">
        <f t="shared" si="64"/>
        <v>0</v>
      </c>
      <c r="V63" s="389">
        <f t="shared" si="65"/>
        <v>0</v>
      </c>
      <c r="W63" s="389">
        <f t="shared" si="66"/>
        <v>0</v>
      </c>
      <c r="X63" s="389">
        <f t="shared" si="67"/>
        <v>0</v>
      </c>
      <c r="Y63" s="389">
        <f t="shared" si="68"/>
        <v>0</v>
      </c>
      <c r="Z63" s="389">
        <f t="shared" si="69"/>
        <v>0</v>
      </c>
    </row>
    <row r="64" s="417" customFormat="1" spans="2:26">
      <c r="B64" s="394" t="s">
        <v>4898</v>
      </c>
      <c r="C64" s="397"/>
      <c r="D64" s="354">
        <f t="shared" si="7"/>
        <v>1833.89353784006</v>
      </c>
      <c r="E64" s="359">
        <f t="shared" si="70"/>
        <v>0.000128464383496492</v>
      </c>
      <c r="F64" s="360"/>
      <c r="G64" s="361">
        <v>0.000128464383496492</v>
      </c>
      <c r="H64" s="386">
        <f t="shared" si="55"/>
        <v>0.000128464383496492</v>
      </c>
      <c r="I64" s="386">
        <f t="shared" si="56"/>
        <v>0.000128464383496492</v>
      </c>
      <c r="J64" s="386">
        <f t="shared" si="57"/>
        <v>0.000128464383496492</v>
      </c>
      <c r="K64" s="378"/>
      <c r="L64" s="370"/>
      <c r="M64" s="370"/>
      <c r="N64" s="394" t="s">
        <v>4898</v>
      </c>
      <c r="O64" s="389">
        <f t="shared" si="58"/>
        <v>17.0330669149232</v>
      </c>
      <c r="P64" s="389">
        <f t="shared" si="59"/>
        <v>56.7768897164106</v>
      </c>
      <c r="Q64" s="389">
        <f t="shared" si="60"/>
        <v>170.330669149232</v>
      </c>
      <c r="R64" s="389">
        <f t="shared" si="61"/>
        <v>249.818314752207</v>
      </c>
      <c r="S64" s="389">
        <f t="shared" si="62"/>
        <v>170.330669149232</v>
      </c>
      <c r="T64" s="389">
        <f t="shared" si="63"/>
        <v>136.264535319385</v>
      </c>
      <c r="U64" s="391">
        <f t="shared" si="64"/>
        <v>204.396802979078</v>
      </c>
      <c r="V64" s="389">
        <f t="shared" si="65"/>
        <v>238.462936808924</v>
      </c>
      <c r="W64" s="389">
        <f t="shared" si="66"/>
        <v>136.264535319385</v>
      </c>
      <c r="X64" s="389">
        <f t="shared" si="67"/>
        <v>113.553779432821</v>
      </c>
      <c r="Y64" s="389">
        <f t="shared" si="68"/>
        <v>90.8430235462569</v>
      </c>
      <c r="Z64" s="389">
        <f t="shared" si="69"/>
        <v>249.818314752207</v>
      </c>
    </row>
    <row r="65" s="417" customFormat="1" spans="2:26">
      <c r="B65" s="394" t="s">
        <v>4899</v>
      </c>
      <c r="C65" s="397"/>
      <c r="D65" s="354">
        <f t="shared" si="7"/>
        <v>36586.176079909</v>
      </c>
      <c r="E65" s="359">
        <f t="shared" si="70"/>
        <v>0.002562864450755</v>
      </c>
      <c r="F65" s="360"/>
      <c r="G65" s="361">
        <v>0.002562864450755</v>
      </c>
      <c r="H65" s="386">
        <f t="shared" si="55"/>
        <v>0.002562864450755</v>
      </c>
      <c r="I65" s="386">
        <f t="shared" si="56"/>
        <v>0.002562864450755</v>
      </c>
      <c r="J65" s="386">
        <f t="shared" si="57"/>
        <v>0.002562864450755</v>
      </c>
      <c r="K65" s="378"/>
      <c r="L65" s="370"/>
      <c r="M65" s="370"/>
      <c r="N65" s="394" t="s">
        <v>4899</v>
      </c>
      <c r="O65" s="389">
        <f t="shared" si="58"/>
        <v>339.809684952715</v>
      </c>
      <c r="P65" s="389">
        <f t="shared" si="59"/>
        <v>1132.69894984238</v>
      </c>
      <c r="Q65" s="389">
        <f t="shared" si="60"/>
        <v>3398.09684952715</v>
      </c>
      <c r="R65" s="389">
        <f t="shared" si="61"/>
        <v>4983.87537930649</v>
      </c>
      <c r="S65" s="389">
        <f t="shared" si="62"/>
        <v>3398.09684952715</v>
      </c>
      <c r="T65" s="389">
        <f t="shared" si="63"/>
        <v>2718.47747962172</v>
      </c>
      <c r="U65" s="391">
        <f t="shared" si="64"/>
        <v>4077.71621943258</v>
      </c>
      <c r="V65" s="389">
        <f t="shared" si="65"/>
        <v>4757.33558933801</v>
      </c>
      <c r="W65" s="389">
        <f t="shared" si="66"/>
        <v>2718.47747962172</v>
      </c>
      <c r="X65" s="389">
        <f t="shared" si="67"/>
        <v>2265.39789968477</v>
      </c>
      <c r="Y65" s="389">
        <f t="shared" si="68"/>
        <v>1812.31831974781</v>
      </c>
      <c r="Z65" s="389">
        <f t="shared" si="69"/>
        <v>4983.87537930649</v>
      </c>
    </row>
    <row r="66" s="417" customFormat="1" spans="2:26">
      <c r="B66" s="394" t="s">
        <v>4900</v>
      </c>
      <c r="C66" s="397"/>
      <c r="D66" s="354">
        <f t="shared" si="7"/>
        <v>0</v>
      </c>
      <c r="E66" s="359">
        <f t="shared" si="70"/>
        <v>0</v>
      </c>
      <c r="F66" s="360"/>
      <c r="G66" s="361">
        <v>0</v>
      </c>
      <c r="H66" s="386">
        <f t="shared" si="55"/>
        <v>0</v>
      </c>
      <c r="I66" s="386">
        <f t="shared" si="56"/>
        <v>0</v>
      </c>
      <c r="J66" s="386">
        <f t="shared" si="57"/>
        <v>0</v>
      </c>
      <c r="K66" s="378"/>
      <c r="L66" s="370"/>
      <c r="M66" s="370"/>
      <c r="N66" s="394" t="s">
        <v>4900</v>
      </c>
      <c r="O66" s="389">
        <f t="shared" si="58"/>
        <v>0</v>
      </c>
      <c r="P66" s="389">
        <f t="shared" si="59"/>
        <v>0</v>
      </c>
      <c r="Q66" s="389">
        <f t="shared" si="60"/>
        <v>0</v>
      </c>
      <c r="R66" s="389">
        <f t="shared" si="61"/>
        <v>0</v>
      </c>
      <c r="S66" s="389">
        <f t="shared" si="62"/>
        <v>0</v>
      </c>
      <c r="T66" s="389">
        <f t="shared" si="63"/>
        <v>0</v>
      </c>
      <c r="U66" s="391">
        <f t="shared" si="64"/>
        <v>0</v>
      </c>
      <c r="V66" s="389">
        <f t="shared" si="65"/>
        <v>0</v>
      </c>
      <c r="W66" s="389">
        <f t="shared" si="66"/>
        <v>0</v>
      </c>
      <c r="X66" s="389">
        <f t="shared" si="67"/>
        <v>0</v>
      </c>
      <c r="Y66" s="389">
        <f t="shared" si="68"/>
        <v>0</v>
      </c>
      <c r="Z66" s="389">
        <f t="shared" si="69"/>
        <v>0</v>
      </c>
    </row>
    <row r="67" s="418" customFormat="1" ht="18" spans="2:26">
      <c r="B67" s="353" t="s">
        <v>4901</v>
      </c>
      <c r="C67" s="398"/>
      <c r="D67" s="347">
        <f>SUM(D68:D75)</f>
        <v>8279.791044</v>
      </c>
      <c r="E67" s="359">
        <f t="shared" si="70"/>
        <v>0.00058</v>
      </c>
      <c r="F67" s="348"/>
      <c r="G67" s="406">
        <f t="shared" ref="G67:J67" si="71">SUM(G68:G71)</f>
        <v>0.00058</v>
      </c>
      <c r="H67" s="406">
        <f t="shared" si="71"/>
        <v>0.00058</v>
      </c>
      <c r="I67" s="406">
        <f t="shared" si="71"/>
        <v>0.00058</v>
      </c>
      <c r="J67" s="406">
        <f t="shared" si="71"/>
        <v>0.00058</v>
      </c>
      <c r="K67" s="356"/>
      <c r="L67" s="357"/>
      <c r="M67" s="357"/>
      <c r="N67" s="353" t="s">
        <v>4902</v>
      </c>
      <c r="O67" s="399">
        <f t="shared" ref="O67:Z67" si="72">SUM(O68:O75)</f>
        <v>76.902084</v>
      </c>
      <c r="P67" s="399">
        <f t="shared" si="72"/>
        <v>256.34028</v>
      </c>
      <c r="Q67" s="399">
        <f t="shared" si="72"/>
        <v>769.02084</v>
      </c>
      <c r="R67" s="399">
        <f t="shared" si="72"/>
        <v>1127.897232</v>
      </c>
      <c r="S67" s="399">
        <f t="shared" si="72"/>
        <v>769.02084</v>
      </c>
      <c r="T67" s="399">
        <f t="shared" si="72"/>
        <v>615.216672</v>
      </c>
      <c r="U67" s="399">
        <f t="shared" si="72"/>
        <v>922.825008</v>
      </c>
      <c r="V67" s="399">
        <f t="shared" si="72"/>
        <v>1076.629176</v>
      </c>
      <c r="W67" s="399">
        <f t="shared" si="72"/>
        <v>615.216672</v>
      </c>
      <c r="X67" s="399">
        <f t="shared" si="72"/>
        <v>512.68056</v>
      </c>
      <c r="Y67" s="399">
        <f t="shared" si="72"/>
        <v>410.144448</v>
      </c>
      <c r="Z67" s="399">
        <f t="shared" si="72"/>
        <v>1127.897232</v>
      </c>
    </row>
    <row r="68" s="417" customFormat="1" spans="2:26">
      <c r="B68" s="394" t="s">
        <v>4903</v>
      </c>
      <c r="C68" s="397"/>
      <c r="D68" s="354">
        <f>SUM(O68:Z68)</f>
        <v>1427.55018</v>
      </c>
      <c r="E68" s="359">
        <f t="shared" si="70"/>
        <v>0.0001</v>
      </c>
      <c r="F68" s="360"/>
      <c r="G68" s="361">
        <v>0.0001</v>
      </c>
      <c r="H68" s="386">
        <f t="shared" ref="H68:H71" si="73">SUM(R68:T68)/SUM($R$18:$T$18)</f>
        <v>0.0001</v>
      </c>
      <c r="I68" s="386">
        <f t="shared" ref="I68:I71" si="74">SUM(U68:W68)/SUM($U$18:$W$18)</f>
        <v>0.0001</v>
      </c>
      <c r="J68" s="386">
        <f t="shared" ref="J68:J71" si="75">SUM(X68:Z68)/SUM($X$18:$Z$18)</f>
        <v>0.0001</v>
      </c>
      <c r="K68" s="378"/>
      <c r="L68" s="370"/>
      <c r="M68" s="370"/>
      <c r="N68" s="394" t="s">
        <v>4903</v>
      </c>
      <c r="O68" s="389">
        <f t="shared" ref="O68:O75" si="76">$O$18*G68</f>
        <v>13.25898</v>
      </c>
      <c r="P68" s="363">
        <f t="shared" ref="P68:P75" si="77">$P$18*G68</f>
        <v>44.1966</v>
      </c>
      <c r="Q68" s="389">
        <f t="shared" ref="Q68:Q75" si="78">$Q$18*G68</f>
        <v>132.5898</v>
      </c>
      <c r="R68" s="389">
        <f t="shared" ref="R68:R75" si="79">$R$18*G68</f>
        <v>194.46504</v>
      </c>
      <c r="S68" s="389">
        <f t="shared" ref="S68:S75" si="80">$S$18*G68</f>
        <v>132.5898</v>
      </c>
      <c r="T68" s="389">
        <f t="shared" ref="T68:T75" si="81">$T$18*G68</f>
        <v>106.07184</v>
      </c>
      <c r="U68" s="391">
        <f t="shared" ref="U68:U75" si="82">$U$18*G68</f>
        <v>159.10776</v>
      </c>
      <c r="V68" s="389">
        <f t="shared" ref="V68:V75" si="83">$V$18*G68</f>
        <v>185.62572</v>
      </c>
      <c r="W68" s="389">
        <f t="shared" ref="W68:W75" si="84">$W$18*G68</f>
        <v>106.07184</v>
      </c>
      <c r="X68" s="389">
        <f t="shared" ref="X68:X75" si="85">$X$18*G68</f>
        <v>88.3932</v>
      </c>
      <c r="Y68" s="389">
        <f t="shared" ref="Y68:Y75" si="86">$Y$18*G68</f>
        <v>70.71456</v>
      </c>
      <c r="Z68" s="389">
        <f t="shared" ref="Z68:Z75" si="87">$Z$18*G68</f>
        <v>194.46504</v>
      </c>
    </row>
    <row r="69" s="417" customFormat="1" spans="2:26">
      <c r="B69" s="394" t="s">
        <v>4904</v>
      </c>
      <c r="C69" s="397"/>
      <c r="D69" s="354">
        <f t="shared" ref="D68:D75" si="88">SUM(O69:Z69)</f>
        <v>-142.755018</v>
      </c>
      <c r="E69" s="359">
        <f t="shared" si="70"/>
        <v>-1e-5</v>
      </c>
      <c r="F69" s="360"/>
      <c r="G69" s="361">
        <v>-1e-5</v>
      </c>
      <c r="H69" s="386">
        <f t="shared" si="73"/>
        <v>-1e-5</v>
      </c>
      <c r="I69" s="386">
        <f t="shared" si="74"/>
        <v>-1e-5</v>
      </c>
      <c r="J69" s="386">
        <f t="shared" si="75"/>
        <v>-1e-5</v>
      </c>
      <c r="K69" s="378"/>
      <c r="L69" s="370"/>
      <c r="M69" s="370"/>
      <c r="N69" s="394" t="s">
        <v>4904</v>
      </c>
      <c r="O69" s="389">
        <f t="shared" si="76"/>
        <v>-1.325898</v>
      </c>
      <c r="P69" s="363">
        <f t="shared" si="77"/>
        <v>-4.41966</v>
      </c>
      <c r="Q69" s="389">
        <f t="shared" si="78"/>
        <v>-13.25898</v>
      </c>
      <c r="R69" s="389">
        <f t="shared" si="79"/>
        <v>-19.446504</v>
      </c>
      <c r="S69" s="389">
        <f t="shared" si="80"/>
        <v>-13.25898</v>
      </c>
      <c r="T69" s="389">
        <f t="shared" si="81"/>
        <v>-10.607184</v>
      </c>
      <c r="U69" s="391">
        <f t="shared" si="82"/>
        <v>-15.910776</v>
      </c>
      <c r="V69" s="389">
        <f t="shared" si="83"/>
        <v>-18.562572</v>
      </c>
      <c r="W69" s="389">
        <f t="shared" si="84"/>
        <v>-10.607184</v>
      </c>
      <c r="X69" s="389">
        <f t="shared" si="85"/>
        <v>-8.83932</v>
      </c>
      <c r="Y69" s="389">
        <f t="shared" si="86"/>
        <v>-7.071456</v>
      </c>
      <c r="Z69" s="389">
        <f t="shared" si="87"/>
        <v>-19.446504</v>
      </c>
    </row>
    <row r="70" s="417" customFormat="1" spans="2:26">
      <c r="B70" s="394" t="s">
        <v>4905</v>
      </c>
      <c r="C70" s="397"/>
      <c r="D70" s="354">
        <f t="shared" si="88"/>
        <v>4139.895522</v>
      </c>
      <c r="E70" s="359">
        <f t="shared" si="70"/>
        <v>0.00029</v>
      </c>
      <c r="F70" s="360"/>
      <c r="G70" s="361">
        <v>0.00029</v>
      </c>
      <c r="H70" s="386">
        <f t="shared" si="73"/>
        <v>0.00029</v>
      </c>
      <c r="I70" s="386">
        <f t="shared" si="74"/>
        <v>0.00029</v>
      </c>
      <c r="J70" s="386">
        <f t="shared" si="75"/>
        <v>0.00029</v>
      </c>
      <c r="K70" s="378"/>
      <c r="L70" s="370"/>
      <c r="M70" s="370"/>
      <c r="N70" s="394" t="s">
        <v>4905</v>
      </c>
      <c r="O70" s="389">
        <f t="shared" si="76"/>
        <v>38.451042</v>
      </c>
      <c r="P70" s="363">
        <f t="shared" si="77"/>
        <v>128.17014</v>
      </c>
      <c r="Q70" s="389">
        <f t="shared" si="78"/>
        <v>384.51042</v>
      </c>
      <c r="R70" s="389">
        <f t="shared" si="79"/>
        <v>563.948616</v>
      </c>
      <c r="S70" s="389">
        <f t="shared" si="80"/>
        <v>384.51042</v>
      </c>
      <c r="T70" s="389">
        <f t="shared" si="81"/>
        <v>307.608336</v>
      </c>
      <c r="U70" s="391">
        <f t="shared" si="82"/>
        <v>461.412504</v>
      </c>
      <c r="V70" s="389">
        <f t="shared" si="83"/>
        <v>538.314588</v>
      </c>
      <c r="W70" s="389">
        <f t="shared" si="84"/>
        <v>307.608336</v>
      </c>
      <c r="X70" s="389">
        <f t="shared" si="85"/>
        <v>256.34028</v>
      </c>
      <c r="Y70" s="389">
        <f t="shared" si="86"/>
        <v>205.072224</v>
      </c>
      <c r="Z70" s="389">
        <f t="shared" si="87"/>
        <v>563.948616</v>
      </c>
    </row>
    <row r="71" s="417" customFormat="1" spans="2:26">
      <c r="B71" s="394" t="s">
        <v>4906</v>
      </c>
      <c r="C71" s="397"/>
      <c r="D71" s="354">
        <f t="shared" si="88"/>
        <v>2855.10036</v>
      </c>
      <c r="E71" s="359">
        <f t="shared" si="70"/>
        <v>0.0002</v>
      </c>
      <c r="F71" s="360"/>
      <c r="G71" s="361">
        <v>0.0002</v>
      </c>
      <c r="H71" s="386">
        <f t="shared" si="73"/>
        <v>0.0002</v>
      </c>
      <c r="I71" s="386">
        <f t="shared" si="74"/>
        <v>0.0002</v>
      </c>
      <c r="J71" s="386">
        <f t="shared" si="75"/>
        <v>0.0002</v>
      </c>
      <c r="K71" s="378"/>
      <c r="L71" s="370"/>
      <c r="M71" s="370"/>
      <c r="N71" s="394" t="s">
        <v>4906</v>
      </c>
      <c r="O71" s="389">
        <f t="shared" si="76"/>
        <v>26.51796</v>
      </c>
      <c r="P71" s="363">
        <f t="shared" si="77"/>
        <v>88.3932</v>
      </c>
      <c r="Q71" s="389">
        <f t="shared" si="78"/>
        <v>265.1796</v>
      </c>
      <c r="R71" s="389">
        <f t="shared" si="79"/>
        <v>388.93008</v>
      </c>
      <c r="S71" s="389">
        <f t="shared" si="80"/>
        <v>265.1796</v>
      </c>
      <c r="T71" s="389">
        <f t="shared" si="81"/>
        <v>212.14368</v>
      </c>
      <c r="U71" s="391">
        <f t="shared" si="82"/>
        <v>318.21552</v>
      </c>
      <c r="V71" s="389">
        <f t="shared" si="83"/>
        <v>371.25144</v>
      </c>
      <c r="W71" s="389">
        <f t="shared" si="84"/>
        <v>212.14368</v>
      </c>
      <c r="X71" s="389">
        <f t="shared" si="85"/>
        <v>176.7864</v>
      </c>
      <c r="Y71" s="389">
        <f t="shared" si="86"/>
        <v>141.42912</v>
      </c>
      <c r="Z71" s="389">
        <f t="shared" si="87"/>
        <v>388.93008</v>
      </c>
    </row>
    <row r="72" s="417" customFormat="1" hidden="1" spans="2:26">
      <c r="B72" s="400" t="s">
        <v>4907</v>
      </c>
      <c r="C72" s="397"/>
      <c r="D72" s="354">
        <f t="shared" si="88"/>
        <v>0</v>
      </c>
      <c r="E72" s="359">
        <f t="shared" si="70"/>
        <v>0</v>
      </c>
      <c r="F72" s="360"/>
      <c r="G72" s="361"/>
      <c r="H72" s="361"/>
      <c r="I72" s="361"/>
      <c r="J72" s="361"/>
      <c r="K72" s="378"/>
      <c r="L72" s="370"/>
      <c r="M72" s="370"/>
      <c r="N72" s="400" t="s">
        <v>4907</v>
      </c>
      <c r="O72" s="389">
        <f t="shared" si="76"/>
        <v>0</v>
      </c>
      <c r="P72" s="363">
        <f t="shared" si="77"/>
        <v>0</v>
      </c>
      <c r="Q72" s="389">
        <f t="shared" si="78"/>
        <v>0</v>
      </c>
      <c r="R72" s="389">
        <f t="shared" si="79"/>
        <v>0</v>
      </c>
      <c r="S72" s="389">
        <f t="shared" si="80"/>
        <v>0</v>
      </c>
      <c r="T72" s="389">
        <f t="shared" si="81"/>
        <v>0</v>
      </c>
      <c r="U72" s="391">
        <f t="shared" si="82"/>
        <v>0</v>
      </c>
      <c r="V72" s="389">
        <f t="shared" si="83"/>
        <v>0</v>
      </c>
      <c r="W72" s="389">
        <f t="shared" si="84"/>
        <v>0</v>
      </c>
      <c r="X72" s="389">
        <f t="shared" si="85"/>
        <v>0</v>
      </c>
      <c r="Y72" s="389">
        <f t="shared" si="86"/>
        <v>0</v>
      </c>
      <c r="Z72" s="389">
        <f t="shared" si="87"/>
        <v>0</v>
      </c>
    </row>
    <row r="73" s="417" customFormat="1" hidden="1" spans="2:26">
      <c r="B73" s="400" t="s">
        <v>4908</v>
      </c>
      <c r="C73" s="397"/>
      <c r="D73" s="354">
        <f t="shared" si="88"/>
        <v>0</v>
      </c>
      <c r="E73" s="359">
        <f t="shared" si="70"/>
        <v>0</v>
      </c>
      <c r="F73" s="360"/>
      <c r="G73" s="361"/>
      <c r="H73" s="361"/>
      <c r="I73" s="361"/>
      <c r="J73" s="361"/>
      <c r="K73" s="378"/>
      <c r="L73" s="370"/>
      <c r="M73" s="370"/>
      <c r="N73" s="400" t="s">
        <v>4908</v>
      </c>
      <c r="O73" s="389">
        <f t="shared" si="76"/>
        <v>0</v>
      </c>
      <c r="P73" s="363">
        <f t="shared" si="77"/>
        <v>0</v>
      </c>
      <c r="Q73" s="389">
        <f t="shared" si="78"/>
        <v>0</v>
      </c>
      <c r="R73" s="389">
        <f t="shared" si="79"/>
        <v>0</v>
      </c>
      <c r="S73" s="389">
        <f t="shared" si="80"/>
        <v>0</v>
      </c>
      <c r="T73" s="389">
        <f t="shared" si="81"/>
        <v>0</v>
      </c>
      <c r="U73" s="391">
        <f t="shared" si="82"/>
        <v>0</v>
      </c>
      <c r="V73" s="389">
        <f t="shared" si="83"/>
        <v>0</v>
      </c>
      <c r="W73" s="389">
        <f t="shared" si="84"/>
        <v>0</v>
      </c>
      <c r="X73" s="389">
        <f t="shared" si="85"/>
        <v>0</v>
      </c>
      <c r="Y73" s="389">
        <f t="shared" si="86"/>
        <v>0</v>
      </c>
      <c r="Z73" s="389">
        <f t="shared" si="87"/>
        <v>0</v>
      </c>
    </row>
    <row r="74" s="417" customFormat="1" hidden="1" spans="2:26">
      <c r="B74" s="400" t="s">
        <v>4909</v>
      </c>
      <c r="C74" s="397"/>
      <c r="D74" s="354">
        <f t="shared" si="88"/>
        <v>0</v>
      </c>
      <c r="E74" s="359">
        <f t="shared" si="70"/>
        <v>0</v>
      </c>
      <c r="F74" s="360"/>
      <c r="G74" s="361"/>
      <c r="H74" s="361"/>
      <c r="I74" s="361"/>
      <c r="J74" s="361"/>
      <c r="K74" s="378"/>
      <c r="L74" s="370"/>
      <c r="M74" s="370"/>
      <c r="N74" s="400" t="s">
        <v>4909</v>
      </c>
      <c r="O74" s="389">
        <f t="shared" si="76"/>
        <v>0</v>
      </c>
      <c r="P74" s="363">
        <f t="shared" si="77"/>
        <v>0</v>
      </c>
      <c r="Q74" s="389">
        <f t="shared" si="78"/>
        <v>0</v>
      </c>
      <c r="R74" s="389">
        <f t="shared" si="79"/>
        <v>0</v>
      </c>
      <c r="S74" s="389">
        <f t="shared" si="80"/>
        <v>0</v>
      </c>
      <c r="T74" s="389">
        <f t="shared" si="81"/>
        <v>0</v>
      </c>
      <c r="U74" s="391">
        <f t="shared" si="82"/>
        <v>0</v>
      </c>
      <c r="V74" s="389">
        <f t="shared" si="83"/>
        <v>0</v>
      </c>
      <c r="W74" s="389">
        <f t="shared" si="84"/>
        <v>0</v>
      </c>
      <c r="X74" s="389">
        <f t="shared" si="85"/>
        <v>0</v>
      </c>
      <c r="Y74" s="389">
        <f t="shared" si="86"/>
        <v>0</v>
      </c>
      <c r="Z74" s="389">
        <f t="shared" si="87"/>
        <v>0</v>
      </c>
    </row>
    <row r="75" s="417" customFormat="1" spans="2:26">
      <c r="B75" s="400" t="s">
        <v>4910</v>
      </c>
      <c r="C75" s="397"/>
      <c r="D75" s="354">
        <f t="shared" si="88"/>
        <v>0</v>
      </c>
      <c r="E75" s="359">
        <f t="shared" si="70"/>
        <v>0</v>
      </c>
      <c r="F75" s="360"/>
      <c r="G75" s="361">
        <v>0</v>
      </c>
      <c r="H75" s="361">
        <v>0</v>
      </c>
      <c r="I75" s="361">
        <v>0</v>
      </c>
      <c r="J75" s="361">
        <v>0</v>
      </c>
      <c r="K75" s="378"/>
      <c r="L75" s="370"/>
      <c r="M75" s="370"/>
      <c r="N75" s="400" t="s">
        <v>4910</v>
      </c>
      <c r="O75" s="389">
        <f t="shared" si="76"/>
        <v>0</v>
      </c>
      <c r="P75" s="363">
        <f t="shared" si="77"/>
        <v>0</v>
      </c>
      <c r="Q75" s="389">
        <f t="shared" si="78"/>
        <v>0</v>
      </c>
      <c r="R75" s="389">
        <f t="shared" si="79"/>
        <v>0</v>
      </c>
      <c r="S75" s="389">
        <f t="shared" si="80"/>
        <v>0</v>
      </c>
      <c r="T75" s="389">
        <f t="shared" si="81"/>
        <v>0</v>
      </c>
      <c r="U75" s="391">
        <f t="shared" si="82"/>
        <v>0</v>
      </c>
      <c r="V75" s="389">
        <f t="shared" si="83"/>
        <v>0</v>
      </c>
      <c r="W75" s="389">
        <f t="shared" si="84"/>
        <v>0</v>
      </c>
      <c r="X75" s="389">
        <f t="shared" si="85"/>
        <v>0</v>
      </c>
      <c r="Y75" s="389">
        <f t="shared" si="86"/>
        <v>0</v>
      </c>
      <c r="Z75" s="389">
        <f t="shared" si="87"/>
        <v>0</v>
      </c>
    </row>
    <row r="76" s="417" customFormat="1" ht="21" spans="2:26">
      <c r="B76" s="401" t="s">
        <v>4911</v>
      </c>
      <c r="C76" s="346" t="s">
        <v>4912</v>
      </c>
      <c r="D76" s="347">
        <f>D77+D78+D79</f>
        <v>0</v>
      </c>
      <c r="E76" s="339">
        <f t="shared" ref="E76:E80" si="89">D76/$D$18</f>
        <v>0</v>
      </c>
      <c r="F76" s="348" t="s">
        <v>4913</v>
      </c>
      <c r="G76" s="402" t="s">
        <v>4914</v>
      </c>
      <c r="H76" s="402" t="s">
        <v>4914</v>
      </c>
      <c r="I76" s="402" t="s">
        <v>4914</v>
      </c>
      <c r="J76" s="402" t="s">
        <v>4914</v>
      </c>
      <c r="K76" s="378" t="s">
        <v>4915</v>
      </c>
      <c r="L76" s="370"/>
      <c r="M76" s="357"/>
      <c r="N76" s="401" t="s">
        <v>4916</v>
      </c>
      <c r="O76" s="363">
        <f t="shared" ref="O76:Z76" si="90">O77+O78+O79</f>
        <v>0</v>
      </c>
      <c r="P76" s="363">
        <f t="shared" si="90"/>
        <v>0</v>
      </c>
      <c r="Q76" s="363">
        <f t="shared" si="90"/>
        <v>0</v>
      </c>
      <c r="R76" s="363">
        <f t="shared" si="90"/>
        <v>0</v>
      </c>
      <c r="S76" s="363">
        <f t="shared" si="90"/>
        <v>0</v>
      </c>
      <c r="T76" s="363">
        <f t="shared" si="90"/>
        <v>0</v>
      </c>
      <c r="U76" s="363">
        <f t="shared" si="90"/>
        <v>0</v>
      </c>
      <c r="V76" s="363">
        <f t="shared" si="90"/>
        <v>0</v>
      </c>
      <c r="W76" s="363">
        <f t="shared" si="90"/>
        <v>0</v>
      </c>
      <c r="X76" s="363">
        <f t="shared" si="90"/>
        <v>0</v>
      </c>
      <c r="Y76" s="363">
        <f t="shared" si="90"/>
        <v>0</v>
      </c>
      <c r="Z76" s="363">
        <f t="shared" si="90"/>
        <v>0</v>
      </c>
    </row>
    <row r="77" s="417" customFormat="1" ht="26" customHeight="1" spans="2:26">
      <c r="B77" s="377" t="s">
        <v>4917</v>
      </c>
      <c r="C77" s="377" t="s">
        <v>4918</v>
      </c>
      <c r="D77" s="403">
        <v>0</v>
      </c>
      <c r="E77" s="339">
        <f t="shared" si="89"/>
        <v>0</v>
      </c>
      <c r="F77" s="348" t="s">
        <v>4913</v>
      </c>
      <c r="G77" s="402" t="s">
        <v>4914</v>
      </c>
      <c r="H77" s="402" t="s">
        <v>4914</v>
      </c>
      <c r="I77" s="402" t="s">
        <v>4914</v>
      </c>
      <c r="J77" s="402" t="s">
        <v>4914</v>
      </c>
      <c r="K77" s="387" t="s">
        <v>4919</v>
      </c>
      <c r="L77" s="388"/>
      <c r="M77" s="370"/>
      <c r="N77" s="377" t="s">
        <v>4917</v>
      </c>
      <c r="O77" s="363">
        <f t="shared" ref="O77:O79" si="91">D77</f>
        <v>0</v>
      </c>
      <c r="P77" s="363">
        <v>0</v>
      </c>
      <c r="Q77" s="363">
        <v>0</v>
      </c>
      <c r="R77" s="363">
        <v>0</v>
      </c>
      <c r="S77" s="363">
        <v>0</v>
      </c>
      <c r="T77" s="363">
        <v>0</v>
      </c>
      <c r="U77" s="363">
        <v>0</v>
      </c>
      <c r="V77" s="363">
        <v>0</v>
      </c>
      <c r="W77" s="363">
        <v>0</v>
      </c>
      <c r="X77" s="363">
        <v>0</v>
      </c>
      <c r="Y77" s="363">
        <v>0</v>
      </c>
      <c r="Z77" s="363">
        <v>0</v>
      </c>
    </row>
    <row r="78" s="417" customFormat="1" ht="26" customHeight="1" spans="2:26">
      <c r="B78" s="377" t="s">
        <v>4920</v>
      </c>
      <c r="C78" s="377" t="s">
        <v>4918</v>
      </c>
      <c r="D78" s="403">
        <v>0</v>
      </c>
      <c r="E78" s="339">
        <f t="shared" si="89"/>
        <v>0</v>
      </c>
      <c r="F78" s="348" t="s">
        <v>4913</v>
      </c>
      <c r="G78" s="402" t="s">
        <v>4914</v>
      </c>
      <c r="H78" s="402" t="s">
        <v>4914</v>
      </c>
      <c r="I78" s="402" t="s">
        <v>4914</v>
      </c>
      <c r="J78" s="402" t="s">
        <v>4914</v>
      </c>
      <c r="K78" s="378"/>
      <c r="L78" s="370"/>
      <c r="M78" s="370"/>
      <c r="N78" s="377" t="s">
        <v>4920</v>
      </c>
      <c r="O78" s="363">
        <f t="shared" si="91"/>
        <v>0</v>
      </c>
      <c r="P78" s="363">
        <v>0</v>
      </c>
      <c r="Q78" s="363">
        <v>0</v>
      </c>
      <c r="R78" s="363">
        <v>0</v>
      </c>
      <c r="S78" s="363">
        <v>0</v>
      </c>
      <c r="T78" s="363">
        <v>0</v>
      </c>
      <c r="U78" s="363">
        <v>0</v>
      </c>
      <c r="V78" s="363">
        <v>0</v>
      </c>
      <c r="W78" s="363">
        <v>0</v>
      </c>
      <c r="X78" s="363">
        <v>0</v>
      </c>
      <c r="Y78" s="363">
        <v>0</v>
      </c>
      <c r="Z78" s="363">
        <v>0</v>
      </c>
    </row>
    <row r="79" s="417" customFormat="1" ht="26" customHeight="1" spans="2:26">
      <c r="B79" s="377" t="s">
        <v>4921</v>
      </c>
      <c r="C79" s="377" t="s">
        <v>4918</v>
      </c>
      <c r="D79" s="403">
        <v>0</v>
      </c>
      <c r="E79" s="339">
        <f t="shared" si="89"/>
        <v>0</v>
      </c>
      <c r="F79" s="348" t="s">
        <v>4913</v>
      </c>
      <c r="G79" s="402" t="s">
        <v>4914</v>
      </c>
      <c r="H79" s="402" t="s">
        <v>4914</v>
      </c>
      <c r="I79" s="402" t="s">
        <v>4914</v>
      </c>
      <c r="J79" s="402" t="s">
        <v>4914</v>
      </c>
      <c r="K79" s="378"/>
      <c r="L79" s="370"/>
      <c r="M79" s="370"/>
      <c r="N79" s="377" t="s">
        <v>4921</v>
      </c>
      <c r="O79" s="363">
        <f t="shared" si="91"/>
        <v>0</v>
      </c>
      <c r="P79" s="363">
        <v>0</v>
      </c>
      <c r="Q79" s="363">
        <v>0</v>
      </c>
      <c r="R79" s="363">
        <v>0</v>
      </c>
      <c r="S79" s="363">
        <v>0</v>
      </c>
      <c r="T79" s="363">
        <v>0</v>
      </c>
      <c r="U79" s="363">
        <v>0</v>
      </c>
      <c r="V79" s="363">
        <v>0</v>
      </c>
      <c r="W79" s="363">
        <v>0</v>
      </c>
      <c r="X79" s="363">
        <v>0</v>
      </c>
      <c r="Y79" s="363">
        <v>0</v>
      </c>
      <c r="Z79" s="363">
        <v>0</v>
      </c>
    </row>
    <row r="80" s="417" customFormat="1" ht="21" spans="2:26">
      <c r="B80" s="401" t="s">
        <v>4922</v>
      </c>
      <c r="C80" s="346" t="s">
        <v>4923</v>
      </c>
      <c r="D80" s="404">
        <f>D31-D32-D50-D67-D76</f>
        <v>2145752.76964171</v>
      </c>
      <c r="E80" s="405">
        <f t="shared" si="89"/>
        <v>0.150310146690725</v>
      </c>
      <c r="F80" s="348"/>
      <c r="G80" s="406">
        <f>(O80+P80+Q80)/(O18+P18+Q18)</f>
        <v>0.145177591760445</v>
      </c>
      <c r="H80" s="406">
        <f>(R80+S80+T80)/(R18+S18+T18)</f>
        <v>0.161750022844142</v>
      </c>
      <c r="I80" s="406">
        <f>(U80+V80+W80)/(U18+V18+W18)</f>
        <v>0.161749882505723</v>
      </c>
      <c r="J80" s="406">
        <f>(X80+Y80+Z80)/(X18+Y18+Z18)</f>
        <v>0.161749838140674</v>
      </c>
      <c r="K80" s="356"/>
      <c r="L80" s="357"/>
      <c r="M80" s="357"/>
      <c r="N80" s="401" t="s">
        <v>4924</v>
      </c>
      <c r="O80" s="407">
        <f>O31-O32-O50-O67-O76</f>
        <v>19249.0678559991</v>
      </c>
      <c r="P80" s="407">
        <f t="shared" ref="O80:Z80" si="92">P31-P32-P50-P67-P76</f>
        <v>64163.559519997</v>
      </c>
      <c r="Q80" s="407">
        <f t="shared" si="92"/>
        <v>192490.678559991</v>
      </c>
      <c r="R80" s="407">
        <f t="shared" si="92"/>
        <v>314547.287440197</v>
      </c>
      <c r="S80" s="407">
        <f t="shared" si="92"/>
        <v>214463.786891043</v>
      </c>
      <c r="T80" s="407">
        <f t="shared" si="92"/>
        <v>171571.429512835</v>
      </c>
      <c r="U80" s="407">
        <f t="shared" si="92"/>
        <v>257356.144269252</v>
      </c>
      <c r="V80" s="407">
        <f t="shared" si="92"/>
        <v>300249.50164746</v>
      </c>
      <c r="W80" s="407">
        <f t="shared" si="92"/>
        <v>171571.429512835</v>
      </c>
      <c r="X80" s="407">
        <f t="shared" si="92"/>
        <v>142975.857927362</v>
      </c>
      <c r="Y80" s="407">
        <f t="shared" si="92"/>
        <v>114380.28634189</v>
      </c>
      <c r="Z80" s="407">
        <f t="shared" si="92"/>
        <v>314547.287440197</v>
      </c>
    </row>
    <row r="81" s="417" customFormat="1" spans="2:26">
      <c r="B81" s="408" t="s">
        <v>4925</v>
      </c>
      <c r="C81" s="397"/>
      <c r="D81" s="354">
        <f>SUM(O81:Z81)</f>
        <v>0</v>
      </c>
      <c r="E81" s="339"/>
      <c r="F81" s="360"/>
      <c r="G81" s="361">
        <f>G24-G25-G38-G56-G73</f>
        <v>-0.0341023377350549</v>
      </c>
      <c r="H81" s="361"/>
      <c r="I81" s="361"/>
      <c r="J81" s="361"/>
      <c r="K81" s="378"/>
      <c r="L81" s="370"/>
      <c r="M81" s="370"/>
      <c r="N81" s="408" t="s">
        <v>4926</v>
      </c>
      <c r="O81" s="354">
        <f t="shared" ref="O81:Z81" si="93">SUM(Z81:AK81)</f>
        <v>0</v>
      </c>
      <c r="P81" s="354">
        <f t="shared" si="93"/>
        <v>0</v>
      </c>
      <c r="Q81" s="354">
        <f t="shared" si="93"/>
        <v>0</v>
      </c>
      <c r="R81" s="354">
        <f t="shared" si="93"/>
        <v>0</v>
      </c>
      <c r="S81" s="354">
        <f t="shared" si="93"/>
        <v>0</v>
      </c>
      <c r="T81" s="354">
        <f t="shared" si="93"/>
        <v>0</v>
      </c>
      <c r="U81" s="354">
        <f t="shared" si="93"/>
        <v>0</v>
      </c>
      <c r="V81" s="354">
        <f t="shared" si="93"/>
        <v>0</v>
      </c>
      <c r="W81" s="354">
        <f t="shared" si="93"/>
        <v>0</v>
      </c>
      <c r="X81" s="354">
        <f t="shared" si="93"/>
        <v>0</v>
      </c>
      <c r="Y81" s="354">
        <f t="shared" si="93"/>
        <v>0</v>
      </c>
      <c r="Z81" s="354">
        <f t="shared" si="93"/>
        <v>0</v>
      </c>
    </row>
    <row r="82" s="417" customFormat="1" spans="2:26">
      <c r="B82" s="377" t="s">
        <v>4927</v>
      </c>
      <c r="C82" s="377" t="s">
        <v>4928</v>
      </c>
      <c r="D82" s="407">
        <f>D80</f>
        <v>2145752.76964171</v>
      </c>
      <c r="E82" s="405">
        <f t="shared" ref="E82:E84" si="94">D82/$D$18</f>
        <v>0.150310146690725</v>
      </c>
      <c r="F82" s="360"/>
      <c r="G82" s="426">
        <f>O80+P80+Q80</f>
        <v>275903.305935987</v>
      </c>
      <c r="H82" s="426">
        <f>R80+S80+T80</f>
        <v>700582.503844075</v>
      </c>
      <c r="I82" s="426">
        <f>U80+V80+W80</f>
        <v>729177.075429547</v>
      </c>
      <c r="J82" s="426">
        <f>X80+Y80+Z80</f>
        <v>571903.431709449</v>
      </c>
      <c r="K82" s="378"/>
      <c r="L82" s="370"/>
      <c r="M82" s="370"/>
      <c r="N82" s="377" t="s">
        <v>4927</v>
      </c>
      <c r="O82" s="407">
        <f t="shared" ref="O82:Z82" si="95">O80</f>
        <v>19249.0678559991</v>
      </c>
      <c r="P82" s="407">
        <f t="shared" si="95"/>
        <v>64163.559519997</v>
      </c>
      <c r="Q82" s="407">
        <f t="shared" si="95"/>
        <v>192490.678559991</v>
      </c>
      <c r="R82" s="407">
        <f t="shared" si="95"/>
        <v>314547.287440197</v>
      </c>
      <c r="S82" s="407">
        <f t="shared" si="95"/>
        <v>214463.786891043</v>
      </c>
      <c r="T82" s="407">
        <f t="shared" si="95"/>
        <v>171571.429512835</v>
      </c>
      <c r="U82" s="407">
        <f t="shared" si="95"/>
        <v>257356.144269252</v>
      </c>
      <c r="V82" s="407">
        <f t="shared" si="95"/>
        <v>300249.50164746</v>
      </c>
      <c r="W82" s="407">
        <f t="shared" si="95"/>
        <v>171571.429512835</v>
      </c>
      <c r="X82" s="407">
        <f t="shared" si="95"/>
        <v>142975.857927362</v>
      </c>
      <c r="Y82" s="407">
        <f t="shared" si="95"/>
        <v>114380.28634189</v>
      </c>
      <c r="Z82" s="407">
        <f t="shared" si="95"/>
        <v>314547.287440197</v>
      </c>
    </row>
    <row r="83" s="417" customFormat="1" spans="2:26">
      <c r="B83" s="377" t="s">
        <v>4929</v>
      </c>
      <c r="C83" s="377"/>
      <c r="D83" s="347">
        <f>SUM(O11:Z11)*O9</f>
        <v>6500000</v>
      </c>
      <c r="E83" s="339">
        <f t="shared" si="94"/>
        <v>0.455325500361746</v>
      </c>
      <c r="F83" s="360"/>
      <c r="G83" s="427">
        <f>SUM(O11:Q11)*$O$9</f>
        <v>1040000</v>
      </c>
      <c r="H83" s="427">
        <f>SUM(R11:T11)*$O$9</f>
        <v>1911000</v>
      </c>
      <c r="I83" s="427">
        <f>SUM(U11:W11)*$O$9</f>
        <v>1989000</v>
      </c>
      <c r="J83" s="427">
        <f>SUM(X11:Z11)*$O$9</f>
        <v>1560000</v>
      </c>
      <c r="K83" s="410"/>
      <c r="L83" s="411"/>
      <c r="M83" s="411"/>
      <c r="N83" s="377" t="s">
        <v>4929</v>
      </c>
      <c r="O83" s="354">
        <f t="shared" ref="O83:Z83" si="96">SUM(Z11:AK11)*Z9</f>
        <v>858000</v>
      </c>
      <c r="P83" s="354">
        <f t="shared" si="96"/>
        <v>0</v>
      </c>
      <c r="Q83" s="354">
        <f t="shared" si="96"/>
        <v>0</v>
      </c>
      <c r="R83" s="354">
        <f t="shared" si="96"/>
        <v>0</v>
      </c>
      <c r="S83" s="354">
        <f t="shared" si="96"/>
        <v>0</v>
      </c>
      <c r="T83" s="354">
        <f t="shared" si="96"/>
        <v>0</v>
      </c>
      <c r="U83" s="354">
        <f t="shared" si="96"/>
        <v>0</v>
      </c>
      <c r="V83" s="354">
        <f t="shared" si="96"/>
        <v>0</v>
      </c>
      <c r="W83" s="354">
        <f t="shared" si="96"/>
        <v>0</v>
      </c>
      <c r="X83" s="354">
        <f t="shared" si="96"/>
        <v>0</v>
      </c>
      <c r="Y83" s="354">
        <f t="shared" si="96"/>
        <v>0</v>
      </c>
      <c r="Z83" s="354">
        <f t="shared" si="96"/>
        <v>0</v>
      </c>
    </row>
    <row r="84" s="417" customFormat="1" spans="2:26">
      <c r="B84" s="377" t="s">
        <v>4930</v>
      </c>
      <c r="C84" s="377"/>
      <c r="D84" s="354">
        <f>Z12*Z9</f>
        <v>0</v>
      </c>
      <c r="E84" s="339">
        <f t="shared" si="94"/>
        <v>0</v>
      </c>
      <c r="F84" s="360"/>
      <c r="G84" s="428">
        <f>Q12*$O$9</f>
        <v>0</v>
      </c>
      <c r="H84" s="428">
        <f>T12*$O$9</f>
        <v>0</v>
      </c>
      <c r="I84" s="428">
        <f>W12*$O$9</f>
        <v>0</v>
      </c>
      <c r="J84" s="428">
        <f>Z12*$O$9</f>
        <v>0</v>
      </c>
      <c r="K84" s="378"/>
      <c r="L84" s="370"/>
      <c r="M84" s="370"/>
      <c r="N84" s="377" t="s">
        <v>4930</v>
      </c>
      <c r="O84" s="354">
        <f t="shared" ref="O84:Z84" si="97">AK12*AK9</f>
        <v>0</v>
      </c>
      <c r="P84" s="354">
        <f t="shared" si="97"/>
        <v>0</v>
      </c>
      <c r="Q84" s="354">
        <f t="shared" si="97"/>
        <v>0</v>
      </c>
      <c r="R84" s="354">
        <f t="shared" si="97"/>
        <v>0</v>
      </c>
      <c r="S84" s="354">
        <f t="shared" si="97"/>
        <v>0</v>
      </c>
      <c r="T84" s="354">
        <f t="shared" si="97"/>
        <v>0</v>
      </c>
      <c r="U84" s="354">
        <f t="shared" si="97"/>
        <v>0</v>
      </c>
      <c r="V84" s="354">
        <f t="shared" si="97"/>
        <v>0</v>
      </c>
      <c r="W84" s="354">
        <f t="shared" si="97"/>
        <v>0</v>
      </c>
      <c r="X84" s="354">
        <f t="shared" si="97"/>
        <v>0</v>
      </c>
      <c r="Y84" s="354">
        <f t="shared" si="97"/>
        <v>0</v>
      </c>
      <c r="Z84" s="354">
        <f t="shared" si="97"/>
        <v>0</v>
      </c>
    </row>
    <row r="85" s="417" customFormat="1" spans="2:26">
      <c r="B85" s="377" t="s">
        <v>4931</v>
      </c>
      <c r="C85" s="377"/>
      <c r="D85" s="412">
        <f>Z13</f>
        <v>0</v>
      </c>
      <c r="E85" s="413" t="s">
        <v>4914</v>
      </c>
      <c r="F85" s="360"/>
      <c r="G85" s="428">
        <f>Q13</f>
        <v>0</v>
      </c>
      <c r="H85" s="428">
        <f>T13</f>
        <v>0</v>
      </c>
      <c r="I85" s="428">
        <f>W13</f>
        <v>0</v>
      </c>
      <c r="J85" s="428">
        <f>Z13</f>
        <v>0</v>
      </c>
      <c r="K85" s="378"/>
      <c r="L85" s="370"/>
      <c r="M85" s="370"/>
      <c r="N85" s="377" t="s">
        <v>4931</v>
      </c>
      <c r="O85" s="412">
        <f t="shared" ref="O85:Z85" si="98">AK13</f>
        <v>0</v>
      </c>
      <c r="P85" s="412">
        <f t="shared" si="98"/>
        <v>0</v>
      </c>
      <c r="Q85" s="412">
        <f t="shared" si="98"/>
        <v>0</v>
      </c>
      <c r="R85" s="412">
        <f t="shared" si="98"/>
        <v>0</v>
      </c>
      <c r="S85" s="412">
        <f t="shared" si="98"/>
        <v>0</v>
      </c>
      <c r="T85" s="412">
        <f t="shared" si="98"/>
        <v>0</v>
      </c>
      <c r="U85" s="412">
        <f t="shared" si="98"/>
        <v>0</v>
      </c>
      <c r="V85" s="412">
        <f t="shared" si="98"/>
        <v>0</v>
      </c>
      <c r="W85" s="412">
        <f t="shared" si="98"/>
        <v>0</v>
      </c>
      <c r="X85" s="412">
        <f t="shared" si="98"/>
        <v>0</v>
      </c>
      <c r="Y85" s="412">
        <f t="shared" si="98"/>
        <v>0</v>
      </c>
      <c r="Z85" s="412">
        <f t="shared" si="98"/>
        <v>0</v>
      </c>
    </row>
    <row r="86" s="417" customFormat="1" spans="2:26">
      <c r="B86" s="377" t="s">
        <v>4932</v>
      </c>
      <c r="C86" s="377" t="s">
        <v>4933</v>
      </c>
      <c r="D86" s="413" t="s">
        <v>4914</v>
      </c>
      <c r="E86" s="413" t="s">
        <v>4914</v>
      </c>
      <c r="F86" s="360"/>
      <c r="G86" s="414"/>
      <c r="H86" s="414"/>
      <c r="I86" s="414"/>
      <c r="J86" s="414"/>
      <c r="K86" s="378"/>
      <c r="L86" s="370"/>
      <c r="M86" s="370"/>
      <c r="N86" s="377" t="s">
        <v>4932</v>
      </c>
      <c r="O86" s="413" t="s">
        <v>4914</v>
      </c>
      <c r="P86" s="413" t="s">
        <v>4914</v>
      </c>
      <c r="Q86" s="413" t="s">
        <v>4914</v>
      </c>
      <c r="R86" s="413" t="s">
        <v>4914</v>
      </c>
      <c r="S86" s="413" t="s">
        <v>4914</v>
      </c>
      <c r="T86" s="413" t="s">
        <v>4914</v>
      </c>
      <c r="U86" s="413" t="s">
        <v>4914</v>
      </c>
      <c r="V86" s="413" t="s">
        <v>4914</v>
      </c>
      <c r="W86" s="413" t="s">
        <v>4914</v>
      </c>
      <c r="X86" s="413" t="s">
        <v>4914</v>
      </c>
      <c r="Y86" s="413" t="s">
        <v>4914</v>
      </c>
      <c r="Z86" s="413" t="s">
        <v>4914</v>
      </c>
    </row>
    <row r="87" s="417" customFormat="1" spans="2:26">
      <c r="B87" s="377" t="s">
        <v>4934</v>
      </c>
      <c r="C87" s="377" t="s">
        <v>4933</v>
      </c>
      <c r="D87" s="413" t="s">
        <v>4914</v>
      </c>
      <c r="E87" s="413" t="s">
        <v>4914</v>
      </c>
      <c r="F87" s="415"/>
      <c r="G87" s="414"/>
      <c r="H87" s="414"/>
      <c r="I87" s="414"/>
      <c r="J87" s="414"/>
      <c r="K87" s="378"/>
      <c r="L87" s="370"/>
      <c r="M87" s="370"/>
      <c r="N87" s="377" t="s">
        <v>4934</v>
      </c>
      <c r="O87" s="413" t="s">
        <v>4914</v>
      </c>
      <c r="P87" s="413" t="s">
        <v>4914</v>
      </c>
      <c r="Q87" s="413" t="s">
        <v>4914</v>
      </c>
      <c r="R87" s="413" t="s">
        <v>4914</v>
      </c>
      <c r="S87" s="413" t="s">
        <v>4914</v>
      </c>
      <c r="T87" s="413" t="s">
        <v>4914</v>
      </c>
      <c r="U87" s="413" t="s">
        <v>4914</v>
      </c>
      <c r="V87" s="413" t="s">
        <v>4914</v>
      </c>
      <c r="W87" s="413" t="s">
        <v>4914</v>
      </c>
      <c r="X87" s="413" t="s">
        <v>4914</v>
      </c>
      <c r="Y87" s="413" t="s">
        <v>4914</v>
      </c>
      <c r="Z87" s="413" t="s">
        <v>4914</v>
      </c>
    </row>
    <row r="88" s="417" customFormat="1" spans="2:26">
      <c r="B88" s="265"/>
      <c r="C88" s="265" t="s">
        <v>4935</v>
      </c>
      <c r="D88" s="266">
        <f>SUM(O80:Z80)-D80</f>
        <v>131813.547277347</v>
      </c>
      <c r="E88" s="267"/>
      <c r="F88" s="268"/>
      <c r="G88" s="269"/>
      <c r="H88" s="269"/>
      <c r="I88" s="269"/>
      <c r="J88" s="269"/>
      <c r="K88" s="265"/>
      <c r="L88" s="265"/>
      <c r="M88" s="265"/>
      <c r="N88" s="265"/>
      <c r="O88" s="265"/>
      <c r="P88" s="265"/>
      <c r="Q88" s="265"/>
      <c r="R88" s="265"/>
      <c r="S88" s="265"/>
      <c r="T88" s="265"/>
      <c r="U88" s="265"/>
      <c r="V88" s="265"/>
      <c r="W88" s="265"/>
      <c r="X88" s="265"/>
      <c r="Y88" s="265"/>
      <c r="Z88" s="265"/>
    </row>
    <row r="89" s="417" customFormat="1" spans="2:26">
      <c r="B89" s="265"/>
      <c r="C89" s="265"/>
      <c r="D89" s="266"/>
      <c r="E89" s="267"/>
      <c r="F89" s="268"/>
      <c r="G89" s="269"/>
      <c r="H89" s="269"/>
      <c r="I89" s="269"/>
      <c r="J89" s="269"/>
      <c r="K89" s="265"/>
      <c r="L89" s="265"/>
      <c r="M89" s="265"/>
      <c r="N89" s="265"/>
      <c r="O89" s="265"/>
      <c r="P89" s="265"/>
      <c r="Q89" s="265"/>
      <c r="R89" s="265"/>
      <c r="S89" s="265"/>
      <c r="T89" s="265"/>
      <c r="U89" s="265"/>
      <c r="V89" s="265"/>
      <c r="W89" s="265"/>
      <c r="X89" s="265"/>
      <c r="Y89" s="265"/>
      <c r="Z89" s="265"/>
    </row>
    <row r="90" s="417" customFormat="1" spans="2:26">
      <c r="B90" s="265"/>
      <c r="C90" s="265"/>
      <c r="D90" s="266"/>
      <c r="E90" s="267"/>
      <c r="F90" s="268"/>
      <c r="G90" s="269"/>
      <c r="H90" s="269"/>
      <c r="I90" s="269"/>
      <c r="J90" s="269"/>
      <c r="K90" s="265"/>
      <c r="L90" s="265"/>
      <c r="M90" s="265"/>
      <c r="N90" s="265"/>
      <c r="O90" s="265"/>
      <c r="P90" s="265"/>
      <c r="Q90" s="265"/>
      <c r="R90" s="265"/>
      <c r="S90" s="265"/>
      <c r="T90" s="265"/>
      <c r="U90" s="265"/>
      <c r="V90" s="265"/>
      <c r="W90" s="265"/>
      <c r="X90" s="265"/>
      <c r="Y90" s="265"/>
      <c r="Z90" s="265"/>
    </row>
    <row r="91" s="417" customFormat="1" spans="2:26">
      <c r="B91" s="265"/>
      <c r="C91" s="265"/>
      <c r="D91" s="266"/>
      <c r="E91" s="267"/>
      <c r="F91" s="268"/>
      <c r="G91" s="269"/>
      <c r="H91" s="269"/>
      <c r="I91" s="269"/>
      <c r="J91" s="269"/>
      <c r="K91" s="265"/>
      <c r="L91" s="265"/>
      <c r="M91" s="265"/>
      <c r="N91" s="265"/>
      <c r="O91" s="265"/>
      <c r="P91" s="265"/>
      <c r="Q91" s="265"/>
      <c r="R91" s="266"/>
      <c r="S91" s="265"/>
      <c r="T91" s="265"/>
      <c r="U91" s="265"/>
      <c r="V91" s="265"/>
      <c r="W91" s="265"/>
      <c r="X91" s="265"/>
      <c r="Y91" s="265"/>
      <c r="Z91" s="265"/>
    </row>
    <row r="92" s="417" customFormat="1" spans="2:26">
      <c r="B92" s="265"/>
      <c r="C92" s="265"/>
      <c r="D92" s="266"/>
      <c r="E92" s="267"/>
      <c r="F92" s="268"/>
      <c r="G92" s="269"/>
      <c r="H92" s="269"/>
      <c r="I92" s="269"/>
      <c r="J92" s="269"/>
      <c r="K92" s="265"/>
      <c r="L92" s="265"/>
      <c r="M92" s="265"/>
      <c r="N92" s="265"/>
      <c r="O92" s="265"/>
      <c r="P92" s="265"/>
      <c r="Q92" s="265"/>
      <c r="R92" s="266"/>
      <c r="S92" s="265"/>
      <c r="T92" s="265"/>
      <c r="U92" s="265"/>
      <c r="V92" s="265"/>
      <c r="W92" s="265"/>
      <c r="X92" s="265"/>
      <c r="Y92" s="265"/>
      <c r="Z92" s="265"/>
    </row>
    <row r="93" s="417" customFormat="1" spans="2:26">
      <c r="B93" s="265"/>
      <c r="C93" s="265"/>
      <c r="D93" s="266"/>
      <c r="E93" s="267"/>
      <c r="F93" s="268"/>
      <c r="G93" s="269"/>
      <c r="H93" s="269"/>
      <c r="I93" s="269"/>
      <c r="J93" s="269"/>
      <c r="K93" s="265"/>
      <c r="L93" s="265"/>
      <c r="M93" s="265"/>
      <c r="N93" s="265"/>
      <c r="O93" s="265"/>
      <c r="P93" s="265"/>
      <c r="Q93" s="265"/>
      <c r="R93" s="266"/>
      <c r="S93" s="265"/>
      <c r="T93" s="265"/>
      <c r="U93" s="265"/>
      <c r="V93" s="265"/>
      <c r="W93" s="265"/>
      <c r="X93" s="265"/>
      <c r="Y93" s="265"/>
      <c r="Z93" s="265"/>
    </row>
    <row r="94" s="417" customFormat="1" spans="2:26">
      <c r="B94" s="265"/>
      <c r="C94" s="265"/>
      <c r="D94" s="266"/>
      <c r="E94" s="267"/>
      <c r="F94" s="268"/>
      <c r="G94" s="269"/>
      <c r="H94" s="269"/>
      <c r="I94" s="269"/>
      <c r="J94" s="269"/>
      <c r="K94" s="265"/>
      <c r="L94" s="265"/>
      <c r="M94" s="265"/>
      <c r="N94" s="265"/>
      <c r="O94" s="265"/>
      <c r="P94" s="265"/>
      <c r="Q94" s="265"/>
      <c r="R94" s="266"/>
      <c r="S94" s="265"/>
      <c r="T94" s="265"/>
      <c r="U94" s="265"/>
      <c r="V94" s="265"/>
      <c r="W94" s="265"/>
      <c r="X94" s="265"/>
      <c r="Y94" s="265"/>
      <c r="Z94" s="265"/>
    </row>
    <row r="95" s="417" customFormat="1" spans="2:26">
      <c r="B95" s="265"/>
      <c r="C95" s="265"/>
      <c r="D95" s="266"/>
      <c r="E95" s="267"/>
      <c r="F95" s="268"/>
      <c r="G95" s="269"/>
      <c r="H95" s="269"/>
      <c r="I95" s="269"/>
      <c r="J95" s="269"/>
      <c r="K95" s="265"/>
      <c r="L95" s="265"/>
      <c r="M95" s="265"/>
      <c r="N95" s="265"/>
      <c r="O95" s="265"/>
      <c r="P95" s="265"/>
      <c r="Q95" s="265"/>
      <c r="R95" s="266"/>
      <c r="S95" s="265"/>
      <c r="T95" s="265"/>
      <c r="U95" s="265"/>
      <c r="V95" s="265"/>
      <c r="W95" s="265"/>
      <c r="X95" s="265"/>
      <c r="Y95" s="265"/>
      <c r="Z95" s="265"/>
    </row>
    <row r="96" s="417" customFormat="1" spans="2:26">
      <c r="B96" s="265"/>
      <c r="C96" s="265"/>
      <c r="D96" s="266"/>
      <c r="E96" s="267"/>
      <c r="F96" s="268"/>
      <c r="G96" s="269"/>
      <c r="H96" s="269"/>
      <c r="I96" s="269"/>
      <c r="J96" s="269"/>
      <c r="K96" s="265"/>
      <c r="L96" s="265"/>
      <c r="M96" s="265"/>
      <c r="N96" s="265"/>
      <c r="O96" s="265"/>
      <c r="P96" s="265"/>
      <c r="Q96" s="265"/>
      <c r="R96" s="266"/>
      <c r="S96" s="265"/>
      <c r="T96" s="265"/>
      <c r="U96" s="265"/>
      <c r="V96" s="265"/>
      <c r="W96" s="265"/>
      <c r="X96" s="265"/>
      <c r="Y96" s="265"/>
      <c r="Z96" s="265"/>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Z96"/>
  <sheetViews>
    <sheetView zoomScale="70" zoomScaleNormal="70" workbookViewId="0">
      <selection activeCell="E3" sqref="E3"/>
    </sheetView>
  </sheetViews>
  <sheetFormatPr defaultColWidth="9.23333333333333" defaultRowHeight="16.5"/>
  <cols>
    <col min="1" max="1" width="3.85" customWidth="1"/>
    <col min="2" max="2" width="33.525" style="265" customWidth="1"/>
    <col min="3" max="3" width="38.75" style="265" customWidth="1"/>
    <col min="4" max="4" width="15" style="266" customWidth="1"/>
    <col min="5" max="5" width="26.3083333333333" style="267" customWidth="1"/>
    <col min="6" max="6" width="15.625" style="268" customWidth="1"/>
    <col min="7" max="7" width="10.3833333333333" style="269" customWidth="1"/>
    <col min="8" max="8" width="12.75" style="269" customWidth="1"/>
    <col min="9" max="10" width="10.3833333333333" style="269" customWidth="1"/>
    <col min="11" max="11" width="32.65" style="265" customWidth="1"/>
    <col min="12" max="12" width="5.58333333333333" style="265" customWidth="1"/>
    <col min="13" max="13" width="8.825" style="265" customWidth="1"/>
    <col min="14" max="14" width="38.75" style="265" customWidth="1"/>
    <col min="15" max="15" width="21.8833333333333" style="265" customWidth="1"/>
    <col min="16" max="16" width="16.5" style="265" customWidth="1"/>
    <col min="17" max="17" width="17.8833333333333" style="265" customWidth="1"/>
    <col min="18" max="18" width="15.8833333333333" style="266" customWidth="1"/>
    <col min="19" max="26" width="15.8833333333333" style="265" customWidth="1"/>
  </cols>
  <sheetData>
    <row r="1" ht="37.5" spans="2:26">
      <c r="B1" s="270" t="s">
        <v>4785</v>
      </c>
      <c r="C1" s="271"/>
      <c r="D1" s="272"/>
      <c r="E1" s="273"/>
      <c r="F1" s="274"/>
      <c r="G1" s="275"/>
      <c r="H1" s="275"/>
      <c r="I1" s="275"/>
      <c r="J1" s="275"/>
      <c r="K1" s="271"/>
      <c r="L1" s="271"/>
      <c r="M1" s="271"/>
      <c r="N1" s="271"/>
      <c r="O1" s="271"/>
      <c r="P1" s="271"/>
      <c r="Q1" s="271"/>
      <c r="R1" s="276"/>
    </row>
    <row r="2" spans="2:26">
      <c r="B2" s="277" t="s">
        <v>4786</v>
      </c>
      <c r="C2" s="278" t="s">
        <v>4787</v>
      </c>
      <c r="D2" s="279" t="s">
        <v>4788</v>
      </c>
      <c r="E2" s="280"/>
      <c r="F2" s="281"/>
      <c r="G2" s="282"/>
      <c r="H2" s="282"/>
      <c r="I2" s="282"/>
      <c r="J2" s="282"/>
      <c r="K2" s="277"/>
      <c r="L2" s="277"/>
      <c r="M2" s="277"/>
      <c r="N2" s="277"/>
      <c r="O2" s="277"/>
      <c r="P2" s="277"/>
      <c r="Q2" s="277"/>
      <c r="R2" s="283"/>
    </row>
    <row r="3" ht="29.25" spans="2:26">
      <c r="B3" s="284" t="s">
        <v>4789</v>
      </c>
      <c r="C3" s="285">
        <v>6.8</v>
      </c>
      <c r="D3" s="283"/>
      <c r="E3" s="286"/>
      <c r="F3" s="287"/>
      <c r="G3" s="282"/>
      <c r="H3" s="282"/>
      <c r="I3" s="282"/>
      <c r="J3" s="282"/>
      <c r="K3" s="277"/>
      <c r="L3" s="277"/>
      <c r="M3" s="277"/>
      <c r="N3" s="288"/>
      <c r="O3" s="288"/>
      <c r="P3" s="288"/>
      <c r="Q3" s="288"/>
      <c r="R3" s="288"/>
      <c r="S3" s="288"/>
      <c r="T3" s="288"/>
      <c r="U3" s="288"/>
      <c r="V3" s="288"/>
      <c r="W3" s="288"/>
      <c r="X3" s="288"/>
      <c r="Y3" s="288"/>
      <c r="Z3" s="288"/>
    </row>
    <row r="4" ht="30" spans="2:26">
      <c r="B4" s="288" t="s">
        <v>4790</v>
      </c>
      <c r="C4" s="288"/>
      <c r="D4" s="288"/>
      <c r="E4" s="289"/>
      <c r="F4" s="288"/>
      <c r="G4" s="282"/>
      <c r="H4" s="288"/>
      <c r="I4" s="288"/>
      <c r="J4" s="288"/>
      <c r="K4" s="288"/>
      <c r="L4" s="288"/>
      <c r="M4" s="277"/>
      <c r="N4" s="288" t="s">
        <v>4791</v>
      </c>
      <c r="O4" s="288"/>
      <c r="P4" s="288"/>
      <c r="Q4" s="288"/>
      <c r="R4" s="288"/>
      <c r="S4" s="288"/>
      <c r="T4" s="288"/>
      <c r="U4" s="288"/>
      <c r="V4" s="288"/>
      <c r="W4" s="288"/>
      <c r="X4" s="288"/>
      <c r="Y4" s="288"/>
      <c r="Z4" s="288"/>
    </row>
    <row r="5" ht="30" spans="2:26">
      <c r="B5" s="288"/>
      <c r="C5" s="288"/>
      <c r="D5" s="288"/>
      <c r="E5" s="289"/>
      <c r="F5" s="288"/>
      <c r="G5" s="282"/>
      <c r="H5" s="288"/>
      <c r="I5" s="288"/>
      <c r="J5" s="288"/>
      <c r="K5" s="288"/>
      <c r="L5" s="288"/>
      <c r="M5" s="277"/>
      <c r="N5" s="290" t="s">
        <v>4792</v>
      </c>
      <c r="O5" s="291">
        <v>202305</v>
      </c>
      <c r="P5" s="291">
        <v>202306</v>
      </c>
      <c r="Q5" s="291">
        <v>202307</v>
      </c>
      <c r="R5" s="291">
        <v>202308</v>
      </c>
      <c r="S5" s="291">
        <v>202309</v>
      </c>
      <c r="T5" s="291">
        <v>202310</v>
      </c>
      <c r="U5" s="291">
        <v>202311</v>
      </c>
      <c r="V5" s="291">
        <v>202312</v>
      </c>
      <c r="W5" s="291">
        <v>202401</v>
      </c>
      <c r="X5" s="291">
        <v>202402</v>
      </c>
      <c r="Y5" s="291">
        <v>202403</v>
      </c>
      <c r="Z5" s="291">
        <v>202404</v>
      </c>
    </row>
    <row r="6" ht="21" spans="2:26">
      <c r="B6" s="290" t="s">
        <v>4793</v>
      </c>
      <c r="C6" s="292" t="s">
        <v>4794</v>
      </c>
      <c r="D6" s="293" t="str">
        <f>C2</f>
        <v>SKUAAA</v>
      </c>
      <c r="E6" s="294" t="s">
        <v>4795</v>
      </c>
      <c r="F6" s="282"/>
      <c r="G6" s="282"/>
      <c r="H6" s="282"/>
      <c r="I6" s="282"/>
      <c r="J6" s="282"/>
      <c r="K6" s="295"/>
      <c r="L6" s="295"/>
      <c r="M6" s="295"/>
      <c r="N6" s="296"/>
      <c r="O6" s="297" t="s">
        <v>4796</v>
      </c>
      <c r="P6" s="297" t="s">
        <v>4797</v>
      </c>
      <c r="Q6" s="297" t="s">
        <v>4798</v>
      </c>
      <c r="R6" s="297" t="s">
        <v>4799</v>
      </c>
      <c r="S6" s="297" t="s">
        <v>4800</v>
      </c>
      <c r="T6" s="297" t="s">
        <v>4801</v>
      </c>
      <c r="U6" s="297" t="s">
        <v>4802</v>
      </c>
      <c r="V6" s="297" t="s">
        <v>4803</v>
      </c>
      <c r="W6" s="297" t="s">
        <v>4804</v>
      </c>
      <c r="X6" s="297" t="s">
        <v>4805</v>
      </c>
      <c r="Y6" s="297" t="s">
        <v>4806</v>
      </c>
      <c r="Z6" s="298" t="s">
        <v>4807</v>
      </c>
    </row>
    <row r="7" ht="21.75" spans="2:26">
      <c r="B7" s="299" t="s">
        <v>4808</v>
      </c>
      <c r="C7" s="300" t="s">
        <v>4809</v>
      </c>
      <c r="D7" s="301">
        <v>65.99</v>
      </c>
      <c r="E7" s="302">
        <v>129.99</v>
      </c>
      <c r="F7" s="282"/>
      <c r="G7" s="282"/>
      <c r="H7" s="282"/>
      <c r="I7" s="282"/>
      <c r="J7" s="282"/>
      <c r="K7" s="277"/>
      <c r="L7" s="277"/>
      <c r="M7" s="277"/>
      <c r="N7" s="299" t="s">
        <v>4808</v>
      </c>
      <c r="O7" s="303">
        <f t="shared" ref="O7:Z7" si="0">$D$7</f>
        <v>65.99</v>
      </c>
      <c r="P7" s="303">
        <f t="shared" si="0"/>
        <v>65.99</v>
      </c>
      <c r="Q7" s="303">
        <f t="shared" si="0"/>
        <v>65.99</v>
      </c>
      <c r="R7" s="303">
        <f t="shared" si="0"/>
        <v>65.99</v>
      </c>
      <c r="S7" s="303">
        <f t="shared" si="0"/>
        <v>65.99</v>
      </c>
      <c r="T7" s="303">
        <f t="shared" si="0"/>
        <v>65.99</v>
      </c>
      <c r="U7" s="303">
        <f t="shared" si="0"/>
        <v>65.99</v>
      </c>
      <c r="V7" s="303">
        <f t="shared" si="0"/>
        <v>65.99</v>
      </c>
      <c r="W7" s="303">
        <f t="shared" si="0"/>
        <v>65.99</v>
      </c>
      <c r="X7" s="303">
        <f t="shared" si="0"/>
        <v>65.99</v>
      </c>
      <c r="Y7" s="303">
        <f t="shared" si="0"/>
        <v>65.99</v>
      </c>
      <c r="Z7" s="303">
        <f t="shared" si="0"/>
        <v>65.99</v>
      </c>
    </row>
    <row r="8" ht="21" spans="2:26">
      <c r="B8" s="299" t="s">
        <v>4811</v>
      </c>
      <c r="C8" s="300" t="s">
        <v>4809</v>
      </c>
      <c r="D8" s="304">
        <f>D7*C3</f>
        <v>448.732</v>
      </c>
      <c r="E8" s="305"/>
      <c r="F8" s="306"/>
      <c r="G8" s="307"/>
      <c r="H8" s="282"/>
      <c r="I8" s="282"/>
      <c r="J8" s="282"/>
      <c r="K8" s="308"/>
      <c r="L8" s="308"/>
      <c r="M8" s="308"/>
      <c r="N8" s="299" t="s">
        <v>4811</v>
      </c>
      <c r="O8" s="309">
        <f t="shared" ref="O8:Z8" si="1">O7*$C$3</f>
        <v>448.732</v>
      </c>
      <c r="P8" s="309">
        <f t="shared" si="1"/>
        <v>448.732</v>
      </c>
      <c r="Q8" s="309">
        <f t="shared" si="1"/>
        <v>448.732</v>
      </c>
      <c r="R8" s="309">
        <f t="shared" si="1"/>
        <v>448.732</v>
      </c>
      <c r="S8" s="309">
        <f t="shared" si="1"/>
        <v>448.732</v>
      </c>
      <c r="T8" s="309">
        <f t="shared" si="1"/>
        <v>448.732</v>
      </c>
      <c r="U8" s="309">
        <f t="shared" si="1"/>
        <v>448.732</v>
      </c>
      <c r="V8" s="309">
        <f t="shared" si="1"/>
        <v>448.732</v>
      </c>
      <c r="W8" s="309">
        <f t="shared" si="1"/>
        <v>448.732</v>
      </c>
      <c r="X8" s="309">
        <f t="shared" si="1"/>
        <v>448.732</v>
      </c>
      <c r="Y8" s="309">
        <f t="shared" si="1"/>
        <v>448.732</v>
      </c>
      <c r="Z8" s="309">
        <f t="shared" si="1"/>
        <v>448.732</v>
      </c>
    </row>
    <row r="9" ht="21" spans="2:26">
      <c r="B9" s="299" t="s">
        <v>4812</v>
      </c>
      <c r="C9" s="300" t="s">
        <v>4813</v>
      </c>
      <c r="D9" s="310">
        <v>150</v>
      </c>
      <c r="E9" s="305"/>
      <c r="F9" s="306"/>
      <c r="G9" s="307"/>
      <c r="H9" s="282"/>
      <c r="I9" s="282"/>
      <c r="J9" s="282"/>
      <c r="K9" s="277"/>
      <c r="L9" s="277"/>
      <c r="M9" s="277"/>
      <c r="N9" s="299" t="s">
        <v>4812</v>
      </c>
      <c r="O9" s="303">
        <f t="shared" ref="O9:Z9" si="2">$D$9</f>
        <v>150</v>
      </c>
      <c r="P9" s="303">
        <f t="shared" si="2"/>
        <v>150</v>
      </c>
      <c r="Q9" s="303">
        <f t="shared" si="2"/>
        <v>150</v>
      </c>
      <c r="R9" s="303">
        <f t="shared" si="2"/>
        <v>150</v>
      </c>
      <c r="S9" s="303">
        <f t="shared" si="2"/>
        <v>150</v>
      </c>
      <c r="T9" s="303">
        <f t="shared" si="2"/>
        <v>150</v>
      </c>
      <c r="U9" s="303">
        <f t="shared" si="2"/>
        <v>150</v>
      </c>
      <c r="V9" s="303">
        <f t="shared" si="2"/>
        <v>150</v>
      </c>
      <c r="W9" s="303">
        <f t="shared" si="2"/>
        <v>150</v>
      </c>
      <c r="X9" s="303">
        <f t="shared" si="2"/>
        <v>150</v>
      </c>
      <c r="Y9" s="303">
        <f t="shared" si="2"/>
        <v>150</v>
      </c>
      <c r="Z9" s="303">
        <f t="shared" si="2"/>
        <v>150</v>
      </c>
    </row>
    <row r="10" ht="21" spans="2:26">
      <c r="B10" s="299" t="s">
        <v>4814</v>
      </c>
      <c r="C10" s="300" t="s">
        <v>4815</v>
      </c>
      <c r="D10" s="311">
        <f>SUM(O10:Z10)</f>
        <v>8800</v>
      </c>
      <c r="E10" s="305"/>
      <c r="F10" s="306"/>
      <c r="G10" s="307"/>
      <c r="H10" s="282"/>
      <c r="I10" s="282"/>
      <c r="J10" s="282"/>
      <c r="K10" s="277"/>
      <c r="L10" s="277"/>
      <c r="M10" s="277"/>
      <c r="N10" s="299" t="s">
        <v>4816</v>
      </c>
      <c r="O10" s="312">
        <v>50</v>
      </c>
      <c r="P10" s="312">
        <v>150</v>
      </c>
      <c r="Q10" s="312">
        <v>300</v>
      </c>
      <c r="R10" s="312">
        <v>500</v>
      </c>
      <c r="S10" s="313">
        <v>300</v>
      </c>
      <c r="T10" s="313">
        <v>1200</v>
      </c>
      <c r="U10" s="313">
        <v>1500</v>
      </c>
      <c r="V10" s="313">
        <v>1500</v>
      </c>
      <c r="W10" s="313">
        <v>800</v>
      </c>
      <c r="X10" s="314">
        <v>500</v>
      </c>
      <c r="Y10" s="313">
        <v>800</v>
      </c>
      <c r="Z10" s="314">
        <v>1200</v>
      </c>
    </row>
    <row r="11" ht="21.75" spans="2:26">
      <c r="B11" s="315" t="s">
        <v>4817</v>
      </c>
      <c r="C11" s="316" t="s">
        <v>4818</v>
      </c>
      <c r="D11" s="317">
        <v>1000</v>
      </c>
      <c r="E11" s="305"/>
      <c r="F11" s="306"/>
      <c r="G11" s="307"/>
      <c r="H11" s="282"/>
      <c r="I11" s="282"/>
      <c r="J11" s="282"/>
      <c r="K11" s="277"/>
      <c r="L11" s="277"/>
      <c r="M11" s="277"/>
      <c r="N11" s="315" t="s">
        <v>4819</v>
      </c>
      <c r="O11" s="318">
        <v>1000</v>
      </c>
      <c r="P11" s="318">
        <f t="shared" ref="P11:Z11" si="3">P10*1.5</f>
        <v>225</v>
      </c>
      <c r="Q11" s="318">
        <f t="shared" si="3"/>
        <v>450</v>
      </c>
      <c r="R11" s="318">
        <f t="shared" si="3"/>
        <v>750</v>
      </c>
      <c r="S11" s="318">
        <f t="shared" si="3"/>
        <v>450</v>
      </c>
      <c r="T11" s="318">
        <f t="shared" si="3"/>
        <v>1800</v>
      </c>
      <c r="U11" s="318">
        <f t="shared" si="3"/>
        <v>2250</v>
      </c>
      <c r="V11" s="318">
        <f t="shared" si="3"/>
        <v>2250</v>
      </c>
      <c r="W11" s="318">
        <f t="shared" si="3"/>
        <v>1200</v>
      </c>
      <c r="X11" s="318">
        <f t="shared" si="3"/>
        <v>750</v>
      </c>
      <c r="Y11" s="318">
        <f t="shared" si="3"/>
        <v>1200</v>
      </c>
      <c r="Z11" s="318">
        <f t="shared" si="3"/>
        <v>1800</v>
      </c>
    </row>
    <row r="12" ht="21" spans="2:26">
      <c r="B12" s="319"/>
      <c r="C12" s="319"/>
      <c r="D12" s="320">
        <f>D9*D11</f>
        <v>150000</v>
      </c>
      <c r="E12" s="319"/>
      <c r="F12" s="319"/>
      <c r="G12" s="282"/>
      <c r="H12" s="277"/>
      <c r="I12" s="282"/>
      <c r="J12" s="282"/>
      <c r="K12" s="277"/>
      <c r="L12" s="277"/>
      <c r="M12" s="277"/>
      <c r="N12" s="265" t="s">
        <v>4820</v>
      </c>
      <c r="O12" s="321"/>
      <c r="P12" s="321"/>
      <c r="Q12" s="321"/>
      <c r="R12" s="321"/>
      <c r="S12" s="321"/>
      <c r="T12" s="321"/>
      <c r="U12" s="321"/>
      <c r="V12" s="321"/>
      <c r="W12" s="321"/>
      <c r="X12" s="321"/>
      <c r="Y12" s="321"/>
      <c r="Z12" s="321"/>
    </row>
    <row r="13" ht="32.25" spans="2:26">
      <c r="B13" s="319"/>
      <c r="C13" s="319"/>
      <c r="D13" s="319"/>
      <c r="E13" s="319"/>
      <c r="F13" s="319"/>
      <c r="G13" s="322"/>
      <c r="H13" s="322"/>
      <c r="I13" s="322"/>
      <c r="J13" s="322"/>
      <c r="K13" s="322"/>
      <c r="L13" s="323"/>
      <c r="M13" s="277"/>
      <c r="N13" s="321"/>
      <c r="O13" s="321"/>
      <c r="P13" s="321"/>
      <c r="Q13" s="321"/>
      <c r="R13" s="321"/>
      <c r="S13" s="321"/>
      <c r="T13" s="321"/>
      <c r="U13" s="321"/>
      <c r="V13" s="321"/>
      <c r="W13" s="321"/>
      <c r="X13" s="321"/>
      <c r="Y13" s="321"/>
      <c r="Z13" s="321"/>
    </row>
    <row r="14" ht="32.25" spans="2:26">
      <c r="B14" s="321"/>
      <c r="C14" s="324"/>
      <c r="D14" s="325" t="s">
        <v>4821</v>
      </c>
      <c r="E14" s="326">
        <f>D18/C3</f>
        <v>580712</v>
      </c>
      <c r="F14" s="322"/>
      <c r="G14" s="322"/>
      <c r="H14" s="322"/>
      <c r="I14" s="322"/>
      <c r="J14" s="322"/>
      <c r="K14" s="322"/>
      <c r="L14" s="323"/>
      <c r="M14" s="277"/>
      <c r="N14" s="321"/>
      <c r="O14" s="321"/>
      <c r="P14" s="321"/>
      <c r="Q14" s="321"/>
      <c r="R14" s="321"/>
      <c r="S14" s="321"/>
      <c r="T14" s="321"/>
      <c r="U14" s="321"/>
      <c r="V14" s="321"/>
      <c r="W14" s="321"/>
      <c r="X14" s="321"/>
      <c r="Y14" s="321"/>
      <c r="Z14" s="321"/>
    </row>
    <row r="15" ht="31.5" spans="2:26">
      <c r="B15" s="323" t="s">
        <v>4822</v>
      </c>
      <c r="C15" s="323"/>
      <c r="D15" s="323"/>
      <c r="E15" s="327"/>
      <c r="F15" s="323"/>
      <c r="G15" s="323"/>
      <c r="H15" s="323"/>
      <c r="I15" s="323"/>
      <c r="J15" s="323"/>
      <c r="K15" s="323"/>
      <c r="L15" s="323"/>
      <c r="M15" s="277"/>
      <c r="N15" s="321"/>
      <c r="O15" s="321"/>
      <c r="P15" s="321"/>
      <c r="Q15" s="321"/>
      <c r="R15" s="321"/>
      <c r="S15" s="321"/>
      <c r="T15" s="321"/>
      <c r="U15" s="321"/>
      <c r="V15" s="321"/>
      <c r="W15" s="321"/>
      <c r="X15" s="321"/>
      <c r="Y15" s="321"/>
      <c r="Z15" s="321"/>
    </row>
    <row r="16" ht="22.5" spans="2:26">
      <c r="B16" s="328" t="s">
        <v>4823</v>
      </c>
      <c r="C16" s="329" t="s">
        <v>4824</v>
      </c>
      <c r="D16" s="330" t="s">
        <v>4825</v>
      </c>
      <c r="E16" s="331" t="s">
        <v>4826</v>
      </c>
      <c r="F16" s="332" t="s">
        <v>4827</v>
      </c>
      <c r="G16" s="332"/>
      <c r="H16" s="332"/>
      <c r="I16" s="332"/>
      <c r="J16" s="332"/>
      <c r="K16" s="329" t="s">
        <v>4828</v>
      </c>
      <c r="L16" s="277"/>
      <c r="M16" s="277"/>
      <c r="N16" s="277"/>
      <c r="O16" s="277"/>
      <c r="P16" s="277"/>
      <c r="Q16" s="277"/>
      <c r="R16" s="283"/>
      <c r="S16" s="277"/>
      <c r="T16" s="277"/>
      <c r="U16" s="277"/>
      <c r="V16" s="277"/>
      <c r="W16" s="277"/>
      <c r="X16" s="277"/>
      <c r="Y16" s="277"/>
      <c r="Z16" s="277"/>
    </row>
    <row r="17" ht="22.5" spans="2:26">
      <c r="B17" s="328"/>
      <c r="C17" s="329"/>
      <c r="D17" s="330"/>
      <c r="E17" s="333"/>
      <c r="F17" s="334" t="s">
        <v>4829</v>
      </c>
      <c r="G17" s="332" t="s">
        <v>4830</v>
      </c>
      <c r="H17" s="332" t="s">
        <v>4831</v>
      </c>
      <c r="I17" s="332" t="s">
        <v>4832</v>
      </c>
      <c r="J17" s="332" t="s">
        <v>4833</v>
      </c>
      <c r="K17" s="329"/>
      <c r="L17" s="277"/>
      <c r="M17" s="277"/>
      <c r="N17" s="329" t="s">
        <v>4823</v>
      </c>
      <c r="O17" s="335" t="str">
        <f t="shared" ref="O17:Z17" si="4">O6</f>
        <v>上市第1月</v>
      </c>
      <c r="P17" s="335" t="str">
        <f t="shared" si="4"/>
        <v>上市第2月</v>
      </c>
      <c r="Q17" s="335" t="str">
        <f t="shared" si="4"/>
        <v>上市第3月</v>
      </c>
      <c r="R17" s="335" t="str">
        <f t="shared" si="4"/>
        <v>上市第4月</v>
      </c>
      <c r="S17" s="335" t="str">
        <f t="shared" si="4"/>
        <v>上市第5月</v>
      </c>
      <c r="T17" s="335" t="str">
        <f t="shared" si="4"/>
        <v>上市第6月</v>
      </c>
      <c r="U17" s="335" t="str">
        <f t="shared" si="4"/>
        <v>上市第7月</v>
      </c>
      <c r="V17" s="335" t="str">
        <f t="shared" si="4"/>
        <v>上市第8月</v>
      </c>
      <c r="W17" s="335" t="str">
        <f t="shared" si="4"/>
        <v>上市第9月</v>
      </c>
      <c r="X17" s="335" t="str">
        <f t="shared" si="4"/>
        <v>上市第10月</v>
      </c>
      <c r="Y17" s="335" t="str">
        <f t="shared" si="4"/>
        <v>上市第11月</v>
      </c>
      <c r="Z17" s="335" t="str">
        <f t="shared" si="4"/>
        <v>上市第12月</v>
      </c>
    </row>
    <row r="18" ht="21" spans="2:26">
      <c r="B18" s="336" t="s">
        <v>4834</v>
      </c>
      <c r="C18" s="337"/>
      <c r="D18" s="338">
        <f t="shared" ref="D18:D31" si="5">SUM(O18:Z18)</f>
        <v>3948841.6</v>
      </c>
      <c r="E18" s="339">
        <f t="shared" ref="E18:E80" si="6">D18/$D$18</f>
        <v>1</v>
      </c>
      <c r="F18" s="340"/>
      <c r="G18" s="341">
        <v>1</v>
      </c>
      <c r="H18" s="342">
        <v>1</v>
      </c>
      <c r="I18" s="342">
        <v>1</v>
      </c>
      <c r="J18" s="342">
        <v>1</v>
      </c>
      <c r="K18" s="343"/>
      <c r="L18" s="344"/>
      <c r="M18" s="277"/>
      <c r="N18" s="336" t="s">
        <v>4834</v>
      </c>
      <c r="O18" s="345">
        <f t="shared" ref="O18:Z18" si="7">O8*O10</f>
        <v>22436.6</v>
      </c>
      <c r="P18" s="345">
        <f t="shared" si="7"/>
        <v>67309.8</v>
      </c>
      <c r="Q18" s="345">
        <f t="shared" si="7"/>
        <v>134619.6</v>
      </c>
      <c r="R18" s="345">
        <f t="shared" si="7"/>
        <v>224366</v>
      </c>
      <c r="S18" s="345">
        <f t="shared" si="7"/>
        <v>134619.6</v>
      </c>
      <c r="T18" s="345">
        <f t="shared" si="7"/>
        <v>538478.4</v>
      </c>
      <c r="U18" s="345">
        <f t="shared" si="7"/>
        <v>673098</v>
      </c>
      <c r="V18" s="345">
        <f t="shared" si="7"/>
        <v>673098</v>
      </c>
      <c r="W18" s="345">
        <f t="shared" si="7"/>
        <v>358985.6</v>
      </c>
      <c r="X18" s="345">
        <f t="shared" si="7"/>
        <v>224366</v>
      </c>
      <c r="Y18" s="345">
        <f t="shared" si="7"/>
        <v>358985.6</v>
      </c>
      <c r="Z18" s="345">
        <f t="shared" si="7"/>
        <v>538478.4</v>
      </c>
    </row>
    <row r="19" ht="21" spans="2:26">
      <c r="B19" s="336" t="s">
        <v>4835</v>
      </c>
      <c r="C19" s="346"/>
      <c r="D19" s="347">
        <f t="shared" si="5"/>
        <v>3268474.24628938</v>
      </c>
      <c r="E19" s="339">
        <f t="shared" si="6"/>
        <v>0.827704571965961</v>
      </c>
      <c r="F19" s="348" t="s">
        <v>4836</v>
      </c>
      <c r="G19" s="349">
        <f t="shared" ref="G19:J19" si="8">G20+G28</f>
        <v>0.893062588030217</v>
      </c>
      <c r="H19" s="349">
        <f t="shared" si="8"/>
        <v>0.827704571965961</v>
      </c>
      <c r="I19" s="349">
        <f t="shared" si="8"/>
        <v>0.827704571965961</v>
      </c>
      <c r="J19" s="349">
        <f t="shared" si="8"/>
        <v>0.983120276662751</v>
      </c>
      <c r="K19" s="350" t="s">
        <v>4837</v>
      </c>
      <c r="L19" s="351"/>
      <c r="M19" s="277"/>
      <c r="N19" s="336" t="s">
        <v>4835</v>
      </c>
      <c r="O19" s="352">
        <f t="shared" ref="O19:Z19" si="9">O20+O28</f>
        <v>18570.8763993715</v>
      </c>
      <c r="P19" s="352">
        <f t="shared" si="9"/>
        <v>55712.6291981144</v>
      </c>
      <c r="Q19" s="352">
        <f t="shared" si="9"/>
        <v>111425.258396229</v>
      </c>
      <c r="R19" s="352">
        <f t="shared" si="9"/>
        <v>185708.763993715</v>
      </c>
      <c r="S19" s="352">
        <f t="shared" si="9"/>
        <v>111425.258396229</v>
      </c>
      <c r="T19" s="352">
        <f t="shared" si="9"/>
        <v>445701.033584915</v>
      </c>
      <c r="U19" s="352">
        <f t="shared" si="9"/>
        <v>557126.291981144</v>
      </c>
      <c r="V19" s="352">
        <f t="shared" si="9"/>
        <v>557126.291981144</v>
      </c>
      <c r="W19" s="352">
        <f t="shared" si="9"/>
        <v>297134.022389944</v>
      </c>
      <c r="X19" s="352">
        <f t="shared" si="9"/>
        <v>185708.763993715</v>
      </c>
      <c r="Y19" s="352">
        <f t="shared" si="9"/>
        <v>297134.022389944</v>
      </c>
      <c r="Z19" s="352">
        <f t="shared" si="9"/>
        <v>445701.033584915</v>
      </c>
    </row>
    <row r="20" ht="18" spans="2:26">
      <c r="B20" s="353" t="s">
        <v>4838</v>
      </c>
      <c r="C20" s="346"/>
      <c r="D20" s="354">
        <f t="shared" si="5"/>
        <v>1734194.24628938</v>
      </c>
      <c r="E20" s="339">
        <f t="shared" si="6"/>
        <v>0.439165310223986</v>
      </c>
      <c r="F20" s="348"/>
      <c r="G20" s="355">
        <f t="shared" ref="G20:J20" si="10">G21+G22+G23+G24+G25+G26+G27</f>
        <v>0.601188436373855</v>
      </c>
      <c r="H20" s="355">
        <f t="shared" si="10"/>
        <v>0.439165310223986</v>
      </c>
      <c r="I20" s="355">
        <f t="shared" si="10"/>
        <v>0.439165310223986</v>
      </c>
      <c r="J20" s="355">
        <f t="shared" si="10"/>
        <v>0.439165310223986</v>
      </c>
      <c r="K20" s="356"/>
      <c r="L20" s="357"/>
      <c r="M20" s="357"/>
      <c r="N20" s="353" t="s">
        <v>4838</v>
      </c>
      <c r="O20" s="352">
        <f t="shared" ref="O20:Z20" si="11">SUM(O21:O27)</f>
        <v>9853.37639937147</v>
      </c>
      <c r="P20" s="352">
        <f t="shared" si="11"/>
        <v>29560.1291981144</v>
      </c>
      <c r="Q20" s="352">
        <f t="shared" si="11"/>
        <v>59120.2583962288</v>
      </c>
      <c r="R20" s="352">
        <f t="shared" si="11"/>
        <v>98533.7639937148</v>
      </c>
      <c r="S20" s="352">
        <f t="shared" si="11"/>
        <v>59120.2583962288</v>
      </c>
      <c r="T20" s="352">
        <f t="shared" si="11"/>
        <v>236481.033584915</v>
      </c>
      <c r="U20" s="352">
        <f t="shared" si="11"/>
        <v>295601.291981144</v>
      </c>
      <c r="V20" s="352">
        <f t="shared" si="11"/>
        <v>295601.291981144</v>
      </c>
      <c r="W20" s="352">
        <f t="shared" si="11"/>
        <v>157654.022389944</v>
      </c>
      <c r="X20" s="352">
        <f t="shared" si="11"/>
        <v>98533.7639937148</v>
      </c>
      <c r="Y20" s="352">
        <f t="shared" si="11"/>
        <v>157654.022389944</v>
      </c>
      <c r="Z20" s="352">
        <f t="shared" si="11"/>
        <v>236481.033584915</v>
      </c>
    </row>
    <row r="21" ht="21" spans="2:26">
      <c r="B21" s="358" t="s">
        <v>4839</v>
      </c>
      <c r="C21" s="346"/>
      <c r="D21" s="354">
        <f t="shared" si="5"/>
        <v>592326.24</v>
      </c>
      <c r="E21" s="359">
        <f t="shared" si="6"/>
        <v>0.15</v>
      </c>
      <c r="F21" s="360"/>
      <c r="G21" s="355">
        <v>0.150098912370032</v>
      </c>
      <c r="H21" s="361">
        <f t="shared" ref="H21:H27" si="12">SUM(R21:T21)/SUM($R$18:$T$18)</f>
        <v>0.15</v>
      </c>
      <c r="I21" s="361">
        <f t="shared" ref="I21:I27" si="13">SUM(S21:U21)/SUM($S$18:$U$18)</f>
        <v>0.15</v>
      </c>
      <c r="J21" s="361">
        <f t="shared" ref="J21:J27" si="14">SUM(T21:V21)/SUM($T$18:$V$18)</f>
        <v>0.15</v>
      </c>
      <c r="K21" s="356"/>
      <c r="L21" s="357"/>
      <c r="M21" s="357"/>
      <c r="N21" s="362" t="s">
        <v>4839</v>
      </c>
      <c r="O21" s="363">
        <f t="shared" ref="O21:Z21" si="15">O18*15%</f>
        <v>3365.49</v>
      </c>
      <c r="P21" s="363">
        <f t="shared" si="15"/>
        <v>10096.47</v>
      </c>
      <c r="Q21" s="363">
        <f t="shared" si="15"/>
        <v>20192.94</v>
      </c>
      <c r="R21" s="363">
        <f t="shared" si="15"/>
        <v>33654.9</v>
      </c>
      <c r="S21" s="363">
        <f t="shared" si="15"/>
        <v>20192.94</v>
      </c>
      <c r="T21" s="363">
        <f t="shared" si="15"/>
        <v>80771.76</v>
      </c>
      <c r="U21" s="363">
        <f t="shared" si="15"/>
        <v>100964.7</v>
      </c>
      <c r="V21" s="363">
        <f t="shared" si="15"/>
        <v>100964.7</v>
      </c>
      <c r="W21" s="363">
        <f t="shared" si="15"/>
        <v>53847.84</v>
      </c>
      <c r="X21" s="363">
        <f t="shared" si="15"/>
        <v>33654.9</v>
      </c>
      <c r="Y21" s="363">
        <f t="shared" si="15"/>
        <v>53847.84</v>
      </c>
      <c r="Z21" s="363">
        <f t="shared" si="15"/>
        <v>80771.76</v>
      </c>
    </row>
    <row r="22" spans="2:26">
      <c r="B22" s="364" t="s">
        <v>4840</v>
      </c>
      <c r="C22" s="365"/>
      <c r="D22" s="354">
        <f t="shared" si="5"/>
        <v>429052.8</v>
      </c>
      <c r="E22" s="359">
        <f t="shared" si="6"/>
        <v>0.108652826185786</v>
      </c>
      <c r="F22" s="366" t="s">
        <v>4841</v>
      </c>
      <c r="G22" s="367">
        <v>0.270577039965623</v>
      </c>
      <c r="H22" s="361">
        <f t="shared" si="12"/>
        <v>0.108652826185786</v>
      </c>
      <c r="I22" s="361">
        <f t="shared" si="13"/>
        <v>0.108652826185786</v>
      </c>
      <c r="J22" s="361">
        <f t="shared" si="14"/>
        <v>0.108652826185786</v>
      </c>
      <c r="K22" s="368"/>
      <c r="L22" s="369"/>
      <c r="M22" s="370"/>
      <c r="N22" s="364" t="s">
        <v>4840</v>
      </c>
      <c r="O22" s="371">
        <f>7.17*O10*$C$3</f>
        <v>2437.8</v>
      </c>
      <c r="P22" s="371">
        <f t="shared" ref="P22:Z22" si="16">7.17*P10*$C$3</f>
        <v>7313.4</v>
      </c>
      <c r="Q22" s="371">
        <f t="shared" si="16"/>
        <v>14626.8</v>
      </c>
      <c r="R22" s="371">
        <f t="shared" si="16"/>
        <v>24378</v>
      </c>
      <c r="S22" s="371">
        <f t="shared" si="16"/>
        <v>14626.8</v>
      </c>
      <c r="T22" s="371">
        <f t="shared" si="16"/>
        <v>58507.2</v>
      </c>
      <c r="U22" s="371">
        <f t="shared" si="16"/>
        <v>73134</v>
      </c>
      <c r="V22" s="371">
        <f t="shared" si="16"/>
        <v>73134</v>
      </c>
      <c r="W22" s="371">
        <f t="shared" si="16"/>
        <v>39004.8</v>
      </c>
      <c r="X22" s="371">
        <f t="shared" si="16"/>
        <v>24378</v>
      </c>
      <c r="Y22" s="371">
        <f t="shared" si="16"/>
        <v>39004.8</v>
      </c>
      <c r="Z22" s="371">
        <f t="shared" si="16"/>
        <v>58507.2</v>
      </c>
    </row>
    <row r="23" spans="2:26">
      <c r="B23" s="364" t="s">
        <v>4843</v>
      </c>
      <c r="C23" s="365"/>
      <c r="D23" s="354">
        <f t="shared" si="5"/>
        <v>172008.937885507</v>
      </c>
      <c r="E23" s="359">
        <f t="shared" si="6"/>
        <v>0.043559341019277</v>
      </c>
      <c r="F23" s="372" t="s">
        <v>4844</v>
      </c>
      <c r="G23" s="367">
        <v>0.043559341019277</v>
      </c>
      <c r="H23" s="361">
        <f t="shared" si="12"/>
        <v>0.043559341019277</v>
      </c>
      <c r="I23" s="361">
        <f t="shared" si="13"/>
        <v>0.043559341019277</v>
      </c>
      <c r="J23" s="361">
        <f t="shared" si="14"/>
        <v>0.043559341019277</v>
      </c>
      <c r="K23" s="373" t="s">
        <v>4845</v>
      </c>
      <c r="L23" s="374"/>
      <c r="M23" s="375"/>
      <c r="N23" s="364" t="s">
        <v>4843</v>
      </c>
      <c r="O23" s="376">
        <f t="shared" ref="O23:Z23" si="17">O18*$G$23</f>
        <v>977.32351071311</v>
      </c>
      <c r="P23" s="376">
        <f t="shared" si="17"/>
        <v>2931.97053213933</v>
      </c>
      <c r="Q23" s="376">
        <f t="shared" si="17"/>
        <v>5863.94106427866</v>
      </c>
      <c r="R23" s="376">
        <f t="shared" si="17"/>
        <v>9773.2351071311</v>
      </c>
      <c r="S23" s="376">
        <f t="shared" si="17"/>
        <v>5863.94106427866</v>
      </c>
      <c r="T23" s="376">
        <f t="shared" si="17"/>
        <v>23455.7642571146</v>
      </c>
      <c r="U23" s="376">
        <f t="shared" si="17"/>
        <v>29319.7053213933</v>
      </c>
      <c r="V23" s="376">
        <f t="shared" si="17"/>
        <v>29319.7053213933</v>
      </c>
      <c r="W23" s="376">
        <f t="shared" si="17"/>
        <v>15637.1761714098</v>
      </c>
      <c r="X23" s="376">
        <f t="shared" si="17"/>
        <v>9773.2351071311</v>
      </c>
      <c r="Y23" s="376">
        <f t="shared" si="17"/>
        <v>15637.1761714098</v>
      </c>
      <c r="Z23" s="376">
        <f t="shared" si="17"/>
        <v>23455.7642571146</v>
      </c>
    </row>
    <row r="24" spans="2:26">
      <c r="B24" s="358" t="s">
        <v>4846</v>
      </c>
      <c r="C24" s="346"/>
      <c r="D24" s="354">
        <f t="shared" si="5"/>
        <v>146711.964779597</v>
      </c>
      <c r="E24" s="359">
        <f t="shared" si="6"/>
        <v>0.0371531653180509</v>
      </c>
      <c r="F24" s="360"/>
      <c r="G24" s="355">
        <v>0.0371531653180509</v>
      </c>
      <c r="H24" s="361">
        <f t="shared" si="12"/>
        <v>0.0371531653180509</v>
      </c>
      <c r="I24" s="361">
        <f t="shared" si="13"/>
        <v>0.0371531653180509</v>
      </c>
      <c r="J24" s="361">
        <f t="shared" si="14"/>
        <v>0.0371531653180509</v>
      </c>
      <c r="K24" s="356"/>
      <c r="L24" s="357"/>
      <c r="M24" s="357"/>
      <c r="N24" s="358" t="s">
        <v>4846</v>
      </c>
      <c r="O24" s="363">
        <f t="shared" ref="O24:Z24" si="18">O18*$G$24</f>
        <v>833.590708974981</v>
      </c>
      <c r="P24" s="363">
        <f t="shared" si="18"/>
        <v>2500.77212692494</v>
      </c>
      <c r="Q24" s="363">
        <f t="shared" si="18"/>
        <v>5001.54425384988</v>
      </c>
      <c r="R24" s="363">
        <f t="shared" si="18"/>
        <v>8335.90708974981</v>
      </c>
      <c r="S24" s="363">
        <f t="shared" si="18"/>
        <v>5001.54425384988</v>
      </c>
      <c r="T24" s="363">
        <f t="shared" si="18"/>
        <v>20006.1770153995</v>
      </c>
      <c r="U24" s="363">
        <f t="shared" si="18"/>
        <v>25007.7212692494</v>
      </c>
      <c r="V24" s="363">
        <f t="shared" si="18"/>
        <v>25007.7212692494</v>
      </c>
      <c r="W24" s="363">
        <f t="shared" si="18"/>
        <v>13337.4513435997</v>
      </c>
      <c r="X24" s="363">
        <f t="shared" si="18"/>
        <v>8335.90708974981</v>
      </c>
      <c r="Y24" s="363">
        <f t="shared" si="18"/>
        <v>13337.4513435997</v>
      </c>
      <c r="Z24" s="363">
        <f t="shared" si="18"/>
        <v>20006.1770153995</v>
      </c>
    </row>
    <row r="25" spans="2:26">
      <c r="B25" s="358" t="s">
        <v>4847</v>
      </c>
      <c r="C25" s="346"/>
      <c r="D25" s="354">
        <f t="shared" si="5"/>
        <v>328359.942825049</v>
      </c>
      <c r="E25" s="359">
        <f t="shared" si="6"/>
        <v>0.0831534855247294</v>
      </c>
      <c r="F25" s="360"/>
      <c r="G25" s="355">
        <v>0.0831534855247294</v>
      </c>
      <c r="H25" s="361">
        <f t="shared" si="12"/>
        <v>0.0831534855247294</v>
      </c>
      <c r="I25" s="361">
        <f t="shared" si="13"/>
        <v>0.0831534855247294</v>
      </c>
      <c r="J25" s="361">
        <f t="shared" si="14"/>
        <v>0.0831534855247294</v>
      </c>
      <c r="K25" s="356"/>
      <c r="L25" s="357"/>
      <c r="M25" s="357"/>
      <c r="N25" s="358" t="s">
        <v>4847</v>
      </c>
      <c r="O25" s="363">
        <f t="shared" ref="O25:Z25" si="19">O18*$G$25</f>
        <v>1865.68149332414</v>
      </c>
      <c r="P25" s="363">
        <f t="shared" si="19"/>
        <v>5597.04447997243</v>
      </c>
      <c r="Q25" s="363">
        <f t="shared" si="19"/>
        <v>11194.0889599449</v>
      </c>
      <c r="R25" s="363">
        <f t="shared" si="19"/>
        <v>18656.8149332414</v>
      </c>
      <c r="S25" s="363">
        <f t="shared" si="19"/>
        <v>11194.0889599449</v>
      </c>
      <c r="T25" s="363">
        <f t="shared" si="19"/>
        <v>44776.3558397794</v>
      </c>
      <c r="U25" s="363">
        <f t="shared" si="19"/>
        <v>55970.4447997243</v>
      </c>
      <c r="V25" s="363">
        <f t="shared" si="19"/>
        <v>55970.4447997243</v>
      </c>
      <c r="W25" s="363">
        <f t="shared" si="19"/>
        <v>29850.9038931863</v>
      </c>
      <c r="X25" s="363">
        <f t="shared" si="19"/>
        <v>18656.8149332414</v>
      </c>
      <c r="Y25" s="363">
        <f t="shared" si="19"/>
        <v>29850.9038931863</v>
      </c>
      <c r="Z25" s="363">
        <f t="shared" si="19"/>
        <v>44776.3558397794</v>
      </c>
    </row>
    <row r="26" spans="2:26">
      <c r="B26" s="358" t="s">
        <v>4848</v>
      </c>
      <c r="C26" s="377"/>
      <c r="D26" s="354">
        <f t="shared" si="5"/>
        <v>68517.0676917924</v>
      </c>
      <c r="E26" s="359">
        <f t="shared" si="6"/>
        <v>0.0173511815950765</v>
      </c>
      <c r="F26" s="360"/>
      <c r="G26" s="355">
        <v>0.0173511815950765</v>
      </c>
      <c r="H26" s="361">
        <f t="shared" si="12"/>
        <v>0.0173511815950765</v>
      </c>
      <c r="I26" s="361">
        <f t="shared" si="13"/>
        <v>0.0173511815950765</v>
      </c>
      <c r="J26" s="361">
        <f t="shared" si="14"/>
        <v>0.0173511815950765</v>
      </c>
      <c r="K26" s="378"/>
      <c r="L26" s="370"/>
      <c r="M26" s="370"/>
      <c r="N26" s="358" t="s">
        <v>4848</v>
      </c>
      <c r="O26" s="363">
        <f t="shared" ref="O26:Z26" si="20">O18*$G$26</f>
        <v>389.301520976093</v>
      </c>
      <c r="P26" s="363">
        <f t="shared" si="20"/>
        <v>1167.90456292828</v>
      </c>
      <c r="Q26" s="363">
        <f t="shared" si="20"/>
        <v>2335.80912585656</v>
      </c>
      <c r="R26" s="363">
        <f t="shared" si="20"/>
        <v>3893.01520976093</v>
      </c>
      <c r="S26" s="363">
        <f t="shared" si="20"/>
        <v>2335.80912585656</v>
      </c>
      <c r="T26" s="363">
        <f t="shared" si="20"/>
        <v>9343.23650342624</v>
      </c>
      <c r="U26" s="363">
        <f t="shared" si="20"/>
        <v>11679.0456292828</v>
      </c>
      <c r="V26" s="363">
        <f t="shared" si="20"/>
        <v>11679.0456292828</v>
      </c>
      <c r="W26" s="363">
        <f t="shared" si="20"/>
        <v>6228.82433561749</v>
      </c>
      <c r="X26" s="363">
        <f t="shared" si="20"/>
        <v>3893.01520976093</v>
      </c>
      <c r="Y26" s="363">
        <f t="shared" si="20"/>
        <v>6228.82433561749</v>
      </c>
      <c r="Z26" s="363">
        <f t="shared" si="20"/>
        <v>9343.23650342624</v>
      </c>
    </row>
    <row r="27" spans="2:26">
      <c r="B27" s="358" t="s">
        <v>4849</v>
      </c>
      <c r="C27" s="377"/>
      <c r="D27" s="354">
        <f t="shared" si="5"/>
        <v>-2782.7068925658</v>
      </c>
      <c r="E27" s="359">
        <f t="shared" si="6"/>
        <v>-0.000704689418933847</v>
      </c>
      <c r="F27" s="379" t="s">
        <v>4850</v>
      </c>
      <c r="G27" s="355">
        <v>-0.000704689418933847</v>
      </c>
      <c r="H27" s="361">
        <f t="shared" si="12"/>
        <v>-0.000704689418933847</v>
      </c>
      <c r="I27" s="361">
        <f t="shared" si="13"/>
        <v>-0.000704689418933847</v>
      </c>
      <c r="J27" s="361">
        <f t="shared" si="14"/>
        <v>-0.000704689418933847</v>
      </c>
      <c r="K27" s="378" t="s">
        <v>4851</v>
      </c>
      <c r="L27" s="370"/>
      <c r="M27" s="370"/>
      <c r="N27" s="358" t="s">
        <v>4849</v>
      </c>
      <c r="O27" s="363">
        <f t="shared" ref="O27:Z27" si="21">O18*$G$27</f>
        <v>-15.8108346168512</v>
      </c>
      <c r="P27" s="363">
        <f t="shared" si="21"/>
        <v>-47.4325038505534</v>
      </c>
      <c r="Q27" s="363">
        <f t="shared" si="21"/>
        <v>-94.8650077011069</v>
      </c>
      <c r="R27" s="363">
        <f t="shared" si="21"/>
        <v>-158.108346168512</v>
      </c>
      <c r="S27" s="363">
        <f t="shared" si="21"/>
        <v>-94.8650077011069</v>
      </c>
      <c r="T27" s="363">
        <f t="shared" si="21"/>
        <v>-379.460030804428</v>
      </c>
      <c r="U27" s="363">
        <f t="shared" si="21"/>
        <v>-474.325038505535</v>
      </c>
      <c r="V27" s="363">
        <f t="shared" si="21"/>
        <v>-474.325038505535</v>
      </c>
      <c r="W27" s="363">
        <f t="shared" si="21"/>
        <v>-252.973353869618</v>
      </c>
      <c r="X27" s="363">
        <f t="shared" si="21"/>
        <v>-158.108346168512</v>
      </c>
      <c r="Y27" s="363">
        <f t="shared" si="21"/>
        <v>-252.973353869618</v>
      </c>
      <c r="Z27" s="363">
        <f t="shared" si="21"/>
        <v>-379.460030804428</v>
      </c>
    </row>
    <row r="28" ht="30" spans="2:26">
      <c r="B28" s="380" t="s">
        <v>4852</v>
      </c>
      <c r="C28" s="346"/>
      <c r="D28" s="347">
        <f t="shared" si="5"/>
        <v>1534280</v>
      </c>
      <c r="E28" s="339">
        <f t="shared" si="6"/>
        <v>0.388539261741975</v>
      </c>
      <c r="F28" s="348" t="s">
        <v>4853</v>
      </c>
      <c r="G28" s="349">
        <f t="shared" ref="G28:J28" si="22">G29+G30</f>
        <v>0.291874151656363</v>
      </c>
      <c r="H28" s="349">
        <f t="shared" si="22"/>
        <v>0.388539261741975</v>
      </c>
      <c r="I28" s="349">
        <f t="shared" si="22"/>
        <v>0.388539261741975</v>
      </c>
      <c r="J28" s="349">
        <f t="shared" si="22"/>
        <v>0.543954966438765</v>
      </c>
      <c r="K28" s="381" t="s">
        <v>4854</v>
      </c>
      <c r="L28" s="357"/>
      <c r="M28" s="357"/>
      <c r="N28" s="380" t="s">
        <v>4852</v>
      </c>
      <c r="O28" s="352">
        <f t="shared" ref="O28:Z28" si="23">SUM(O29:O30)</f>
        <v>8717.5</v>
      </c>
      <c r="P28" s="352">
        <f t="shared" si="23"/>
        <v>26152.5</v>
      </c>
      <c r="Q28" s="352">
        <f t="shared" si="23"/>
        <v>52305</v>
      </c>
      <c r="R28" s="352">
        <f t="shared" si="23"/>
        <v>87175</v>
      </c>
      <c r="S28" s="352">
        <f t="shared" si="23"/>
        <v>52305</v>
      </c>
      <c r="T28" s="352">
        <f t="shared" si="23"/>
        <v>209220</v>
      </c>
      <c r="U28" s="352">
        <f t="shared" si="23"/>
        <v>261525</v>
      </c>
      <c r="V28" s="352">
        <f t="shared" si="23"/>
        <v>261525</v>
      </c>
      <c r="W28" s="352">
        <f t="shared" si="23"/>
        <v>139480</v>
      </c>
      <c r="X28" s="352">
        <f t="shared" si="23"/>
        <v>87175</v>
      </c>
      <c r="Y28" s="352">
        <f t="shared" si="23"/>
        <v>139480</v>
      </c>
      <c r="Z28" s="352">
        <f t="shared" si="23"/>
        <v>209220</v>
      </c>
    </row>
    <row r="29" spans="2:26">
      <c r="B29" s="358" t="s">
        <v>4855</v>
      </c>
      <c r="C29" s="377"/>
      <c r="D29" s="354">
        <f t="shared" si="5"/>
        <v>1320000</v>
      </c>
      <c r="E29" s="359">
        <f t="shared" si="6"/>
        <v>0.334275246695132</v>
      </c>
      <c r="F29" s="360">
        <v>0.00800253753523574</v>
      </c>
      <c r="G29" s="355">
        <v>0.235146426812361</v>
      </c>
      <c r="H29" s="361">
        <f t="shared" ref="H29:H49" si="24">SUM(R29:T29)/SUM($R$18:$T$18)</f>
        <v>0.334275246695132</v>
      </c>
      <c r="I29" s="361">
        <f>SUM(S29:U29)/SUM($S$18:$U$18)</f>
        <v>0.334275246695132</v>
      </c>
      <c r="J29" s="361">
        <f>SUM(T29:V29)/SUM($S$18:$U$18)</f>
        <v>0.467985345373185</v>
      </c>
      <c r="K29" s="378"/>
      <c r="L29" s="370"/>
      <c r="M29" s="370"/>
      <c r="N29" s="382" t="s">
        <v>4855</v>
      </c>
      <c r="O29" s="371">
        <f t="shared" ref="O29:Z29" si="25">O9*O10</f>
        <v>7500</v>
      </c>
      <c r="P29" s="371">
        <f t="shared" si="25"/>
        <v>22500</v>
      </c>
      <c r="Q29" s="371">
        <f t="shared" si="25"/>
        <v>45000</v>
      </c>
      <c r="R29" s="371">
        <f t="shared" si="25"/>
        <v>75000</v>
      </c>
      <c r="S29" s="371">
        <f t="shared" si="25"/>
        <v>45000</v>
      </c>
      <c r="T29" s="371">
        <f t="shared" si="25"/>
        <v>180000</v>
      </c>
      <c r="U29" s="371">
        <f t="shared" si="25"/>
        <v>225000</v>
      </c>
      <c r="V29" s="371">
        <f t="shared" si="25"/>
        <v>225000</v>
      </c>
      <c r="W29" s="371">
        <f t="shared" si="25"/>
        <v>120000</v>
      </c>
      <c r="X29" s="371">
        <f t="shared" si="25"/>
        <v>75000</v>
      </c>
      <c r="Y29" s="371">
        <f t="shared" si="25"/>
        <v>120000</v>
      </c>
      <c r="Z29" s="371">
        <f t="shared" si="25"/>
        <v>180000</v>
      </c>
    </row>
    <row r="30" spans="2:26">
      <c r="B30" s="358" t="s">
        <v>4856</v>
      </c>
      <c r="C30" s="377"/>
      <c r="D30" s="354">
        <f t="shared" si="5"/>
        <v>214280</v>
      </c>
      <c r="E30" s="359">
        <f t="shared" si="6"/>
        <v>0.0542640150468431</v>
      </c>
      <c r="F30" s="360">
        <v>0.00207566621826828</v>
      </c>
      <c r="G30" s="355">
        <v>0.0567277248440016</v>
      </c>
      <c r="H30" s="361">
        <f t="shared" si="24"/>
        <v>0.0542640150468431</v>
      </c>
      <c r="I30" s="361">
        <f>SUM(S30:U30)/SUM($S$18:$U$18)</f>
        <v>0.0542640150468431</v>
      </c>
      <c r="J30" s="361">
        <f>SUM(T30:V30)/SUM($S$18:$U$18)</f>
        <v>0.0759696210655803</v>
      </c>
      <c r="K30" s="378"/>
      <c r="L30" s="370"/>
      <c r="M30" s="370"/>
      <c r="N30" s="382" t="s">
        <v>4856</v>
      </c>
      <c r="O30" s="371">
        <f>5*O10*4.87</f>
        <v>1217.5</v>
      </c>
      <c r="P30" s="371">
        <f t="shared" ref="P30:Z30" si="26">5*P10*4.87</f>
        <v>3652.5</v>
      </c>
      <c r="Q30" s="371">
        <f t="shared" si="26"/>
        <v>7305</v>
      </c>
      <c r="R30" s="371">
        <f t="shared" si="26"/>
        <v>12175</v>
      </c>
      <c r="S30" s="371">
        <f t="shared" si="26"/>
        <v>7305</v>
      </c>
      <c r="T30" s="371">
        <f t="shared" si="26"/>
        <v>29220</v>
      </c>
      <c r="U30" s="371">
        <f t="shared" si="26"/>
        <v>36525</v>
      </c>
      <c r="V30" s="371">
        <f t="shared" si="26"/>
        <v>36525</v>
      </c>
      <c r="W30" s="371">
        <f t="shared" si="26"/>
        <v>19480</v>
      </c>
      <c r="X30" s="371">
        <f t="shared" si="26"/>
        <v>12175</v>
      </c>
      <c r="Y30" s="371">
        <f t="shared" si="26"/>
        <v>19480</v>
      </c>
      <c r="Z30" s="371">
        <f t="shared" si="26"/>
        <v>29220</v>
      </c>
    </row>
    <row r="31" spans="2:26">
      <c r="B31" s="382" t="s">
        <v>4858</v>
      </c>
      <c r="C31" s="377"/>
      <c r="D31" s="354">
        <f t="shared" si="5"/>
        <v>680367.35371062</v>
      </c>
      <c r="E31" s="339">
        <f t="shared" si="6"/>
        <v>0.172295428034039</v>
      </c>
      <c r="F31" s="360"/>
      <c r="G31" s="355">
        <f t="shared" ref="G31:J31" si="27">G18-G19</f>
        <v>0.106937411969783</v>
      </c>
      <c r="H31" s="355">
        <f t="shared" si="27"/>
        <v>0.172295428034039</v>
      </c>
      <c r="I31" s="355">
        <f t="shared" si="27"/>
        <v>0.172295428034039</v>
      </c>
      <c r="J31" s="355">
        <f t="shared" si="27"/>
        <v>0.0168797233372492</v>
      </c>
      <c r="K31" s="378"/>
      <c r="L31" s="370"/>
      <c r="M31" s="370"/>
      <c r="N31" s="382" t="s">
        <v>4858</v>
      </c>
      <c r="O31" s="363">
        <f t="shared" ref="O31:Z31" si="28">O18-O19</f>
        <v>3865.72360062852</v>
      </c>
      <c r="P31" s="363">
        <f t="shared" si="28"/>
        <v>11597.1708018856</v>
      </c>
      <c r="Q31" s="363">
        <f t="shared" si="28"/>
        <v>23194.3416037711</v>
      </c>
      <c r="R31" s="363">
        <f t="shared" si="28"/>
        <v>38657.2360062852</v>
      </c>
      <c r="S31" s="363">
        <f t="shared" si="28"/>
        <v>23194.3416037711</v>
      </c>
      <c r="T31" s="363">
        <f t="shared" si="28"/>
        <v>92777.3664150845</v>
      </c>
      <c r="U31" s="363">
        <f t="shared" si="28"/>
        <v>115971.708018856</v>
      </c>
      <c r="V31" s="363">
        <f t="shared" si="28"/>
        <v>115971.708018856</v>
      </c>
      <c r="W31" s="363">
        <f t="shared" si="28"/>
        <v>61851.5776100564</v>
      </c>
      <c r="X31" s="363">
        <f t="shared" si="28"/>
        <v>38657.2360062852</v>
      </c>
      <c r="Y31" s="363">
        <f t="shared" si="28"/>
        <v>61851.5776100564</v>
      </c>
      <c r="Z31" s="363">
        <f t="shared" si="28"/>
        <v>92777.3664150845</v>
      </c>
    </row>
    <row r="32" ht="30" spans="2:26">
      <c r="B32" s="353" t="s">
        <v>4859</v>
      </c>
      <c r="C32" s="346"/>
      <c r="D32" s="354">
        <f>SUM(D33:D49)</f>
        <v>106192.424961622</v>
      </c>
      <c r="E32" s="339">
        <f t="shared" si="6"/>
        <v>0.026892044735758</v>
      </c>
      <c r="F32" s="348" t="s">
        <v>4860</v>
      </c>
      <c r="G32" s="383">
        <f>SUM(G33:G49)</f>
        <v>0.026892044735758</v>
      </c>
      <c r="H32" s="384">
        <f t="shared" si="24"/>
        <v>0.026892044735758</v>
      </c>
      <c r="I32" s="384">
        <f t="shared" ref="I32:I49" si="29">SUM(U32:W32)/SUM($U$18:$W$18)</f>
        <v>0.026892044735758</v>
      </c>
      <c r="J32" s="384">
        <f t="shared" ref="J32:J49" si="30">SUM(X32:Z32)/SUM($X$18:$Z$18)</f>
        <v>0.026892044735758</v>
      </c>
      <c r="K32" s="381" t="s">
        <v>4861</v>
      </c>
      <c r="L32" s="357"/>
      <c r="M32" s="357"/>
      <c r="N32" s="353" t="s">
        <v>4862</v>
      </c>
      <c r="O32" s="352">
        <f t="shared" ref="O32:Z32" si="31">SUM(O33:O49)</f>
        <v>603.366050918309</v>
      </c>
      <c r="P32" s="352">
        <f t="shared" si="31"/>
        <v>1810.09815275493</v>
      </c>
      <c r="Q32" s="352">
        <f t="shared" si="31"/>
        <v>3620.19630550985</v>
      </c>
      <c r="R32" s="352">
        <f t="shared" si="31"/>
        <v>6033.66050918309</v>
      </c>
      <c r="S32" s="352">
        <f t="shared" si="31"/>
        <v>3620.19630550985</v>
      </c>
      <c r="T32" s="352">
        <f t="shared" si="31"/>
        <v>14480.7852220394</v>
      </c>
      <c r="U32" s="352">
        <f t="shared" si="31"/>
        <v>18100.9815275493</v>
      </c>
      <c r="V32" s="352">
        <f t="shared" si="31"/>
        <v>18100.9815275493</v>
      </c>
      <c r="W32" s="352">
        <f t="shared" si="31"/>
        <v>9653.85681469294</v>
      </c>
      <c r="X32" s="352">
        <f t="shared" si="31"/>
        <v>6033.66050918309</v>
      </c>
      <c r="Y32" s="352">
        <f t="shared" si="31"/>
        <v>9653.85681469294</v>
      </c>
      <c r="Z32" s="352">
        <f t="shared" si="31"/>
        <v>14480.7852220394</v>
      </c>
    </row>
    <row r="33" ht="33" spans="2:26">
      <c r="B33" s="385" t="s">
        <v>4863</v>
      </c>
      <c r="C33" s="377"/>
      <c r="D33" s="354">
        <f t="shared" ref="D33:D66" si="32">SUM(O33:Z33)</f>
        <v>76589.7137900554</v>
      </c>
      <c r="E33" s="359">
        <f t="shared" si="6"/>
        <v>0.0193954889935457</v>
      </c>
      <c r="F33" s="360"/>
      <c r="G33" s="367">
        <v>0.0193954889935457</v>
      </c>
      <c r="H33" s="386">
        <f t="shared" si="24"/>
        <v>0.0193954889935457</v>
      </c>
      <c r="I33" s="386">
        <f t="shared" si="29"/>
        <v>0.0193954889935457</v>
      </c>
      <c r="J33" s="386">
        <f t="shared" si="30"/>
        <v>0.0193954889935457</v>
      </c>
      <c r="K33" s="387" t="s">
        <v>4864</v>
      </c>
      <c r="L33" s="388"/>
      <c r="M33" s="370"/>
      <c r="N33" s="385" t="s">
        <v>4863</v>
      </c>
      <c r="O33" s="363">
        <f t="shared" ref="O33:Z33" si="33">O18*$G$33</f>
        <v>435.168828352587</v>
      </c>
      <c r="P33" s="363">
        <f t="shared" si="33"/>
        <v>1305.50648505776</v>
      </c>
      <c r="Q33" s="363">
        <f t="shared" si="33"/>
        <v>2611.01297011552</v>
      </c>
      <c r="R33" s="363">
        <f t="shared" si="33"/>
        <v>4351.68828352587</v>
      </c>
      <c r="S33" s="363">
        <f t="shared" si="33"/>
        <v>2611.01297011552</v>
      </c>
      <c r="T33" s="363">
        <f t="shared" si="33"/>
        <v>10444.0518804621</v>
      </c>
      <c r="U33" s="363">
        <f t="shared" si="33"/>
        <v>13055.0648505776</v>
      </c>
      <c r="V33" s="363">
        <f t="shared" si="33"/>
        <v>13055.0648505776</v>
      </c>
      <c r="W33" s="363">
        <f t="shared" si="33"/>
        <v>6962.7012536414</v>
      </c>
      <c r="X33" s="363">
        <f t="shared" si="33"/>
        <v>4351.68828352587</v>
      </c>
      <c r="Y33" s="363">
        <f t="shared" si="33"/>
        <v>6962.7012536414</v>
      </c>
      <c r="Z33" s="363">
        <f t="shared" si="33"/>
        <v>10444.0518804621</v>
      </c>
    </row>
    <row r="34" spans="2:26">
      <c r="B34" s="385" t="s">
        <v>4865</v>
      </c>
      <c r="C34" s="377"/>
      <c r="D34" s="354">
        <f t="shared" si="32"/>
        <v>5597.93989840211</v>
      </c>
      <c r="E34" s="359">
        <f t="shared" si="6"/>
        <v>0.00141761571251734</v>
      </c>
      <c r="F34" s="360">
        <v>0.00408360222843546</v>
      </c>
      <c r="G34" s="355">
        <v>0.00141761571251734</v>
      </c>
      <c r="H34" s="386">
        <f t="shared" si="24"/>
        <v>0.00141761571251734</v>
      </c>
      <c r="I34" s="386">
        <f t="shared" si="29"/>
        <v>0.00141761571251734</v>
      </c>
      <c r="J34" s="386">
        <f t="shared" si="30"/>
        <v>0.00141761571251734</v>
      </c>
      <c r="K34" s="378"/>
      <c r="L34" s="370"/>
      <c r="M34" s="370"/>
      <c r="N34" s="385" t="s">
        <v>4865</v>
      </c>
      <c r="O34" s="363">
        <f t="shared" ref="O34:Z34" si="34">O18*$G$34</f>
        <v>31.8064766954665</v>
      </c>
      <c r="P34" s="363">
        <f t="shared" si="34"/>
        <v>95.4194300863996</v>
      </c>
      <c r="Q34" s="363">
        <f t="shared" si="34"/>
        <v>190.838860172799</v>
      </c>
      <c r="R34" s="363">
        <f t="shared" si="34"/>
        <v>318.064766954666</v>
      </c>
      <c r="S34" s="363">
        <f t="shared" si="34"/>
        <v>190.838860172799</v>
      </c>
      <c r="T34" s="363">
        <f t="shared" si="34"/>
        <v>763.355440691197</v>
      </c>
      <c r="U34" s="363">
        <f t="shared" si="34"/>
        <v>954.194300863996</v>
      </c>
      <c r="V34" s="363">
        <f t="shared" si="34"/>
        <v>954.194300863996</v>
      </c>
      <c r="W34" s="363">
        <f t="shared" si="34"/>
        <v>508.903627127465</v>
      </c>
      <c r="X34" s="363">
        <f t="shared" si="34"/>
        <v>318.064766954666</v>
      </c>
      <c r="Y34" s="363">
        <f t="shared" si="34"/>
        <v>508.903627127465</v>
      </c>
      <c r="Z34" s="363">
        <f t="shared" si="34"/>
        <v>763.355440691197</v>
      </c>
    </row>
    <row r="35" spans="2:26">
      <c r="B35" s="385" t="s">
        <v>4866</v>
      </c>
      <c r="C35" s="377"/>
      <c r="D35" s="354">
        <f t="shared" si="32"/>
        <v>169.0951672231</v>
      </c>
      <c r="E35" s="359">
        <f t="shared" si="6"/>
        <v>4.28214611654972e-5</v>
      </c>
      <c r="F35" s="360"/>
      <c r="G35" s="355">
        <v>4.28214611654972e-5</v>
      </c>
      <c r="H35" s="386">
        <f t="shared" si="24"/>
        <v>4.28214611654972e-5</v>
      </c>
      <c r="I35" s="386">
        <f t="shared" si="29"/>
        <v>4.28214611654972e-5</v>
      </c>
      <c r="J35" s="386">
        <f t="shared" si="30"/>
        <v>4.28214611654972e-5</v>
      </c>
      <c r="K35" s="378"/>
      <c r="L35" s="370"/>
      <c r="M35" s="370"/>
      <c r="N35" s="385" t="s">
        <v>4866</v>
      </c>
      <c r="O35" s="363">
        <f t="shared" ref="O35:Z35" si="35">O18*$G$35</f>
        <v>0.960767995585794</v>
      </c>
      <c r="P35" s="363">
        <f t="shared" si="35"/>
        <v>2.88230398675738</v>
      </c>
      <c r="Q35" s="363">
        <f t="shared" si="35"/>
        <v>5.76460797351477</v>
      </c>
      <c r="R35" s="363">
        <f t="shared" si="35"/>
        <v>9.60767995585794</v>
      </c>
      <c r="S35" s="363">
        <f t="shared" si="35"/>
        <v>5.76460797351477</v>
      </c>
      <c r="T35" s="363">
        <f t="shared" si="35"/>
        <v>23.0584318940591</v>
      </c>
      <c r="U35" s="363">
        <f t="shared" si="35"/>
        <v>28.8230398675738</v>
      </c>
      <c r="V35" s="363">
        <f t="shared" si="35"/>
        <v>28.8230398675738</v>
      </c>
      <c r="W35" s="363">
        <f t="shared" si="35"/>
        <v>15.3722879293727</v>
      </c>
      <c r="X35" s="363">
        <f t="shared" si="35"/>
        <v>9.60767995585794</v>
      </c>
      <c r="Y35" s="363">
        <f t="shared" si="35"/>
        <v>15.3722879293727</v>
      </c>
      <c r="Z35" s="363">
        <f t="shared" si="35"/>
        <v>23.0584318940591</v>
      </c>
    </row>
    <row r="36" spans="2:26">
      <c r="B36" s="385" t="s">
        <v>4867</v>
      </c>
      <c r="C36" s="377"/>
      <c r="D36" s="354">
        <f t="shared" si="32"/>
        <v>2849.20444556315</v>
      </c>
      <c r="E36" s="359">
        <f t="shared" si="6"/>
        <v>0.000721529181004159</v>
      </c>
      <c r="F36" s="360"/>
      <c r="G36" s="355">
        <v>0.000721529181004159</v>
      </c>
      <c r="H36" s="386">
        <f t="shared" si="24"/>
        <v>0.000721529181004159</v>
      </c>
      <c r="I36" s="386">
        <f t="shared" si="29"/>
        <v>0.000721529181004159</v>
      </c>
      <c r="J36" s="386">
        <f t="shared" si="30"/>
        <v>0.000721529181004159</v>
      </c>
      <c r="K36" s="378" t="s">
        <v>4868</v>
      </c>
      <c r="L36" s="370"/>
      <c r="M36" s="370"/>
      <c r="N36" s="385" t="s">
        <v>4867</v>
      </c>
      <c r="O36" s="363">
        <f t="shared" ref="O36:Z36" si="36">O18*$G$36</f>
        <v>16.1886616225179</v>
      </c>
      <c r="P36" s="363">
        <f t="shared" si="36"/>
        <v>48.5659848675537</v>
      </c>
      <c r="Q36" s="363">
        <f t="shared" si="36"/>
        <v>97.1319697351075</v>
      </c>
      <c r="R36" s="363">
        <f t="shared" si="36"/>
        <v>161.886616225179</v>
      </c>
      <c r="S36" s="363">
        <f t="shared" si="36"/>
        <v>97.1319697351075</v>
      </c>
      <c r="T36" s="363">
        <f t="shared" si="36"/>
        <v>388.52787894043</v>
      </c>
      <c r="U36" s="363">
        <f t="shared" si="36"/>
        <v>485.659848675537</v>
      </c>
      <c r="V36" s="363">
        <f t="shared" si="36"/>
        <v>485.659848675537</v>
      </c>
      <c r="W36" s="363">
        <f t="shared" si="36"/>
        <v>259.018585960287</v>
      </c>
      <c r="X36" s="363">
        <f t="shared" si="36"/>
        <v>161.886616225179</v>
      </c>
      <c r="Y36" s="363">
        <f t="shared" si="36"/>
        <v>259.018585960287</v>
      </c>
      <c r="Z36" s="363">
        <f t="shared" si="36"/>
        <v>388.52787894043</v>
      </c>
    </row>
    <row r="37" spans="2:26">
      <c r="B37" s="385" t="s">
        <v>4869</v>
      </c>
      <c r="C37" s="377"/>
      <c r="D37" s="354">
        <f t="shared" si="32"/>
        <v>225.460222964133</v>
      </c>
      <c r="E37" s="359">
        <f t="shared" si="6"/>
        <v>5.70952815539963e-5</v>
      </c>
      <c r="F37" s="360">
        <v>0.00749896664625493</v>
      </c>
      <c r="G37" s="355">
        <v>5.70952815539963e-5</v>
      </c>
      <c r="H37" s="386">
        <f t="shared" si="24"/>
        <v>5.70952815539963e-5</v>
      </c>
      <c r="I37" s="386">
        <f t="shared" si="29"/>
        <v>5.70952815539963e-5</v>
      </c>
      <c r="J37" s="386">
        <f t="shared" si="30"/>
        <v>5.70952815539963e-5</v>
      </c>
      <c r="K37" s="387"/>
      <c r="L37" s="388"/>
      <c r="M37" s="370"/>
      <c r="N37" s="385" t="s">
        <v>4869</v>
      </c>
      <c r="O37" s="363">
        <f>O18*$G$37</f>
        <v>1.28102399411439</v>
      </c>
      <c r="P37" s="363">
        <f t="shared" ref="P37:Z37" si="37">P$18*$G37</f>
        <v>3.84307198234318</v>
      </c>
      <c r="Q37" s="363">
        <f t="shared" si="37"/>
        <v>7.68614396468636</v>
      </c>
      <c r="R37" s="363">
        <f t="shared" si="37"/>
        <v>12.8102399411439</v>
      </c>
      <c r="S37" s="363">
        <f t="shared" si="37"/>
        <v>7.68614396468636</v>
      </c>
      <c r="T37" s="363">
        <f t="shared" si="37"/>
        <v>30.7445758587454</v>
      </c>
      <c r="U37" s="363">
        <f t="shared" si="37"/>
        <v>38.4307198234318</v>
      </c>
      <c r="V37" s="363">
        <f t="shared" si="37"/>
        <v>38.4307198234318</v>
      </c>
      <c r="W37" s="363">
        <f t="shared" si="37"/>
        <v>20.4963839058303</v>
      </c>
      <c r="X37" s="363">
        <f t="shared" si="37"/>
        <v>12.8102399411439</v>
      </c>
      <c r="Y37" s="363">
        <f t="shared" si="37"/>
        <v>20.4963839058303</v>
      </c>
      <c r="Z37" s="363">
        <f t="shared" si="37"/>
        <v>30.7445758587454</v>
      </c>
    </row>
    <row r="38" spans="2:26">
      <c r="B38" s="385" t="s">
        <v>4870</v>
      </c>
      <c r="C38" s="377"/>
      <c r="D38" s="354">
        <f t="shared" si="32"/>
        <v>872.24923759249</v>
      </c>
      <c r="E38" s="359">
        <f t="shared" si="6"/>
        <v>0.000220887370512023</v>
      </c>
      <c r="F38" s="360">
        <v>0.00232881930648565</v>
      </c>
      <c r="G38" s="355">
        <v>0.000220887370512023</v>
      </c>
      <c r="H38" s="386">
        <f t="shared" si="24"/>
        <v>0.000220887370512023</v>
      </c>
      <c r="I38" s="386">
        <f t="shared" si="29"/>
        <v>0.000220887370512023</v>
      </c>
      <c r="J38" s="386">
        <f t="shared" si="30"/>
        <v>0.000220887370512023</v>
      </c>
      <c r="K38" s="387"/>
      <c r="L38" s="388"/>
      <c r="M38" s="370"/>
      <c r="N38" s="385" t="s">
        <v>4870</v>
      </c>
      <c r="O38" s="363">
        <f t="shared" ref="O38:Z38" si="38">O18*$G$38</f>
        <v>4.95596157723005</v>
      </c>
      <c r="P38" s="363">
        <f t="shared" si="38"/>
        <v>14.8678847316902</v>
      </c>
      <c r="Q38" s="363">
        <f t="shared" si="38"/>
        <v>29.7357694633803</v>
      </c>
      <c r="R38" s="363">
        <f t="shared" si="38"/>
        <v>49.5596157723005</v>
      </c>
      <c r="S38" s="363">
        <f t="shared" si="38"/>
        <v>29.7357694633803</v>
      </c>
      <c r="T38" s="363">
        <f t="shared" si="38"/>
        <v>118.943077853521</v>
      </c>
      <c r="U38" s="363">
        <f t="shared" si="38"/>
        <v>148.678847316902</v>
      </c>
      <c r="V38" s="363">
        <f t="shared" si="38"/>
        <v>148.678847316902</v>
      </c>
      <c r="W38" s="363">
        <f t="shared" si="38"/>
        <v>79.2953852356809</v>
      </c>
      <c r="X38" s="363">
        <f t="shared" si="38"/>
        <v>49.5596157723005</v>
      </c>
      <c r="Y38" s="363">
        <f t="shared" si="38"/>
        <v>79.2953852356809</v>
      </c>
      <c r="Z38" s="363">
        <f t="shared" si="38"/>
        <v>118.943077853521</v>
      </c>
    </row>
    <row r="39" spans="2:26">
      <c r="B39" s="385" t="s">
        <v>4871</v>
      </c>
      <c r="C39" s="346"/>
      <c r="D39" s="354">
        <f t="shared" si="32"/>
        <v>169.0951672231</v>
      </c>
      <c r="E39" s="359">
        <f t="shared" si="6"/>
        <v>4.28214611654972e-5</v>
      </c>
      <c r="F39" s="360">
        <v>0</v>
      </c>
      <c r="G39" s="355">
        <v>4.28214611654972e-5</v>
      </c>
      <c r="H39" s="386">
        <f t="shared" si="24"/>
        <v>4.28214611654972e-5</v>
      </c>
      <c r="I39" s="386">
        <f t="shared" si="29"/>
        <v>4.28214611654972e-5</v>
      </c>
      <c r="J39" s="386">
        <f t="shared" si="30"/>
        <v>4.28214611654972e-5</v>
      </c>
      <c r="K39" s="356"/>
      <c r="L39" s="357"/>
      <c r="M39" s="357"/>
      <c r="N39" s="385" t="s">
        <v>4871</v>
      </c>
      <c r="O39" s="363">
        <f>$O$18*G39</f>
        <v>0.960767995585794</v>
      </c>
      <c r="P39" s="363">
        <f t="shared" ref="P39:Z39" si="39">P$18*$G39</f>
        <v>2.88230398675738</v>
      </c>
      <c r="Q39" s="363">
        <f t="shared" si="39"/>
        <v>5.76460797351477</v>
      </c>
      <c r="R39" s="363">
        <f t="shared" si="39"/>
        <v>9.60767995585794</v>
      </c>
      <c r="S39" s="363">
        <f t="shared" si="39"/>
        <v>5.76460797351477</v>
      </c>
      <c r="T39" s="363">
        <f t="shared" si="39"/>
        <v>23.0584318940591</v>
      </c>
      <c r="U39" s="363">
        <f t="shared" si="39"/>
        <v>28.8230398675738</v>
      </c>
      <c r="V39" s="363">
        <f t="shared" si="39"/>
        <v>28.8230398675738</v>
      </c>
      <c r="W39" s="363">
        <f t="shared" si="39"/>
        <v>15.3722879293727</v>
      </c>
      <c r="X39" s="363">
        <f t="shared" si="39"/>
        <v>9.60767995585794</v>
      </c>
      <c r="Y39" s="363">
        <f t="shared" si="39"/>
        <v>15.3722879293727</v>
      </c>
      <c r="Z39" s="363">
        <f t="shared" si="39"/>
        <v>23.0584318940591</v>
      </c>
    </row>
    <row r="40" spans="2:26">
      <c r="B40" s="385" t="s">
        <v>4872</v>
      </c>
      <c r="C40" s="346"/>
      <c r="D40" s="354">
        <f t="shared" si="32"/>
        <v>1775.49925584255</v>
      </c>
      <c r="E40" s="359">
        <f t="shared" si="6"/>
        <v>0.000449625342237721</v>
      </c>
      <c r="F40" s="360"/>
      <c r="G40" s="355">
        <v>0.000449625342237721</v>
      </c>
      <c r="H40" s="386">
        <f t="shared" si="24"/>
        <v>0.000449625342237721</v>
      </c>
      <c r="I40" s="386">
        <f t="shared" si="29"/>
        <v>0.000449625342237721</v>
      </c>
      <c r="J40" s="386">
        <f t="shared" si="30"/>
        <v>0.000449625342237721</v>
      </c>
      <c r="K40" s="356"/>
      <c r="L40" s="357"/>
      <c r="M40" s="357"/>
      <c r="N40" s="385" t="s">
        <v>4872</v>
      </c>
      <c r="O40" s="389">
        <f t="shared" ref="O40:Z40" si="40">O18*$G$40</f>
        <v>10.0880639536509</v>
      </c>
      <c r="P40" s="389">
        <f t="shared" si="40"/>
        <v>30.2641918609525</v>
      </c>
      <c r="Q40" s="389">
        <f t="shared" si="40"/>
        <v>60.5283837219051</v>
      </c>
      <c r="R40" s="389">
        <f t="shared" si="40"/>
        <v>100.880639536509</v>
      </c>
      <c r="S40" s="389">
        <f t="shared" si="40"/>
        <v>60.5283837219051</v>
      </c>
      <c r="T40" s="389">
        <f t="shared" si="40"/>
        <v>242.11353488762</v>
      </c>
      <c r="U40" s="389">
        <f t="shared" si="40"/>
        <v>302.641918609526</v>
      </c>
      <c r="V40" s="389">
        <f t="shared" si="40"/>
        <v>302.641918609526</v>
      </c>
      <c r="W40" s="389">
        <f t="shared" si="40"/>
        <v>161.409023258414</v>
      </c>
      <c r="X40" s="389">
        <f t="shared" si="40"/>
        <v>100.880639536509</v>
      </c>
      <c r="Y40" s="389">
        <f t="shared" si="40"/>
        <v>161.409023258414</v>
      </c>
      <c r="Z40" s="389">
        <f t="shared" si="40"/>
        <v>242.11353488762</v>
      </c>
    </row>
    <row r="41" spans="2:26">
      <c r="B41" s="385" t="s">
        <v>4873</v>
      </c>
      <c r="C41" s="377"/>
      <c r="D41" s="354">
        <f t="shared" si="32"/>
        <v>0</v>
      </c>
      <c r="E41" s="359">
        <f t="shared" si="6"/>
        <v>0</v>
      </c>
      <c r="F41" s="360">
        <v>0.00110384180762023</v>
      </c>
      <c r="G41" s="367">
        <v>0</v>
      </c>
      <c r="H41" s="386">
        <f t="shared" si="24"/>
        <v>0</v>
      </c>
      <c r="I41" s="386">
        <f t="shared" si="29"/>
        <v>0</v>
      </c>
      <c r="J41" s="386">
        <f t="shared" si="30"/>
        <v>0</v>
      </c>
      <c r="K41" s="378" t="s">
        <v>4874</v>
      </c>
      <c r="L41" s="370"/>
      <c r="M41" s="370"/>
      <c r="N41" s="385" t="s">
        <v>4873</v>
      </c>
      <c r="O41" s="390">
        <f t="shared" ref="O41:Z41" si="41">O18*$G$41</f>
        <v>0</v>
      </c>
      <c r="P41" s="390">
        <f t="shared" si="41"/>
        <v>0</v>
      </c>
      <c r="Q41" s="390">
        <f t="shared" si="41"/>
        <v>0</v>
      </c>
      <c r="R41" s="390">
        <f t="shared" si="41"/>
        <v>0</v>
      </c>
      <c r="S41" s="390">
        <f t="shared" si="41"/>
        <v>0</v>
      </c>
      <c r="T41" s="390">
        <f t="shared" si="41"/>
        <v>0</v>
      </c>
      <c r="U41" s="390">
        <f t="shared" si="41"/>
        <v>0</v>
      </c>
      <c r="V41" s="390">
        <f t="shared" si="41"/>
        <v>0</v>
      </c>
      <c r="W41" s="390">
        <f t="shared" si="41"/>
        <v>0</v>
      </c>
      <c r="X41" s="390">
        <f t="shared" si="41"/>
        <v>0</v>
      </c>
      <c r="Y41" s="390">
        <f t="shared" si="41"/>
        <v>0</v>
      </c>
      <c r="Z41" s="390">
        <f t="shared" si="41"/>
        <v>0</v>
      </c>
    </row>
    <row r="42" spans="2:26">
      <c r="B42" s="385" t="s">
        <v>4875</v>
      </c>
      <c r="C42" s="377"/>
      <c r="D42" s="354">
        <f t="shared" si="32"/>
        <v>101.45710033386</v>
      </c>
      <c r="E42" s="359">
        <f t="shared" si="6"/>
        <v>2.56928766992983e-5</v>
      </c>
      <c r="F42" s="360">
        <v>0.0119634201987296</v>
      </c>
      <c r="G42" s="367">
        <v>2.56928766992983e-5</v>
      </c>
      <c r="H42" s="386">
        <f t="shared" si="24"/>
        <v>2.56928766992983e-5</v>
      </c>
      <c r="I42" s="386">
        <f t="shared" si="29"/>
        <v>2.56928766992983e-5</v>
      </c>
      <c r="J42" s="386">
        <f t="shared" si="30"/>
        <v>2.56928766992983e-5</v>
      </c>
      <c r="K42" s="378" t="s">
        <v>4874</v>
      </c>
      <c r="L42" s="370"/>
      <c r="M42" s="370"/>
      <c r="N42" s="385" t="s">
        <v>4875</v>
      </c>
      <c r="O42" s="389">
        <f t="shared" ref="O42:Z42" si="42">O18*$G$42</f>
        <v>0.576460797351476</v>
      </c>
      <c r="P42" s="389">
        <f t="shared" si="42"/>
        <v>1.72938239205443</v>
      </c>
      <c r="Q42" s="389">
        <f t="shared" si="42"/>
        <v>3.45876478410886</v>
      </c>
      <c r="R42" s="389">
        <f t="shared" si="42"/>
        <v>5.76460797351476</v>
      </c>
      <c r="S42" s="389">
        <f t="shared" si="42"/>
        <v>3.45876478410886</v>
      </c>
      <c r="T42" s="389">
        <f t="shared" si="42"/>
        <v>13.8350591364354</v>
      </c>
      <c r="U42" s="389">
        <f t="shared" si="42"/>
        <v>17.2938239205443</v>
      </c>
      <c r="V42" s="389">
        <f t="shared" si="42"/>
        <v>17.2938239205443</v>
      </c>
      <c r="W42" s="389">
        <f t="shared" si="42"/>
        <v>9.22337275762362</v>
      </c>
      <c r="X42" s="389">
        <f t="shared" si="42"/>
        <v>5.76460797351476</v>
      </c>
      <c r="Y42" s="389">
        <f t="shared" si="42"/>
        <v>9.22337275762362</v>
      </c>
      <c r="Z42" s="389">
        <f t="shared" si="42"/>
        <v>13.8350591364354</v>
      </c>
    </row>
    <row r="43" spans="2:26">
      <c r="B43" s="385" t="s">
        <v>4876</v>
      </c>
      <c r="C43" s="346"/>
      <c r="D43" s="354">
        <f t="shared" si="32"/>
        <v>179.748162758155</v>
      </c>
      <c r="E43" s="359">
        <f t="shared" si="6"/>
        <v>4.55192132189235e-5</v>
      </c>
      <c r="F43" s="360"/>
      <c r="G43" s="355">
        <v>4.55192132189235e-5</v>
      </c>
      <c r="H43" s="386">
        <f t="shared" si="24"/>
        <v>4.55192132189235e-5</v>
      </c>
      <c r="I43" s="386">
        <f t="shared" si="29"/>
        <v>4.55192132189235e-5</v>
      </c>
      <c r="J43" s="386">
        <f t="shared" si="30"/>
        <v>4.55192132189235e-5</v>
      </c>
      <c r="K43" s="356"/>
      <c r="L43" s="357"/>
      <c r="M43" s="357"/>
      <c r="N43" s="385" t="s">
        <v>4876</v>
      </c>
      <c r="O43" s="389">
        <f>O18*$G$43</f>
        <v>1.0212963793077</v>
      </c>
      <c r="P43" s="389">
        <f t="shared" ref="P43:P49" si="43">$P$18*G43</f>
        <v>3.0638891379231</v>
      </c>
      <c r="Q43" s="389">
        <f t="shared" ref="Q43:Q49" si="44">$Q$18*G43</f>
        <v>6.12777827584619</v>
      </c>
      <c r="R43" s="389">
        <f t="shared" ref="R43:R49" si="45">$R$18*G43</f>
        <v>10.212963793077</v>
      </c>
      <c r="S43" s="389">
        <f t="shared" ref="S43:S49" si="46">$S$18*G43</f>
        <v>6.12777827584619</v>
      </c>
      <c r="T43" s="389">
        <f t="shared" ref="T43:T49" si="47">$T$18*G43</f>
        <v>24.5111131033848</v>
      </c>
      <c r="U43" s="391">
        <f t="shared" ref="U43:U49" si="48">$U$18*G43</f>
        <v>30.638891379231</v>
      </c>
      <c r="V43" s="389">
        <f t="shared" ref="V43:V49" si="49">$V$18*G43</f>
        <v>30.638891379231</v>
      </c>
      <c r="W43" s="389">
        <f t="shared" ref="W43:W49" si="50">$W$18*G43</f>
        <v>16.3407420689232</v>
      </c>
      <c r="X43" s="389">
        <f t="shared" ref="X43:X49" si="51">$X$18*G43</f>
        <v>10.212963793077</v>
      </c>
      <c r="Y43" s="389">
        <f t="shared" ref="Y43:Y49" si="52">$Y$18*G43</f>
        <v>16.3407420689232</v>
      </c>
      <c r="Z43" s="389">
        <f t="shared" ref="Z43:Z49" si="53">$Z$18*G43</f>
        <v>24.5111131033848</v>
      </c>
    </row>
    <row r="44" spans="2:26">
      <c r="B44" s="385" t="s">
        <v>4877</v>
      </c>
      <c r="C44" s="392"/>
      <c r="D44" s="354">
        <f t="shared" si="32"/>
        <v>1056.84479514437</v>
      </c>
      <c r="E44" s="359">
        <f t="shared" si="6"/>
        <v>0.000267634132284357</v>
      </c>
      <c r="F44" s="360">
        <v>0</v>
      </c>
      <c r="G44" s="355">
        <v>0.000267634132284357</v>
      </c>
      <c r="H44" s="386">
        <f t="shared" si="24"/>
        <v>0.000267634132284357</v>
      </c>
      <c r="I44" s="386">
        <f t="shared" si="29"/>
        <v>0.000267634132284357</v>
      </c>
      <c r="J44" s="386">
        <f t="shared" si="30"/>
        <v>0.000267634132284357</v>
      </c>
      <c r="K44" s="378"/>
      <c r="L44" s="370"/>
      <c r="M44" s="370"/>
      <c r="N44" s="385" t="s">
        <v>4877</v>
      </c>
      <c r="O44" s="389">
        <f t="shared" ref="O44:O49" si="54">$O$18*G44</f>
        <v>6.0047999724112</v>
      </c>
      <c r="P44" s="389">
        <f t="shared" si="43"/>
        <v>18.0143999172336</v>
      </c>
      <c r="Q44" s="389">
        <f t="shared" si="44"/>
        <v>36.0287998344672</v>
      </c>
      <c r="R44" s="389">
        <f t="shared" si="45"/>
        <v>60.047999724112</v>
      </c>
      <c r="S44" s="389">
        <f t="shared" si="46"/>
        <v>36.0287998344672</v>
      </c>
      <c r="T44" s="389">
        <f t="shared" si="47"/>
        <v>144.115199337869</v>
      </c>
      <c r="U44" s="391">
        <f t="shared" si="48"/>
        <v>180.143999172336</v>
      </c>
      <c r="V44" s="389">
        <f t="shared" si="49"/>
        <v>180.143999172336</v>
      </c>
      <c r="W44" s="389">
        <f t="shared" si="50"/>
        <v>96.0767995585793</v>
      </c>
      <c r="X44" s="389">
        <f t="shared" si="51"/>
        <v>60.047999724112</v>
      </c>
      <c r="Y44" s="389">
        <f t="shared" si="52"/>
        <v>96.0767995585793</v>
      </c>
      <c r="Z44" s="389">
        <f t="shared" si="53"/>
        <v>144.115199337869</v>
      </c>
    </row>
    <row r="45" spans="2:26">
      <c r="B45" s="385" t="s">
        <v>4878</v>
      </c>
      <c r="C45" s="377"/>
      <c r="D45" s="354">
        <f t="shared" si="32"/>
        <v>11483.8164566781</v>
      </c>
      <c r="E45" s="359">
        <f t="shared" si="6"/>
        <v>0.0029081481659528</v>
      </c>
      <c r="F45" s="360">
        <v>0</v>
      </c>
      <c r="G45" s="355">
        <v>0.0029081481659528</v>
      </c>
      <c r="H45" s="386">
        <f t="shared" si="24"/>
        <v>0.0029081481659528</v>
      </c>
      <c r="I45" s="386">
        <f t="shared" si="29"/>
        <v>0.0029081481659528</v>
      </c>
      <c r="J45" s="386">
        <f t="shared" si="30"/>
        <v>0.0029081481659528</v>
      </c>
      <c r="K45" s="378"/>
      <c r="L45" s="370"/>
      <c r="M45" s="370"/>
      <c r="N45" s="385" t="s">
        <v>4878</v>
      </c>
      <c r="O45" s="389">
        <f t="shared" si="54"/>
        <v>65.2489571402166</v>
      </c>
      <c r="P45" s="389">
        <f t="shared" si="43"/>
        <v>195.74687142065</v>
      </c>
      <c r="Q45" s="389">
        <f t="shared" si="44"/>
        <v>391.493742841299</v>
      </c>
      <c r="R45" s="389">
        <f t="shared" si="45"/>
        <v>652.489571402166</v>
      </c>
      <c r="S45" s="389">
        <f t="shared" si="46"/>
        <v>391.493742841299</v>
      </c>
      <c r="T45" s="389">
        <f t="shared" si="47"/>
        <v>1565.9749713652</v>
      </c>
      <c r="U45" s="391">
        <f t="shared" si="48"/>
        <v>1957.4687142065</v>
      </c>
      <c r="V45" s="389">
        <f t="shared" si="49"/>
        <v>1957.4687142065</v>
      </c>
      <c r="W45" s="389">
        <f t="shared" si="50"/>
        <v>1043.98331424347</v>
      </c>
      <c r="X45" s="389">
        <f t="shared" si="51"/>
        <v>652.489571402166</v>
      </c>
      <c r="Y45" s="389">
        <f t="shared" si="52"/>
        <v>1043.98331424347</v>
      </c>
      <c r="Z45" s="389">
        <f t="shared" si="53"/>
        <v>1565.9749713652</v>
      </c>
    </row>
    <row r="46" spans="2:26">
      <c r="B46" s="385" t="s">
        <v>4879</v>
      </c>
      <c r="C46" s="392"/>
      <c r="D46" s="354">
        <f t="shared" si="32"/>
        <v>2591.1016124153</v>
      </c>
      <c r="E46" s="359">
        <f t="shared" si="6"/>
        <v>0.000656167523259302</v>
      </c>
      <c r="F46" s="360">
        <v>0</v>
      </c>
      <c r="G46" s="355">
        <v>0.000656167523259302</v>
      </c>
      <c r="H46" s="386">
        <f t="shared" si="24"/>
        <v>0.000656167523259302</v>
      </c>
      <c r="I46" s="386">
        <f t="shared" si="29"/>
        <v>0.000656167523259302</v>
      </c>
      <c r="J46" s="386">
        <f t="shared" si="30"/>
        <v>0.000656167523259302</v>
      </c>
      <c r="K46" s="378"/>
      <c r="L46" s="370"/>
      <c r="M46" s="370"/>
      <c r="N46" s="385" t="s">
        <v>4879</v>
      </c>
      <c r="O46" s="389">
        <f t="shared" si="54"/>
        <v>14.7221682523597</v>
      </c>
      <c r="P46" s="389">
        <f t="shared" si="43"/>
        <v>44.166504757079</v>
      </c>
      <c r="Q46" s="389">
        <f t="shared" si="44"/>
        <v>88.3330095141579</v>
      </c>
      <c r="R46" s="389">
        <f t="shared" si="45"/>
        <v>147.221682523597</v>
      </c>
      <c r="S46" s="389">
        <f t="shared" si="46"/>
        <v>88.3330095141579</v>
      </c>
      <c r="T46" s="389">
        <f t="shared" si="47"/>
        <v>353.332038056632</v>
      </c>
      <c r="U46" s="391">
        <f t="shared" si="48"/>
        <v>441.66504757079</v>
      </c>
      <c r="V46" s="389">
        <f t="shared" si="49"/>
        <v>441.66504757079</v>
      </c>
      <c r="W46" s="389">
        <f t="shared" si="50"/>
        <v>235.554692037754</v>
      </c>
      <c r="X46" s="389">
        <f t="shared" si="51"/>
        <v>147.221682523597</v>
      </c>
      <c r="Y46" s="389">
        <f t="shared" si="52"/>
        <v>235.554692037754</v>
      </c>
      <c r="Z46" s="389">
        <f t="shared" si="53"/>
        <v>353.332038056632</v>
      </c>
    </row>
    <row r="47" spans="2:26">
      <c r="B47" s="385" t="s">
        <v>4880</v>
      </c>
      <c r="C47" s="392"/>
      <c r="D47" s="354">
        <f t="shared" si="32"/>
        <v>2119.73474251697</v>
      </c>
      <c r="E47" s="359">
        <f t="shared" si="6"/>
        <v>0.000536799131805381</v>
      </c>
      <c r="F47" s="360">
        <v>0</v>
      </c>
      <c r="G47" s="355">
        <v>0.000536799131805381</v>
      </c>
      <c r="H47" s="386">
        <f t="shared" si="24"/>
        <v>0.000536799131805381</v>
      </c>
      <c r="I47" s="386">
        <f t="shared" si="29"/>
        <v>0.000536799131805381</v>
      </c>
      <c r="J47" s="386">
        <f t="shared" si="30"/>
        <v>0.000536799131805381</v>
      </c>
      <c r="K47" s="378"/>
      <c r="L47" s="370"/>
      <c r="M47" s="370"/>
      <c r="N47" s="385" t="s">
        <v>4880</v>
      </c>
      <c r="O47" s="389">
        <f t="shared" si="54"/>
        <v>12.0439474006646</v>
      </c>
      <c r="P47" s="389">
        <f t="shared" si="43"/>
        <v>36.1318422019938</v>
      </c>
      <c r="Q47" s="389">
        <f t="shared" si="44"/>
        <v>72.2636844039877</v>
      </c>
      <c r="R47" s="389">
        <f t="shared" si="45"/>
        <v>120.439474006646</v>
      </c>
      <c r="S47" s="389">
        <f t="shared" si="46"/>
        <v>72.2636844039877</v>
      </c>
      <c r="T47" s="389">
        <f t="shared" si="47"/>
        <v>289.054737615951</v>
      </c>
      <c r="U47" s="391">
        <f t="shared" si="48"/>
        <v>361.318422019938</v>
      </c>
      <c r="V47" s="389">
        <f t="shared" si="49"/>
        <v>361.318422019938</v>
      </c>
      <c r="W47" s="389">
        <f t="shared" si="50"/>
        <v>192.703158410634</v>
      </c>
      <c r="X47" s="389">
        <f t="shared" si="51"/>
        <v>120.439474006646</v>
      </c>
      <c r="Y47" s="389">
        <f t="shared" si="52"/>
        <v>192.703158410634</v>
      </c>
      <c r="Z47" s="389">
        <f t="shared" si="53"/>
        <v>289.054737615951</v>
      </c>
    </row>
    <row r="48" spans="2:26">
      <c r="B48" s="385" t="s">
        <v>4881</v>
      </c>
      <c r="C48" s="377"/>
      <c r="D48" s="354">
        <f t="shared" si="32"/>
        <v>270.55226755696</v>
      </c>
      <c r="E48" s="359">
        <f t="shared" si="6"/>
        <v>6.85143378647955e-5</v>
      </c>
      <c r="F48" s="360"/>
      <c r="G48" s="355">
        <v>6.85143378647955e-5</v>
      </c>
      <c r="H48" s="386">
        <f t="shared" si="24"/>
        <v>6.85143378647955e-5</v>
      </c>
      <c r="I48" s="386">
        <f t="shared" si="29"/>
        <v>6.85143378647955e-5</v>
      </c>
      <c r="J48" s="386">
        <f t="shared" si="30"/>
        <v>6.85143378647955e-5</v>
      </c>
      <c r="K48" s="378"/>
      <c r="L48" s="370"/>
      <c r="M48" s="370"/>
      <c r="N48" s="385" t="s">
        <v>4881</v>
      </c>
      <c r="O48" s="389">
        <f t="shared" si="54"/>
        <v>1.53722879293727</v>
      </c>
      <c r="P48" s="389">
        <f t="shared" si="43"/>
        <v>4.61168637881181</v>
      </c>
      <c r="Q48" s="389">
        <f t="shared" si="44"/>
        <v>9.22337275762362</v>
      </c>
      <c r="R48" s="389">
        <f t="shared" si="45"/>
        <v>15.3722879293727</v>
      </c>
      <c r="S48" s="389">
        <f t="shared" si="46"/>
        <v>9.22337275762362</v>
      </c>
      <c r="T48" s="389">
        <f t="shared" si="47"/>
        <v>36.8934910304945</v>
      </c>
      <c r="U48" s="391">
        <f t="shared" si="48"/>
        <v>46.1168637881181</v>
      </c>
      <c r="V48" s="389">
        <f t="shared" si="49"/>
        <v>46.1168637881181</v>
      </c>
      <c r="W48" s="389">
        <f t="shared" si="50"/>
        <v>24.5956606869963</v>
      </c>
      <c r="X48" s="389">
        <f t="shared" si="51"/>
        <v>15.3722879293727</v>
      </c>
      <c r="Y48" s="389">
        <f t="shared" si="52"/>
        <v>24.5956606869963</v>
      </c>
      <c r="Z48" s="389">
        <f t="shared" si="53"/>
        <v>36.8934910304945</v>
      </c>
    </row>
    <row r="49" spans="2:26">
      <c r="B49" s="385" t="s">
        <v>4882</v>
      </c>
      <c r="C49" s="377"/>
      <c r="D49" s="354">
        <f t="shared" si="32"/>
        <v>140.912639352583</v>
      </c>
      <c r="E49" s="359">
        <f t="shared" si="6"/>
        <v>3.56845509712477e-5</v>
      </c>
      <c r="F49" s="360">
        <v>0.0390524595705994</v>
      </c>
      <c r="G49" s="355">
        <v>3.56845509712477e-5</v>
      </c>
      <c r="H49" s="386">
        <f t="shared" si="24"/>
        <v>3.56845509712477e-5</v>
      </c>
      <c r="I49" s="386">
        <f t="shared" si="29"/>
        <v>3.56845509712477e-5</v>
      </c>
      <c r="J49" s="386">
        <f t="shared" si="30"/>
        <v>3.56845509712477e-5</v>
      </c>
      <c r="K49" s="378"/>
      <c r="L49" s="370"/>
      <c r="M49" s="370"/>
      <c r="N49" s="385" t="s">
        <v>4882</v>
      </c>
      <c r="O49" s="389">
        <f t="shared" si="54"/>
        <v>0.800639996321496</v>
      </c>
      <c r="P49" s="389">
        <f t="shared" si="43"/>
        <v>2.40191998896449</v>
      </c>
      <c r="Q49" s="389">
        <f t="shared" si="44"/>
        <v>4.80383997792898</v>
      </c>
      <c r="R49" s="389">
        <f t="shared" si="45"/>
        <v>8.00639996321496</v>
      </c>
      <c r="S49" s="389">
        <f t="shared" si="46"/>
        <v>4.80383997792898</v>
      </c>
      <c r="T49" s="389">
        <f t="shared" si="47"/>
        <v>19.2153599117159</v>
      </c>
      <c r="U49" s="391">
        <f t="shared" si="48"/>
        <v>24.0191998896449</v>
      </c>
      <c r="V49" s="389">
        <f t="shared" si="49"/>
        <v>24.0191998896449</v>
      </c>
      <c r="W49" s="389">
        <f t="shared" si="50"/>
        <v>12.8102399411439</v>
      </c>
      <c r="X49" s="389">
        <f t="shared" si="51"/>
        <v>8.00639996321496</v>
      </c>
      <c r="Y49" s="389">
        <f t="shared" si="52"/>
        <v>12.8102399411439</v>
      </c>
      <c r="Z49" s="389">
        <f t="shared" si="53"/>
        <v>19.2153599117159</v>
      </c>
    </row>
    <row r="50" ht="18" spans="2:26">
      <c r="B50" s="353" t="s">
        <v>4883</v>
      </c>
      <c r="C50" s="346"/>
      <c r="D50" s="347">
        <f t="shared" si="32"/>
        <v>92962.0432746383</v>
      </c>
      <c r="E50" s="339">
        <f t="shared" si="6"/>
        <v>0.0235415984461464</v>
      </c>
      <c r="F50" s="348">
        <v>0</v>
      </c>
      <c r="G50" s="393">
        <f t="shared" ref="G50:J50" si="55">SUM(G51:G66)</f>
        <v>0.0235415984461464</v>
      </c>
      <c r="H50" s="393">
        <f t="shared" si="55"/>
        <v>0.0235415984461464</v>
      </c>
      <c r="I50" s="393">
        <f t="shared" si="55"/>
        <v>0.0235415984461464</v>
      </c>
      <c r="J50" s="393">
        <f t="shared" si="55"/>
        <v>0.0235415984461464</v>
      </c>
      <c r="K50" s="356"/>
      <c r="L50" s="357"/>
      <c r="M50" s="357"/>
      <c r="N50" s="353" t="s">
        <v>4884</v>
      </c>
      <c r="O50" s="352">
        <f t="shared" ref="O50:Z50" si="56">SUM(O51:O66)</f>
        <v>528.193427696809</v>
      </c>
      <c r="P50" s="352">
        <f t="shared" si="56"/>
        <v>1584.58028309043</v>
      </c>
      <c r="Q50" s="352">
        <f t="shared" si="56"/>
        <v>3169.16056618085</v>
      </c>
      <c r="R50" s="352">
        <f t="shared" si="56"/>
        <v>5281.93427696809</v>
      </c>
      <c r="S50" s="352">
        <f t="shared" si="56"/>
        <v>3169.16056618085</v>
      </c>
      <c r="T50" s="352">
        <f t="shared" si="56"/>
        <v>12676.6422647234</v>
      </c>
      <c r="U50" s="352">
        <f t="shared" si="56"/>
        <v>15845.8028309043</v>
      </c>
      <c r="V50" s="352">
        <f t="shared" si="56"/>
        <v>15845.8028309043</v>
      </c>
      <c r="W50" s="352">
        <f t="shared" si="56"/>
        <v>8451.09484314894</v>
      </c>
      <c r="X50" s="352">
        <f t="shared" si="56"/>
        <v>5281.93427696809</v>
      </c>
      <c r="Y50" s="352">
        <f t="shared" si="56"/>
        <v>8451.09484314894</v>
      </c>
      <c r="Z50" s="352">
        <f t="shared" si="56"/>
        <v>12676.6422647234</v>
      </c>
    </row>
    <row r="51" spans="2:26">
      <c r="B51" s="385" t="s">
        <v>4885</v>
      </c>
      <c r="C51" s="377"/>
      <c r="D51" s="354">
        <f t="shared" si="32"/>
        <v>65633.7875708361</v>
      </c>
      <c r="E51" s="359">
        <f t="shared" si="6"/>
        <v>0.0166210231301342</v>
      </c>
      <c r="F51" s="360">
        <v>0</v>
      </c>
      <c r="G51" s="355">
        <v>0.0166210231301342</v>
      </c>
      <c r="H51" s="386">
        <f t="shared" ref="H51:H66" si="57">SUM(R51:T51)/SUM($R$18:$T$18)</f>
        <v>0.0166210231301342</v>
      </c>
      <c r="I51" s="386">
        <f t="shared" ref="I51:I66" si="58">SUM(U51:W51)/SUM($U$18:$W$18)</f>
        <v>0.0166210231301342</v>
      </c>
      <c r="J51" s="386">
        <f t="shared" ref="J51:J66" si="59">SUM(X51:Z51)/SUM($X$18:$Z$18)</f>
        <v>0.0166210231301342</v>
      </c>
      <c r="K51" s="378"/>
      <c r="L51" s="370"/>
      <c r="M51" s="370"/>
      <c r="N51" s="385" t="s">
        <v>4885</v>
      </c>
      <c r="O51" s="389">
        <f t="shared" ref="O51:O66" si="60">$O$18*G51</f>
        <v>372.919247561569</v>
      </c>
      <c r="P51" s="389">
        <f t="shared" ref="P51:P66" si="61">$P$18*G51</f>
        <v>1118.75774268471</v>
      </c>
      <c r="Q51" s="389">
        <f t="shared" ref="Q51:Q66" si="62">$Q$18*G51</f>
        <v>2237.51548536941</v>
      </c>
      <c r="R51" s="389">
        <f t="shared" ref="R51:R66" si="63">$R$18*G51</f>
        <v>3729.19247561569</v>
      </c>
      <c r="S51" s="389">
        <f t="shared" ref="S51:S66" si="64">$S$18*G51</f>
        <v>2237.51548536941</v>
      </c>
      <c r="T51" s="389">
        <f t="shared" ref="T51:T66" si="65">$T$18*G51</f>
        <v>8950.06194147765</v>
      </c>
      <c r="U51" s="391">
        <f t="shared" ref="U51:U66" si="66">$U$18*G51</f>
        <v>11187.5774268471</v>
      </c>
      <c r="V51" s="389">
        <f t="shared" ref="V51:V66" si="67">$V$18*G51</f>
        <v>11187.5774268471</v>
      </c>
      <c r="W51" s="389">
        <f t="shared" ref="W51:W66" si="68">$W$18*G51</f>
        <v>5966.7079609851</v>
      </c>
      <c r="X51" s="389">
        <f t="shared" ref="X51:X66" si="69">$X$18*G51</f>
        <v>3729.19247561569</v>
      </c>
      <c r="Y51" s="389">
        <f t="shared" ref="Y51:Y66" si="70">$Y$18*G51</f>
        <v>5966.7079609851</v>
      </c>
      <c r="Z51" s="389">
        <f t="shared" ref="Z51:Z66" si="71">$Z$18*G51</f>
        <v>8950.06194147765</v>
      </c>
    </row>
    <row r="52" spans="2:26">
      <c r="B52" s="385" t="s">
        <v>4886</v>
      </c>
      <c r="C52" s="346"/>
      <c r="D52" s="354">
        <f t="shared" si="32"/>
        <v>4848.71599063545</v>
      </c>
      <c r="E52" s="359">
        <f t="shared" si="6"/>
        <v>0.00122788313176083</v>
      </c>
      <c r="F52" s="360">
        <v>0</v>
      </c>
      <c r="G52" s="355">
        <v>0.00122788313176083</v>
      </c>
      <c r="H52" s="386">
        <f t="shared" si="57"/>
        <v>0.00122788313176083</v>
      </c>
      <c r="I52" s="386">
        <f t="shared" si="58"/>
        <v>0.00122788313176083</v>
      </c>
      <c r="J52" s="386">
        <f t="shared" si="59"/>
        <v>0.00122788313176083</v>
      </c>
      <c r="K52" s="378"/>
      <c r="L52" s="370"/>
      <c r="M52" s="357"/>
      <c r="N52" s="385" t="s">
        <v>4886</v>
      </c>
      <c r="O52" s="389">
        <f t="shared" si="60"/>
        <v>27.549522674065</v>
      </c>
      <c r="P52" s="389">
        <f t="shared" si="61"/>
        <v>82.6485680221951</v>
      </c>
      <c r="Q52" s="389">
        <f t="shared" si="62"/>
        <v>165.29713604439</v>
      </c>
      <c r="R52" s="389">
        <f t="shared" si="63"/>
        <v>275.49522674065</v>
      </c>
      <c r="S52" s="389">
        <f t="shared" si="64"/>
        <v>165.29713604439</v>
      </c>
      <c r="T52" s="389">
        <f t="shared" si="65"/>
        <v>661.188544177561</v>
      </c>
      <c r="U52" s="391">
        <f t="shared" si="66"/>
        <v>826.485680221951</v>
      </c>
      <c r="V52" s="389">
        <f t="shared" si="67"/>
        <v>826.485680221951</v>
      </c>
      <c r="W52" s="389">
        <f t="shared" si="68"/>
        <v>440.792362785041</v>
      </c>
      <c r="X52" s="389">
        <f t="shared" si="69"/>
        <v>275.49522674065</v>
      </c>
      <c r="Y52" s="389">
        <f t="shared" si="70"/>
        <v>440.792362785041</v>
      </c>
      <c r="Z52" s="389">
        <f t="shared" si="71"/>
        <v>661.188544177561</v>
      </c>
    </row>
    <row r="53" spans="2:26">
      <c r="B53" s="385" t="s">
        <v>4887</v>
      </c>
      <c r="C53" s="346"/>
      <c r="D53" s="354">
        <f t="shared" si="32"/>
        <v>169.0951672231</v>
      </c>
      <c r="E53" s="359">
        <f t="shared" si="6"/>
        <v>4.28214611654972e-5</v>
      </c>
      <c r="F53" s="360"/>
      <c r="G53" s="355">
        <v>4.28214611654972e-5</v>
      </c>
      <c r="H53" s="386">
        <f t="shared" si="57"/>
        <v>4.28214611654972e-5</v>
      </c>
      <c r="I53" s="386">
        <f t="shared" si="58"/>
        <v>4.28214611654972e-5</v>
      </c>
      <c r="J53" s="386">
        <f t="shared" si="59"/>
        <v>4.28214611654972e-5</v>
      </c>
      <c r="K53" s="356"/>
      <c r="L53" s="357"/>
      <c r="M53" s="357"/>
      <c r="N53" s="385" t="s">
        <v>4887</v>
      </c>
      <c r="O53" s="389">
        <f t="shared" si="60"/>
        <v>0.960767995585794</v>
      </c>
      <c r="P53" s="389">
        <f t="shared" si="61"/>
        <v>2.88230398675738</v>
      </c>
      <c r="Q53" s="389">
        <f t="shared" si="62"/>
        <v>5.76460797351477</v>
      </c>
      <c r="R53" s="389">
        <f t="shared" si="63"/>
        <v>9.60767995585794</v>
      </c>
      <c r="S53" s="389">
        <f t="shared" si="64"/>
        <v>5.76460797351477</v>
      </c>
      <c r="T53" s="389">
        <f t="shared" si="65"/>
        <v>23.0584318940591</v>
      </c>
      <c r="U53" s="391">
        <f t="shared" si="66"/>
        <v>28.8230398675738</v>
      </c>
      <c r="V53" s="389">
        <f t="shared" si="67"/>
        <v>28.8230398675738</v>
      </c>
      <c r="W53" s="389">
        <f t="shared" si="68"/>
        <v>15.3722879293727</v>
      </c>
      <c r="X53" s="389">
        <f t="shared" si="69"/>
        <v>9.60767995585794</v>
      </c>
      <c r="Y53" s="389">
        <f t="shared" si="70"/>
        <v>15.3722879293727</v>
      </c>
      <c r="Z53" s="389">
        <f t="shared" si="71"/>
        <v>23.0584318940591</v>
      </c>
    </row>
    <row r="54" spans="2:26">
      <c r="B54" s="385" t="s">
        <v>4888</v>
      </c>
      <c r="C54" s="346"/>
      <c r="D54" s="354">
        <f t="shared" si="32"/>
        <v>2013.30342601397</v>
      </c>
      <c r="E54" s="359">
        <f t="shared" si="6"/>
        <v>0.000509846590456798</v>
      </c>
      <c r="F54" s="360"/>
      <c r="G54" s="355">
        <v>0.000509846590456798</v>
      </c>
      <c r="H54" s="386">
        <f t="shared" si="57"/>
        <v>0.000509846590456798</v>
      </c>
      <c r="I54" s="386">
        <f t="shared" si="58"/>
        <v>0.000509846590456798</v>
      </c>
      <c r="J54" s="386">
        <f t="shared" si="59"/>
        <v>0.000509846590456798</v>
      </c>
      <c r="K54" s="356"/>
      <c r="L54" s="357"/>
      <c r="M54" s="357"/>
      <c r="N54" s="385" t="s">
        <v>4888</v>
      </c>
      <c r="O54" s="389">
        <f t="shared" si="60"/>
        <v>11.439224011443</v>
      </c>
      <c r="P54" s="389">
        <f t="shared" si="61"/>
        <v>34.317672034329</v>
      </c>
      <c r="Q54" s="389">
        <f t="shared" si="62"/>
        <v>68.635344068658</v>
      </c>
      <c r="R54" s="389">
        <f t="shared" si="63"/>
        <v>114.39224011443</v>
      </c>
      <c r="S54" s="389">
        <f t="shared" si="64"/>
        <v>68.635344068658</v>
      </c>
      <c r="T54" s="389">
        <f t="shared" si="65"/>
        <v>274.541376274632</v>
      </c>
      <c r="U54" s="391">
        <f t="shared" si="66"/>
        <v>343.17672034329</v>
      </c>
      <c r="V54" s="389">
        <f t="shared" si="67"/>
        <v>343.17672034329</v>
      </c>
      <c r="W54" s="389">
        <f t="shared" si="68"/>
        <v>183.027584183088</v>
      </c>
      <c r="X54" s="389">
        <f t="shared" si="69"/>
        <v>114.39224011443</v>
      </c>
      <c r="Y54" s="389">
        <f t="shared" si="70"/>
        <v>183.027584183088</v>
      </c>
      <c r="Z54" s="389">
        <f t="shared" si="71"/>
        <v>274.541376274632</v>
      </c>
    </row>
    <row r="55" spans="2:26">
      <c r="B55" s="385" t="s">
        <v>4889</v>
      </c>
      <c r="C55" s="377"/>
      <c r="D55" s="354">
        <f t="shared" si="32"/>
        <v>2620.97509195805</v>
      </c>
      <c r="E55" s="359">
        <f t="shared" si="6"/>
        <v>0.000663732648065207</v>
      </c>
      <c r="F55" s="360">
        <v>0.0355440116134983</v>
      </c>
      <c r="G55" s="355">
        <v>0.000663732648065207</v>
      </c>
      <c r="H55" s="386">
        <f t="shared" si="57"/>
        <v>0.000663732648065207</v>
      </c>
      <c r="I55" s="386">
        <f t="shared" si="58"/>
        <v>0.000663732648065207</v>
      </c>
      <c r="J55" s="386">
        <f t="shared" si="59"/>
        <v>0.000663732648065207</v>
      </c>
      <c r="K55" s="378"/>
      <c r="L55" s="370"/>
      <c r="M55" s="370"/>
      <c r="N55" s="385" t="s">
        <v>4889</v>
      </c>
      <c r="O55" s="389">
        <f t="shared" si="60"/>
        <v>14.8919039315798</v>
      </c>
      <c r="P55" s="389">
        <f t="shared" si="61"/>
        <v>44.6757117947395</v>
      </c>
      <c r="Q55" s="389">
        <f t="shared" si="62"/>
        <v>89.3514235894789</v>
      </c>
      <c r="R55" s="389">
        <f t="shared" si="63"/>
        <v>148.919039315798</v>
      </c>
      <c r="S55" s="389">
        <f t="shared" si="64"/>
        <v>89.3514235894789</v>
      </c>
      <c r="T55" s="389">
        <f t="shared" si="65"/>
        <v>357.405694357916</v>
      </c>
      <c r="U55" s="391">
        <f t="shared" si="66"/>
        <v>446.757117947395</v>
      </c>
      <c r="V55" s="389">
        <f t="shared" si="67"/>
        <v>446.757117947395</v>
      </c>
      <c r="W55" s="389">
        <f t="shared" si="68"/>
        <v>238.270462905277</v>
      </c>
      <c r="X55" s="389">
        <f t="shared" si="69"/>
        <v>148.919039315798</v>
      </c>
      <c r="Y55" s="389">
        <f t="shared" si="70"/>
        <v>238.270462905277</v>
      </c>
      <c r="Z55" s="389">
        <f t="shared" si="71"/>
        <v>357.405694357916</v>
      </c>
    </row>
    <row r="56" spans="2:26">
      <c r="B56" s="385" t="s">
        <v>4890</v>
      </c>
      <c r="C56" s="377"/>
      <c r="D56" s="354">
        <f t="shared" si="32"/>
        <v>2874.6178427927</v>
      </c>
      <c r="E56" s="359">
        <f t="shared" si="6"/>
        <v>0.000727964839813452</v>
      </c>
      <c r="F56" s="360">
        <v>0.000559971777424903</v>
      </c>
      <c r="G56" s="355">
        <v>0.000727964839813452</v>
      </c>
      <c r="H56" s="386">
        <f t="shared" si="57"/>
        <v>0.000727964839813452</v>
      </c>
      <c r="I56" s="386">
        <f t="shared" si="58"/>
        <v>0.000727964839813452</v>
      </c>
      <c r="J56" s="386">
        <f t="shared" si="59"/>
        <v>0.000727964839813452</v>
      </c>
      <c r="K56" s="378"/>
      <c r="L56" s="370"/>
      <c r="M56" s="370"/>
      <c r="N56" s="385" t="s">
        <v>4890</v>
      </c>
      <c r="O56" s="389">
        <f t="shared" si="60"/>
        <v>16.3330559249585</v>
      </c>
      <c r="P56" s="389">
        <f t="shared" si="61"/>
        <v>48.9991677748755</v>
      </c>
      <c r="Q56" s="389">
        <f t="shared" si="62"/>
        <v>97.998335549751</v>
      </c>
      <c r="R56" s="389">
        <f t="shared" si="63"/>
        <v>163.330559249585</v>
      </c>
      <c r="S56" s="389">
        <f t="shared" si="64"/>
        <v>97.998335549751</v>
      </c>
      <c r="T56" s="389">
        <f t="shared" si="65"/>
        <v>391.993342199004</v>
      </c>
      <c r="U56" s="391">
        <f t="shared" si="66"/>
        <v>489.991677748755</v>
      </c>
      <c r="V56" s="389">
        <f t="shared" si="67"/>
        <v>489.991677748755</v>
      </c>
      <c r="W56" s="389">
        <f t="shared" si="68"/>
        <v>261.328894799336</v>
      </c>
      <c r="X56" s="389">
        <f t="shared" si="69"/>
        <v>163.330559249585</v>
      </c>
      <c r="Y56" s="389">
        <f t="shared" si="70"/>
        <v>261.328894799336</v>
      </c>
      <c r="Z56" s="389">
        <f t="shared" si="71"/>
        <v>391.993342199004</v>
      </c>
    </row>
    <row r="57" spans="2:26">
      <c r="B57" s="385" t="s">
        <v>4891</v>
      </c>
      <c r="C57" s="377"/>
      <c r="D57" s="354">
        <f t="shared" si="32"/>
        <v>2423.69739686443</v>
      </c>
      <c r="E57" s="359">
        <f t="shared" si="6"/>
        <v>0.00061377427670546</v>
      </c>
      <c r="F57" s="360">
        <v>0.00406331756446181</v>
      </c>
      <c r="G57" s="355">
        <v>0.00061377427670546</v>
      </c>
      <c r="H57" s="386">
        <f t="shared" si="57"/>
        <v>0.00061377427670546</v>
      </c>
      <c r="I57" s="386">
        <f t="shared" si="58"/>
        <v>0.00061377427670546</v>
      </c>
      <c r="J57" s="386">
        <f t="shared" si="59"/>
        <v>0.00061377427670546</v>
      </c>
      <c r="K57" s="378"/>
      <c r="L57" s="370"/>
      <c r="M57" s="370"/>
      <c r="N57" s="385" t="s">
        <v>4891</v>
      </c>
      <c r="O57" s="389">
        <f t="shared" si="60"/>
        <v>13.7710079367297</v>
      </c>
      <c r="P57" s="389">
        <f t="shared" si="61"/>
        <v>41.3130238101892</v>
      </c>
      <c r="Q57" s="389">
        <f t="shared" si="62"/>
        <v>82.6260476203783</v>
      </c>
      <c r="R57" s="389">
        <f t="shared" si="63"/>
        <v>137.710079367297</v>
      </c>
      <c r="S57" s="389">
        <f t="shared" si="64"/>
        <v>82.6260476203783</v>
      </c>
      <c r="T57" s="389">
        <f t="shared" si="65"/>
        <v>330.504190481513</v>
      </c>
      <c r="U57" s="391">
        <f t="shared" si="66"/>
        <v>413.130238101892</v>
      </c>
      <c r="V57" s="389">
        <f t="shared" si="67"/>
        <v>413.130238101892</v>
      </c>
      <c r="W57" s="389">
        <f t="shared" si="68"/>
        <v>220.336126987676</v>
      </c>
      <c r="X57" s="389">
        <f t="shared" si="69"/>
        <v>137.710079367297</v>
      </c>
      <c r="Y57" s="389">
        <f t="shared" si="70"/>
        <v>220.336126987676</v>
      </c>
      <c r="Z57" s="389">
        <f t="shared" si="71"/>
        <v>330.504190481513</v>
      </c>
    </row>
    <row r="58" spans="2:26">
      <c r="B58" s="394" t="s">
        <v>4892</v>
      </c>
      <c r="C58" s="377"/>
      <c r="D58" s="354">
        <f t="shared" si="32"/>
        <v>338.1903344462</v>
      </c>
      <c r="E58" s="359">
        <f t="shared" si="6"/>
        <v>8.56429223309944e-5</v>
      </c>
      <c r="F58" s="395"/>
      <c r="G58" s="355">
        <v>8.56429223309944e-5</v>
      </c>
      <c r="H58" s="386">
        <f t="shared" si="57"/>
        <v>8.56429223309944e-5</v>
      </c>
      <c r="I58" s="386">
        <f t="shared" si="58"/>
        <v>8.56429223309944e-5</v>
      </c>
      <c r="J58" s="386">
        <f t="shared" si="59"/>
        <v>8.56429223309944e-5</v>
      </c>
      <c r="K58" s="378"/>
      <c r="L58" s="370"/>
      <c r="M58" s="370"/>
      <c r="N58" s="394" t="s">
        <v>4892</v>
      </c>
      <c r="O58" s="389">
        <f t="shared" si="60"/>
        <v>1.92153599117159</v>
      </c>
      <c r="P58" s="389">
        <f t="shared" si="61"/>
        <v>5.76460797351477</v>
      </c>
      <c r="Q58" s="389">
        <f t="shared" si="62"/>
        <v>11.5292159470295</v>
      </c>
      <c r="R58" s="389">
        <f t="shared" si="63"/>
        <v>19.2153599117159</v>
      </c>
      <c r="S58" s="389">
        <f t="shared" si="64"/>
        <v>11.5292159470295</v>
      </c>
      <c r="T58" s="389">
        <f t="shared" si="65"/>
        <v>46.1168637881181</v>
      </c>
      <c r="U58" s="391">
        <f t="shared" si="66"/>
        <v>57.6460797351477</v>
      </c>
      <c r="V58" s="389">
        <f t="shared" si="67"/>
        <v>57.6460797351477</v>
      </c>
      <c r="W58" s="389">
        <f t="shared" si="68"/>
        <v>30.7445758587454</v>
      </c>
      <c r="X58" s="389">
        <f t="shared" si="69"/>
        <v>19.2153599117159</v>
      </c>
      <c r="Y58" s="389">
        <f t="shared" si="70"/>
        <v>30.7445758587454</v>
      </c>
      <c r="Z58" s="389">
        <f t="shared" si="71"/>
        <v>46.1168637881181</v>
      </c>
    </row>
    <row r="59" spans="2:26">
      <c r="B59" s="394" t="s">
        <v>4893</v>
      </c>
      <c r="C59" s="396"/>
      <c r="D59" s="354">
        <f t="shared" si="32"/>
        <v>67.63806688924</v>
      </c>
      <c r="E59" s="359">
        <f t="shared" si="6"/>
        <v>1.71285844661989e-5</v>
      </c>
      <c r="F59" s="360"/>
      <c r="G59" s="355">
        <v>1.71285844661989e-5</v>
      </c>
      <c r="H59" s="386">
        <f t="shared" si="57"/>
        <v>1.71285844661989e-5</v>
      </c>
      <c r="I59" s="386">
        <f t="shared" si="58"/>
        <v>1.71285844661989e-5</v>
      </c>
      <c r="J59" s="386">
        <f t="shared" si="59"/>
        <v>1.71285844661989e-5</v>
      </c>
      <c r="K59" s="378"/>
      <c r="L59" s="370"/>
      <c r="M59" s="370"/>
      <c r="N59" s="394" t="s">
        <v>4893</v>
      </c>
      <c r="O59" s="389">
        <f t="shared" si="60"/>
        <v>0.384307198234318</v>
      </c>
      <c r="P59" s="389">
        <f t="shared" si="61"/>
        <v>1.15292159470295</v>
      </c>
      <c r="Q59" s="389">
        <f t="shared" si="62"/>
        <v>2.30584318940591</v>
      </c>
      <c r="R59" s="389">
        <f t="shared" si="63"/>
        <v>3.84307198234318</v>
      </c>
      <c r="S59" s="389">
        <f t="shared" si="64"/>
        <v>2.30584318940591</v>
      </c>
      <c r="T59" s="389">
        <f t="shared" si="65"/>
        <v>9.22337275762364</v>
      </c>
      <c r="U59" s="391">
        <f t="shared" si="66"/>
        <v>11.5292159470295</v>
      </c>
      <c r="V59" s="389">
        <f t="shared" si="67"/>
        <v>11.5292159470295</v>
      </c>
      <c r="W59" s="389">
        <f t="shared" si="68"/>
        <v>6.14891517174909</v>
      </c>
      <c r="X59" s="389">
        <f t="shared" si="69"/>
        <v>3.84307198234318</v>
      </c>
      <c r="Y59" s="389">
        <f t="shared" si="70"/>
        <v>6.14891517174909</v>
      </c>
      <c r="Z59" s="389">
        <f t="shared" si="71"/>
        <v>9.22337275762364</v>
      </c>
    </row>
    <row r="60" spans="2:26">
      <c r="B60" s="394" t="s">
        <v>4894</v>
      </c>
      <c r="C60" s="397"/>
      <c r="D60" s="354">
        <f t="shared" si="32"/>
        <v>175.436235993966</v>
      </c>
      <c r="E60" s="359">
        <f t="shared" si="6"/>
        <v>4.44272659592033e-5</v>
      </c>
      <c r="F60" s="360">
        <v>0.003</v>
      </c>
      <c r="G60" s="355">
        <v>4.44272659592033e-5</v>
      </c>
      <c r="H60" s="386">
        <f t="shared" si="57"/>
        <v>4.44272659592033e-5</v>
      </c>
      <c r="I60" s="386">
        <f t="shared" si="58"/>
        <v>4.44272659592033e-5</v>
      </c>
      <c r="J60" s="386">
        <f t="shared" si="59"/>
        <v>4.44272659592033e-5</v>
      </c>
      <c r="K60" s="378"/>
      <c r="L60" s="370"/>
      <c r="M60" s="370"/>
      <c r="N60" s="394" t="s">
        <v>4894</v>
      </c>
      <c r="O60" s="389">
        <f t="shared" si="60"/>
        <v>0.996796795420261</v>
      </c>
      <c r="P60" s="389">
        <f t="shared" si="61"/>
        <v>2.99039038626078</v>
      </c>
      <c r="Q60" s="389">
        <f t="shared" si="62"/>
        <v>5.98078077252156</v>
      </c>
      <c r="R60" s="389">
        <f t="shared" si="63"/>
        <v>9.96796795420261</v>
      </c>
      <c r="S60" s="389">
        <f t="shared" si="64"/>
        <v>5.98078077252156</v>
      </c>
      <c r="T60" s="389">
        <f t="shared" si="65"/>
        <v>23.9231230900863</v>
      </c>
      <c r="U60" s="391">
        <f t="shared" si="66"/>
        <v>29.9039038626078</v>
      </c>
      <c r="V60" s="389">
        <f t="shared" si="67"/>
        <v>29.9039038626078</v>
      </c>
      <c r="W60" s="389">
        <f t="shared" si="68"/>
        <v>15.9487487267242</v>
      </c>
      <c r="X60" s="389">
        <f t="shared" si="69"/>
        <v>9.96796795420261</v>
      </c>
      <c r="Y60" s="389">
        <f t="shared" si="70"/>
        <v>15.9487487267242</v>
      </c>
      <c r="Z60" s="389">
        <f t="shared" si="71"/>
        <v>23.9231230900863</v>
      </c>
    </row>
    <row r="61" spans="2:26">
      <c r="B61" s="394" t="s">
        <v>4895</v>
      </c>
      <c r="C61" s="397"/>
      <c r="D61" s="354">
        <f t="shared" si="32"/>
        <v>112.110095868915</v>
      </c>
      <c r="E61" s="359">
        <f t="shared" si="6"/>
        <v>2.83906287527246e-5</v>
      </c>
      <c r="F61" s="360">
        <v>0.003</v>
      </c>
      <c r="G61" s="355">
        <v>2.83906287527246e-5</v>
      </c>
      <c r="H61" s="386">
        <f t="shared" si="57"/>
        <v>2.83906287527246e-5</v>
      </c>
      <c r="I61" s="386">
        <f t="shared" si="58"/>
        <v>2.83906287527246e-5</v>
      </c>
      <c r="J61" s="386">
        <f t="shared" si="59"/>
        <v>2.83906287527246e-5</v>
      </c>
      <c r="K61" s="378"/>
      <c r="L61" s="370"/>
      <c r="M61" s="370"/>
      <c r="N61" s="394" t="s">
        <v>4895</v>
      </c>
      <c r="O61" s="389">
        <f t="shared" si="60"/>
        <v>0.636989181073381</v>
      </c>
      <c r="P61" s="389">
        <f t="shared" si="61"/>
        <v>1.91096754322014</v>
      </c>
      <c r="Q61" s="389">
        <f t="shared" si="62"/>
        <v>3.82193508644028</v>
      </c>
      <c r="R61" s="389">
        <f t="shared" si="63"/>
        <v>6.36989181073381</v>
      </c>
      <c r="S61" s="389">
        <f t="shared" si="64"/>
        <v>3.82193508644028</v>
      </c>
      <c r="T61" s="389">
        <f t="shared" si="65"/>
        <v>15.2877403457611</v>
      </c>
      <c r="U61" s="391">
        <f t="shared" si="66"/>
        <v>19.1096754322014</v>
      </c>
      <c r="V61" s="389">
        <f t="shared" si="67"/>
        <v>19.1096754322014</v>
      </c>
      <c r="W61" s="389">
        <f t="shared" si="68"/>
        <v>10.1918268971741</v>
      </c>
      <c r="X61" s="389">
        <f t="shared" si="69"/>
        <v>6.36989181073381</v>
      </c>
      <c r="Y61" s="389">
        <f t="shared" si="70"/>
        <v>10.1918268971741</v>
      </c>
      <c r="Z61" s="389">
        <f t="shared" si="71"/>
        <v>15.2877403457611</v>
      </c>
    </row>
    <row r="62" spans="2:26">
      <c r="B62" s="394" t="s">
        <v>4896</v>
      </c>
      <c r="C62" s="397"/>
      <c r="D62" s="354">
        <f t="shared" si="32"/>
        <v>1056.84479514437</v>
      </c>
      <c r="E62" s="359">
        <f t="shared" si="6"/>
        <v>0.000267634132284357</v>
      </c>
      <c r="F62" s="360">
        <v>0</v>
      </c>
      <c r="G62" s="355">
        <v>0.000267634132284357</v>
      </c>
      <c r="H62" s="386">
        <f t="shared" si="57"/>
        <v>0.000267634132284357</v>
      </c>
      <c r="I62" s="386">
        <f t="shared" si="58"/>
        <v>0.000267634132284357</v>
      </c>
      <c r="J62" s="386">
        <f t="shared" si="59"/>
        <v>0.000267634132284357</v>
      </c>
      <c r="K62" s="378"/>
      <c r="L62" s="370"/>
      <c r="M62" s="370"/>
      <c r="N62" s="394" t="s">
        <v>4896</v>
      </c>
      <c r="O62" s="389">
        <f t="shared" si="60"/>
        <v>6.0047999724112</v>
      </c>
      <c r="P62" s="389">
        <f t="shared" si="61"/>
        <v>18.0143999172336</v>
      </c>
      <c r="Q62" s="389">
        <f t="shared" si="62"/>
        <v>36.0287998344672</v>
      </c>
      <c r="R62" s="389">
        <f t="shared" si="63"/>
        <v>60.047999724112</v>
      </c>
      <c r="S62" s="389">
        <f t="shared" si="64"/>
        <v>36.0287998344672</v>
      </c>
      <c r="T62" s="389">
        <f t="shared" si="65"/>
        <v>144.115199337869</v>
      </c>
      <c r="U62" s="391">
        <f t="shared" si="66"/>
        <v>180.143999172336</v>
      </c>
      <c r="V62" s="389">
        <f t="shared" si="67"/>
        <v>180.143999172336</v>
      </c>
      <c r="W62" s="389">
        <f t="shared" si="68"/>
        <v>96.0767995585793</v>
      </c>
      <c r="X62" s="389">
        <f t="shared" si="69"/>
        <v>60.047999724112</v>
      </c>
      <c r="Y62" s="389">
        <f t="shared" si="70"/>
        <v>96.0767995585793</v>
      </c>
      <c r="Z62" s="389">
        <f t="shared" si="71"/>
        <v>144.115199337869</v>
      </c>
    </row>
    <row r="63" spans="2:26">
      <c r="B63" s="394" t="s">
        <v>4897</v>
      </c>
      <c r="C63" s="397"/>
      <c r="D63" s="354">
        <f t="shared" si="32"/>
        <v>0</v>
      </c>
      <c r="E63" s="359">
        <f t="shared" si="6"/>
        <v>0</v>
      </c>
      <c r="F63" s="360"/>
      <c r="G63" s="355">
        <v>0</v>
      </c>
      <c r="H63" s="386">
        <f t="shared" si="57"/>
        <v>0</v>
      </c>
      <c r="I63" s="386">
        <f t="shared" si="58"/>
        <v>0</v>
      </c>
      <c r="J63" s="386">
        <f t="shared" si="59"/>
        <v>0</v>
      </c>
      <c r="K63" s="378"/>
      <c r="L63" s="370"/>
      <c r="M63" s="370"/>
      <c r="N63" s="394" t="s">
        <v>4897</v>
      </c>
      <c r="O63" s="389">
        <f t="shared" si="60"/>
        <v>0</v>
      </c>
      <c r="P63" s="389">
        <f t="shared" si="61"/>
        <v>0</v>
      </c>
      <c r="Q63" s="389">
        <f t="shared" si="62"/>
        <v>0</v>
      </c>
      <c r="R63" s="389">
        <f t="shared" si="63"/>
        <v>0</v>
      </c>
      <c r="S63" s="389">
        <f t="shared" si="64"/>
        <v>0</v>
      </c>
      <c r="T63" s="389">
        <f t="shared" si="65"/>
        <v>0</v>
      </c>
      <c r="U63" s="391">
        <f t="shared" si="66"/>
        <v>0</v>
      </c>
      <c r="V63" s="389">
        <f t="shared" si="67"/>
        <v>0</v>
      </c>
      <c r="W63" s="389">
        <f t="shared" si="68"/>
        <v>0</v>
      </c>
      <c r="X63" s="389">
        <f t="shared" si="69"/>
        <v>0</v>
      </c>
      <c r="Y63" s="389">
        <f t="shared" si="70"/>
        <v>0</v>
      </c>
      <c r="Z63" s="389">
        <f t="shared" si="71"/>
        <v>0</v>
      </c>
    </row>
    <row r="64" spans="2:26">
      <c r="B64" s="394" t="s">
        <v>4898</v>
      </c>
      <c r="C64" s="397"/>
      <c r="D64" s="354">
        <f t="shared" si="32"/>
        <v>507.285501669301</v>
      </c>
      <c r="E64" s="359">
        <f t="shared" si="6"/>
        <v>0.000128464383496492</v>
      </c>
      <c r="F64" s="360"/>
      <c r="G64" s="355">
        <v>0.000128464383496492</v>
      </c>
      <c r="H64" s="386">
        <f t="shared" si="57"/>
        <v>0.000128464383496492</v>
      </c>
      <c r="I64" s="386">
        <f t="shared" si="58"/>
        <v>0.000128464383496492</v>
      </c>
      <c r="J64" s="386">
        <f t="shared" si="59"/>
        <v>0.000128464383496492</v>
      </c>
      <c r="K64" s="378"/>
      <c r="L64" s="370"/>
      <c r="M64" s="370"/>
      <c r="N64" s="394" t="s">
        <v>4898</v>
      </c>
      <c r="O64" s="389">
        <f t="shared" si="60"/>
        <v>2.88230398675739</v>
      </c>
      <c r="P64" s="389">
        <f t="shared" si="61"/>
        <v>8.64691196027218</v>
      </c>
      <c r="Q64" s="389">
        <f t="shared" si="62"/>
        <v>17.2938239205444</v>
      </c>
      <c r="R64" s="389">
        <f t="shared" si="63"/>
        <v>28.8230398675739</v>
      </c>
      <c r="S64" s="389">
        <f t="shared" si="64"/>
        <v>17.2938239205444</v>
      </c>
      <c r="T64" s="389">
        <f t="shared" si="65"/>
        <v>69.1752956821774</v>
      </c>
      <c r="U64" s="391">
        <f t="shared" si="66"/>
        <v>86.4691196027218</v>
      </c>
      <c r="V64" s="389">
        <f t="shared" si="67"/>
        <v>86.4691196027218</v>
      </c>
      <c r="W64" s="389">
        <f t="shared" si="68"/>
        <v>46.1168637881183</v>
      </c>
      <c r="X64" s="389">
        <f t="shared" si="69"/>
        <v>28.8230398675739</v>
      </c>
      <c r="Y64" s="389">
        <f t="shared" si="70"/>
        <v>46.1168637881183</v>
      </c>
      <c r="Z64" s="389">
        <f t="shared" si="71"/>
        <v>69.1752956821774</v>
      </c>
    </row>
    <row r="65" spans="2:26">
      <c r="B65" s="394" t="s">
        <v>4899</v>
      </c>
      <c r="C65" s="397"/>
      <c r="D65" s="354">
        <f t="shared" si="32"/>
        <v>10120.3457583025</v>
      </c>
      <c r="E65" s="359">
        <f t="shared" si="6"/>
        <v>0.002562864450755</v>
      </c>
      <c r="F65" s="360"/>
      <c r="G65" s="355">
        <v>0.002562864450755</v>
      </c>
      <c r="H65" s="386">
        <f t="shared" si="57"/>
        <v>0.002562864450755</v>
      </c>
      <c r="I65" s="386">
        <f t="shared" si="58"/>
        <v>0.002562864450755</v>
      </c>
      <c r="J65" s="386">
        <f t="shared" si="59"/>
        <v>0.002562864450755</v>
      </c>
      <c r="K65" s="378"/>
      <c r="L65" s="370"/>
      <c r="M65" s="370"/>
      <c r="N65" s="394" t="s">
        <v>4899</v>
      </c>
      <c r="O65" s="389">
        <f t="shared" si="60"/>
        <v>57.5019645358096</v>
      </c>
      <c r="P65" s="389">
        <f t="shared" si="61"/>
        <v>172.505893607429</v>
      </c>
      <c r="Q65" s="389">
        <f t="shared" si="62"/>
        <v>345.011787214858</v>
      </c>
      <c r="R65" s="389">
        <f t="shared" si="63"/>
        <v>575.019645358096</v>
      </c>
      <c r="S65" s="389">
        <f t="shared" si="64"/>
        <v>345.011787214858</v>
      </c>
      <c r="T65" s="389">
        <f t="shared" si="65"/>
        <v>1380.04714885943</v>
      </c>
      <c r="U65" s="391">
        <f t="shared" si="66"/>
        <v>1725.05893607429</v>
      </c>
      <c r="V65" s="389">
        <f t="shared" si="67"/>
        <v>1725.05893607429</v>
      </c>
      <c r="W65" s="389">
        <f t="shared" si="68"/>
        <v>920.031432572954</v>
      </c>
      <c r="X65" s="389">
        <f t="shared" si="69"/>
        <v>575.019645358096</v>
      </c>
      <c r="Y65" s="389">
        <f t="shared" si="70"/>
        <v>920.031432572954</v>
      </c>
      <c r="Z65" s="389">
        <f t="shared" si="71"/>
        <v>1380.04714885943</v>
      </c>
    </row>
    <row r="66" spans="2:26">
      <c r="B66" s="394" t="s">
        <v>4900</v>
      </c>
      <c r="C66" s="397"/>
      <c r="D66" s="354">
        <f t="shared" si="32"/>
        <v>0</v>
      </c>
      <c r="E66" s="359">
        <f t="shared" si="6"/>
        <v>0</v>
      </c>
      <c r="F66" s="360"/>
      <c r="G66" s="355">
        <v>0</v>
      </c>
      <c r="H66" s="386">
        <f t="shared" si="57"/>
        <v>0</v>
      </c>
      <c r="I66" s="386">
        <f t="shared" si="58"/>
        <v>0</v>
      </c>
      <c r="J66" s="386">
        <f t="shared" si="59"/>
        <v>0</v>
      </c>
      <c r="K66" s="378"/>
      <c r="L66" s="370"/>
      <c r="M66" s="370"/>
      <c r="N66" s="394" t="s">
        <v>4900</v>
      </c>
      <c r="O66" s="389">
        <f t="shared" si="60"/>
        <v>0</v>
      </c>
      <c r="P66" s="389">
        <f t="shared" si="61"/>
        <v>0</v>
      </c>
      <c r="Q66" s="389">
        <f t="shared" si="62"/>
        <v>0</v>
      </c>
      <c r="R66" s="389">
        <f t="shared" si="63"/>
        <v>0</v>
      </c>
      <c r="S66" s="389">
        <f t="shared" si="64"/>
        <v>0</v>
      </c>
      <c r="T66" s="389">
        <f t="shared" si="65"/>
        <v>0</v>
      </c>
      <c r="U66" s="391">
        <f t="shared" si="66"/>
        <v>0</v>
      </c>
      <c r="V66" s="389">
        <f t="shared" si="67"/>
        <v>0</v>
      </c>
      <c r="W66" s="389">
        <f t="shared" si="68"/>
        <v>0</v>
      </c>
      <c r="X66" s="389">
        <f t="shared" si="69"/>
        <v>0</v>
      </c>
      <c r="Y66" s="389">
        <f t="shared" si="70"/>
        <v>0</v>
      </c>
      <c r="Z66" s="389">
        <f t="shared" si="71"/>
        <v>0</v>
      </c>
    </row>
    <row r="67" ht="18" spans="2:26">
      <c r="B67" s="353" t="s">
        <v>4901</v>
      </c>
      <c r="C67" s="398"/>
      <c r="D67" s="347">
        <f>SUM(D68:D75)</f>
        <v>2290.328128</v>
      </c>
      <c r="E67" s="359">
        <f t="shared" si="6"/>
        <v>0.00058</v>
      </c>
      <c r="F67" s="348"/>
      <c r="G67" s="393">
        <f t="shared" ref="G67:J67" si="72">SUM(G68:G71)</f>
        <v>0.00058</v>
      </c>
      <c r="H67" s="393">
        <f t="shared" si="72"/>
        <v>0.00058</v>
      </c>
      <c r="I67" s="393">
        <f t="shared" si="72"/>
        <v>0.00058</v>
      </c>
      <c r="J67" s="393">
        <f t="shared" si="72"/>
        <v>0.00058</v>
      </c>
      <c r="K67" s="356"/>
      <c r="L67" s="357"/>
      <c r="M67" s="357"/>
      <c r="N67" s="353" t="s">
        <v>4902</v>
      </c>
      <c r="O67" s="399">
        <f t="shared" ref="O67:Z67" si="73">SUM(O68:O75)</f>
        <v>13.013228</v>
      </c>
      <c r="P67" s="399">
        <f t="shared" si="73"/>
        <v>39.039684</v>
      </c>
      <c r="Q67" s="399">
        <f t="shared" si="73"/>
        <v>78.079368</v>
      </c>
      <c r="R67" s="399">
        <f t="shared" si="73"/>
        <v>130.13228</v>
      </c>
      <c r="S67" s="399">
        <f t="shared" si="73"/>
        <v>78.079368</v>
      </c>
      <c r="T67" s="399">
        <f t="shared" si="73"/>
        <v>312.317472</v>
      </c>
      <c r="U67" s="399">
        <f t="shared" si="73"/>
        <v>390.39684</v>
      </c>
      <c r="V67" s="399">
        <f t="shared" si="73"/>
        <v>390.39684</v>
      </c>
      <c r="W67" s="399">
        <f t="shared" si="73"/>
        <v>208.211648</v>
      </c>
      <c r="X67" s="399">
        <f t="shared" si="73"/>
        <v>130.13228</v>
      </c>
      <c r="Y67" s="399">
        <f t="shared" si="73"/>
        <v>208.211648</v>
      </c>
      <c r="Z67" s="399">
        <f t="shared" si="73"/>
        <v>312.317472</v>
      </c>
    </row>
    <row r="68" spans="2:26">
      <c r="B68" s="394" t="s">
        <v>4903</v>
      </c>
      <c r="C68" s="397"/>
      <c r="D68" s="354">
        <f t="shared" ref="D68:D75" si="74">SUM(O68:Z68)</f>
        <v>394.88416</v>
      </c>
      <c r="E68" s="359">
        <f t="shared" si="6"/>
        <v>0.0001</v>
      </c>
      <c r="F68" s="360"/>
      <c r="G68" s="355">
        <v>0.0001</v>
      </c>
      <c r="H68" s="386">
        <f t="shared" ref="H68:H71" si="75">SUM(R68:T68)/SUM($R$18:$T$18)</f>
        <v>0.0001</v>
      </c>
      <c r="I68" s="386">
        <f t="shared" ref="I68:I71" si="76">SUM(U68:W68)/SUM($U$18:$W$18)</f>
        <v>0.0001</v>
      </c>
      <c r="J68" s="386">
        <f t="shared" ref="J68:J71" si="77">SUM(X68:Z68)/SUM($X$18:$Z$18)</f>
        <v>0.0001</v>
      </c>
      <c r="K68" s="378"/>
      <c r="L68" s="370"/>
      <c r="M68" s="370"/>
      <c r="N68" s="394" t="s">
        <v>4903</v>
      </c>
      <c r="O68" s="389">
        <f t="shared" ref="O68:O75" si="78">$O$18*G68</f>
        <v>2.24366</v>
      </c>
      <c r="P68" s="363">
        <f t="shared" ref="P68:P75" si="79">$P$18*G68</f>
        <v>6.73098</v>
      </c>
      <c r="Q68" s="389">
        <f t="shared" ref="Q68:Q75" si="80">$Q$18*G68</f>
        <v>13.46196</v>
      </c>
      <c r="R68" s="389">
        <f t="shared" ref="R68:R75" si="81">$R$18*G68</f>
        <v>22.4366</v>
      </c>
      <c r="S68" s="389">
        <f t="shared" ref="S68:S75" si="82">$S$18*G68</f>
        <v>13.46196</v>
      </c>
      <c r="T68" s="389">
        <f t="shared" ref="T68:T75" si="83">$T$18*G68</f>
        <v>53.84784</v>
      </c>
      <c r="U68" s="391">
        <f t="shared" ref="U68:U75" si="84">$U$18*G68</f>
        <v>67.3098</v>
      </c>
      <c r="V68" s="389">
        <f t="shared" ref="V68:V75" si="85">$V$18*G68</f>
        <v>67.3098</v>
      </c>
      <c r="W68" s="389">
        <f t="shared" ref="W68:W75" si="86">$W$18*G68</f>
        <v>35.89856</v>
      </c>
      <c r="X68" s="389">
        <f t="shared" ref="X68:X75" si="87">$X$18*G68</f>
        <v>22.4366</v>
      </c>
      <c r="Y68" s="389">
        <f t="shared" ref="Y68:Y75" si="88">$Y$18*G68</f>
        <v>35.89856</v>
      </c>
      <c r="Z68" s="389">
        <f t="shared" ref="Z68:Z75" si="89">$Z$18*G68</f>
        <v>53.84784</v>
      </c>
    </row>
    <row r="69" spans="2:26">
      <c r="B69" s="394" t="s">
        <v>4904</v>
      </c>
      <c r="C69" s="397"/>
      <c r="D69" s="354">
        <f t="shared" si="74"/>
        <v>-39.488416</v>
      </c>
      <c r="E69" s="359">
        <f t="shared" si="6"/>
        <v>-1e-5</v>
      </c>
      <c r="F69" s="360"/>
      <c r="G69" s="355">
        <v>-1e-5</v>
      </c>
      <c r="H69" s="386">
        <f t="shared" si="75"/>
        <v>-1e-5</v>
      </c>
      <c r="I69" s="386">
        <f t="shared" si="76"/>
        <v>-1e-5</v>
      </c>
      <c r="J69" s="386">
        <f t="shared" si="77"/>
        <v>-1e-5</v>
      </c>
      <c r="K69" s="378"/>
      <c r="L69" s="370"/>
      <c r="M69" s="370"/>
      <c r="N69" s="394" t="s">
        <v>4904</v>
      </c>
      <c r="O69" s="389">
        <f t="shared" si="78"/>
        <v>-0.224366</v>
      </c>
      <c r="P69" s="363">
        <f t="shared" si="79"/>
        <v>-0.673098</v>
      </c>
      <c r="Q69" s="389">
        <f t="shared" si="80"/>
        <v>-1.346196</v>
      </c>
      <c r="R69" s="389">
        <f t="shared" si="81"/>
        <v>-2.24366</v>
      </c>
      <c r="S69" s="389">
        <f t="shared" si="82"/>
        <v>-1.346196</v>
      </c>
      <c r="T69" s="389">
        <f t="shared" si="83"/>
        <v>-5.384784</v>
      </c>
      <c r="U69" s="391">
        <f t="shared" si="84"/>
        <v>-6.73098</v>
      </c>
      <c r="V69" s="389">
        <f t="shared" si="85"/>
        <v>-6.73098</v>
      </c>
      <c r="W69" s="389">
        <f t="shared" si="86"/>
        <v>-3.589856</v>
      </c>
      <c r="X69" s="389">
        <f t="shared" si="87"/>
        <v>-2.24366</v>
      </c>
      <c r="Y69" s="389">
        <f t="shared" si="88"/>
        <v>-3.589856</v>
      </c>
      <c r="Z69" s="389">
        <f t="shared" si="89"/>
        <v>-5.384784</v>
      </c>
    </row>
    <row r="70" spans="2:26">
      <c r="B70" s="394" t="s">
        <v>4905</v>
      </c>
      <c r="C70" s="397"/>
      <c r="D70" s="354">
        <f t="shared" si="74"/>
        <v>1145.164064</v>
      </c>
      <c r="E70" s="359">
        <f t="shared" si="6"/>
        <v>0.00029</v>
      </c>
      <c r="F70" s="360"/>
      <c r="G70" s="355">
        <v>0.00029</v>
      </c>
      <c r="H70" s="386">
        <f t="shared" si="75"/>
        <v>0.00029</v>
      </c>
      <c r="I70" s="386">
        <f t="shared" si="76"/>
        <v>0.00029</v>
      </c>
      <c r="J70" s="386">
        <f t="shared" si="77"/>
        <v>0.00029</v>
      </c>
      <c r="K70" s="378"/>
      <c r="L70" s="370"/>
      <c r="M70" s="370"/>
      <c r="N70" s="394" t="s">
        <v>4905</v>
      </c>
      <c r="O70" s="389">
        <f t="shared" si="78"/>
        <v>6.506614</v>
      </c>
      <c r="P70" s="363">
        <f t="shared" si="79"/>
        <v>19.519842</v>
      </c>
      <c r="Q70" s="389">
        <f t="shared" si="80"/>
        <v>39.039684</v>
      </c>
      <c r="R70" s="389">
        <f t="shared" si="81"/>
        <v>65.06614</v>
      </c>
      <c r="S70" s="389">
        <f t="shared" si="82"/>
        <v>39.039684</v>
      </c>
      <c r="T70" s="389">
        <f t="shared" si="83"/>
        <v>156.158736</v>
      </c>
      <c r="U70" s="391">
        <f t="shared" si="84"/>
        <v>195.19842</v>
      </c>
      <c r="V70" s="389">
        <f t="shared" si="85"/>
        <v>195.19842</v>
      </c>
      <c r="W70" s="389">
        <f t="shared" si="86"/>
        <v>104.105824</v>
      </c>
      <c r="X70" s="389">
        <f t="shared" si="87"/>
        <v>65.06614</v>
      </c>
      <c r="Y70" s="389">
        <f t="shared" si="88"/>
        <v>104.105824</v>
      </c>
      <c r="Z70" s="389">
        <f t="shared" si="89"/>
        <v>156.158736</v>
      </c>
    </row>
    <row r="71" spans="2:26">
      <c r="B71" s="394" t="s">
        <v>4906</v>
      </c>
      <c r="C71" s="397"/>
      <c r="D71" s="354">
        <f t="shared" si="74"/>
        <v>789.76832</v>
      </c>
      <c r="E71" s="359">
        <f t="shared" si="6"/>
        <v>0.0002</v>
      </c>
      <c r="F71" s="360"/>
      <c r="G71" s="355">
        <v>0.0002</v>
      </c>
      <c r="H71" s="386">
        <f t="shared" si="75"/>
        <v>0.0002</v>
      </c>
      <c r="I71" s="386">
        <f t="shared" si="76"/>
        <v>0.0002</v>
      </c>
      <c r="J71" s="386">
        <f t="shared" si="77"/>
        <v>0.0002</v>
      </c>
      <c r="K71" s="378"/>
      <c r="L71" s="370"/>
      <c r="M71" s="370"/>
      <c r="N71" s="394" t="s">
        <v>4906</v>
      </c>
      <c r="O71" s="389">
        <f t="shared" si="78"/>
        <v>4.48732</v>
      </c>
      <c r="P71" s="363">
        <f t="shared" si="79"/>
        <v>13.46196</v>
      </c>
      <c r="Q71" s="389">
        <f t="shared" si="80"/>
        <v>26.92392</v>
      </c>
      <c r="R71" s="389">
        <f t="shared" si="81"/>
        <v>44.8732</v>
      </c>
      <c r="S71" s="389">
        <f t="shared" si="82"/>
        <v>26.92392</v>
      </c>
      <c r="T71" s="389">
        <f t="shared" si="83"/>
        <v>107.69568</v>
      </c>
      <c r="U71" s="391">
        <f t="shared" si="84"/>
        <v>134.6196</v>
      </c>
      <c r="V71" s="389">
        <f t="shared" si="85"/>
        <v>134.6196</v>
      </c>
      <c r="W71" s="389">
        <f t="shared" si="86"/>
        <v>71.79712</v>
      </c>
      <c r="X71" s="389">
        <f t="shared" si="87"/>
        <v>44.8732</v>
      </c>
      <c r="Y71" s="389">
        <f t="shared" si="88"/>
        <v>71.79712</v>
      </c>
      <c r="Z71" s="389">
        <f t="shared" si="89"/>
        <v>107.69568</v>
      </c>
    </row>
    <row r="72" spans="2:26">
      <c r="B72" s="400" t="s">
        <v>4907</v>
      </c>
      <c r="C72" s="397"/>
      <c r="D72" s="354">
        <f t="shared" si="74"/>
        <v>0</v>
      </c>
      <c r="E72" s="359">
        <f t="shared" si="6"/>
        <v>0</v>
      </c>
      <c r="F72" s="360"/>
      <c r="G72" s="355"/>
      <c r="H72" s="361"/>
      <c r="I72" s="361"/>
      <c r="J72" s="361"/>
      <c r="K72" s="378"/>
      <c r="L72" s="370"/>
      <c r="M72" s="370"/>
      <c r="N72" s="400" t="s">
        <v>4907</v>
      </c>
      <c r="O72" s="389">
        <f t="shared" si="78"/>
        <v>0</v>
      </c>
      <c r="P72" s="363">
        <f t="shared" si="79"/>
        <v>0</v>
      </c>
      <c r="Q72" s="389">
        <f t="shared" si="80"/>
        <v>0</v>
      </c>
      <c r="R72" s="389">
        <f t="shared" si="81"/>
        <v>0</v>
      </c>
      <c r="S72" s="389">
        <f t="shared" si="82"/>
        <v>0</v>
      </c>
      <c r="T72" s="389">
        <f t="shared" si="83"/>
        <v>0</v>
      </c>
      <c r="U72" s="391">
        <f t="shared" si="84"/>
        <v>0</v>
      </c>
      <c r="V72" s="389">
        <f t="shared" si="85"/>
        <v>0</v>
      </c>
      <c r="W72" s="389">
        <f t="shared" si="86"/>
        <v>0</v>
      </c>
      <c r="X72" s="389">
        <f t="shared" si="87"/>
        <v>0</v>
      </c>
      <c r="Y72" s="389">
        <f t="shared" si="88"/>
        <v>0</v>
      </c>
      <c r="Z72" s="389">
        <f t="shared" si="89"/>
        <v>0</v>
      </c>
    </row>
    <row r="73" spans="2:26">
      <c r="B73" s="400" t="s">
        <v>4908</v>
      </c>
      <c r="C73" s="397"/>
      <c r="D73" s="354">
        <f t="shared" si="74"/>
        <v>0</v>
      </c>
      <c r="E73" s="359">
        <f t="shared" si="6"/>
        <v>0</v>
      </c>
      <c r="F73" s="360"/>
      <c r="G73" s="355"/>
      <c r="H73" s="361"/>
      <c r="I73" s="361"/>
      <c r="J73" s="361"/>
      <c r="K73" s="378"/>
      <c r="L73" s="370"/>
      <c r="M73" s="370"/>
      <c r="N73" s="400" t="s">
        <v>4908</v>
      </c>
      <c r="O73" s="389">
        <f t="shared" si="78"/>
        <v>0</v>
      </c>
      <c r="P73" s="363">
        <f t="shared" si="79"/>
        <v>0</v>
      </c>
      <c r="Q73" s="389">
        <f t="shared" si="80"/>
        <v>0</v>
      </c>
      <c r="R73" s="389">
        <f t="shared" si="81"/>
        <v>0</v>
      </c>
      <c r="S73" s="389">
        <f t="shared" si="82"/>
        <v>0</v>
      </c>
      <c r="T73" s="389">
        <f t="shared" si="83"/>
        <v>0</v>
      </c>
      <c r="U73" s="391">
        <f t="shared" si="84"/>
        <v>0</v>
      </c>
      <c r="V73" s="389">
        <f t="shared" si="85"/>
        <v>0</v>
      </c>
      <c r="W73" s="389">
        <f t="shared" si="86"/>
        <v>0</v>
      </c>
      <c r="X73" s="389">
        <f t="shared" si="87"/>
        <v>0</v>
      </c>
      <c r="Y73" s="389">
        <f t="shared" si="88"/>
        <v>0</v>
      </c>
      <c r="Z73" s="389">
        <f t="shared" si="89"/>
        <v>0</v>
      </c>
    </row>
    <row r="74" spans="2:26">
      <c r="B74" s="400" t="s">
        <v>4909</v>
      </c>
      <c r="C74" s="397"/>
      <c r="D74" s="354">
        <f t="shared" si="74"/>
        <v>0</v>
      </c>
      <c r="E74" s="359">
        <f t="shared" si="6"/>
        <v>0</v>
      </c>
      <c r="F74" s="360"/>
      <c r="G74" s="355"/>
      <c r="H74" s="361"/>
      <c r="I74" s="361"/>
      <c r="J74" s="361"/>
      <c r="K74" s="378"/>
      <c r="L74" s="370"/>
      <c r="M74" s="370"/>
      <c r="N74" s="400" t="s">
        <v>4909</v>
      </c>
      <c r="O74" s="389">
        <f t="shared" si="78"/>
        <v>0</v>
      </c>
      <c r="P74" s="363">
        <f t="shared" si="79"/>
        <v>0</v>
      </c>
      <c r="Q74" s="389">
        <f t="shared" si="80"/>
        <v>0</v>
      </c>
      <c r="R74" s="389">
        <f t="shared" si="81"/>
        <v>0</v>
      </c>
      <c r="S74" s="389">
        <f t="shared" si="82"/>
        <v>0</v>
      </c>
      <c r="T74" s="389">
        <f t="shared" si="83"/>
        <v>0</v>
      </c>
      <c r="U74" s="391">
        <f t="shared" si="84"/>
        <v>0</v>
      </c>
      <c r="V74" s="389">
        <f t="shared" si="85"/>
        <v>0</v>
      </c>
      <c r="W74" s="389">
        <f t="shared" si="86"/>
        <v>0</v>
      </c>
      <c r="X74" s="389">
        <f t="shared" si="87"/>
        <v>0</v>
      </c>
      <c r="Y74" s="389">
        <f t="shared" si="88"/>
        <v>0</v>
      </c>
      <c r="Z74" s="389">
        <f t="shared" si="89"/>
        <v>0</v>
      </c>
    </row>
    <row r="75" spans="2:26">
      <c r="B75" s="400" t="s">
        <v>4910</v>
      </c>
      <c r="C75" s="397"/>
      <c r="D75" s="354">
        <f t="shared" si="74"/>
        <v>0</v>
      </c>
      <c r="E75" s="359">
        <f t="shared" si="6"/>
        <v>0</v>
      </c>
      <c r="F75" s="360"/>
      <c r="G75" s="355">
        <v>0</v>
      </c>
      <c r="H75" s="355">
        <v>0</v>
      </c>
      <c r="I75" s="355">
        <v>0</v>
      </c>
      <c r="J75" s="355">
        <v>0</v>
      </c>
      <c r="K75" s="378"/>
      <c r="L75" s="370"/>
      <c r="M75" s="370"/>
      <c r="N75" s="400" t="s">
        <v>4910</v>
      </c>
      <c r="O75" s="389">
        <f t="shared" si="78"/>
        <v>0</v>
      </c>
      <c r="P75" s="363">
        <f t="shared" si="79"/>
        <v>0</v>
      </c>
      <c r="Q75" s="389">
        <f t="shared" si="80"/>
        <v>0</v>
      </c>
      <c r="R75" s="389">
        <f t="shared" si="81"/>
        <v>0</v>
      </c>
      <c r="S75" s="389">
        <f t="shared" si="82"/>
        <v>0</v>
      </c>
      <c r="T75" s="389">
        <f t="shared" si="83"/>
        <v>0</v>
      </c>
      <c r="U75" s="391">
        <f t="shared" si="84"/>
        <v>0</v>
      </c>
      <c r="V75" s="389">
        <f t="shared" si="85"/>
        <v>0</v>
      </c>
      <c r="W75" s="389">
        <f t="shared" si="86"/>
        <v>0</v>
      </c>
      <c r="X75" s="389">
        <f t="shared" si="87"/>
        <v>0</v>
      </c>
      <c r="Y75" s="389">
        <f t="shared" si="88"/>
        <v>0</v>
      </c>
      <c r="Z75" s="389">
        <f t="shared" si="89"/>
        <v>0</v>
      </c>
    </row>
    <row r="76" ht="21" spans="2:26">
      <c r="B76" s="401" t="s">
        <v>4911</v>
      </c>
      <c r="C76" s="346" t="s">
        <v>4912</v>
      </c>
      <c r="D76" s="347">
        <f>D77+D78+D79</f>
        <v>0</v>
      </c>
      <c r="E76" s="339">
        <f t="shared" si="6"/>
        <v>0</v>
      </c>
      <c r="F76" s="348" t="s">
        <v>4913</v>
      </c>
      <c r="G76" s="402" t="s">
        <v>4914</v>
      </c>
      <c r="H76" s="402" t="s">
        <v>4914</v>
      </c>
      <c r="I76" s="402" t="s">
        <v>4914</v>
      </c>
      <c r="J76" s="402" t="s">
        <v>4914</v>
      </c>
      <c r="K76" s="378" t="s">
        <v>4915</v>
      </c>
      <c r="L76" s="370"/>
      <c r="M76" s="357"/>
      <c r="N76" s="401" t="s">
        <v>4916</v>
      </c>
      <c r="O76" s="363">
        <f t="shared" ref="O76:Z76" si="90">O77+O78+O79</f>
        <v>0</v>
      </c>
      <c r="P76" s="363">
        <f t="shared" si="90"/>
        <v>0</v>
      </c>
      <c r="Q76" s="363">
        <f t="shared" si="90"/>
        <v>0</v>
      </c>
      <c r="R76" s="363">
        <f t="shared" si="90"/>
        <v>0</v>
      </c>
      <c r="S76" s="363">
        <f t="shared" si="90"/>
        <v>0</v>
      </c>
      <c r="T76" s="363">
        <f t="shared" si="90"/>
        <v>0</v>
      </c>
      <c r="U76" s="363">
        <f t="shared" si="90"/>
        <v>0</v>
      </c>
      <c r="V76" s="363">
        <f t="shared" si="90"/>
        <v>0</v>
      </c>
      <c r="W76" s="363">
        <f t="shared" si="90"/>
        <v>0</v>
      </c>
      <c r="X76" s="363">
        <f t="shared" si="90"/>
        <v>0</v>
      </c>
      <c r="Y76" s="363">
        <f t="shared" si="90"/>
        <v>0</v>
      </c>
      <c r="Z76" s="363">
        <f t="shared" si="90"/>
        <v>0</v>
      </c>
    </row>
    <row r="77" ht="33" spans="2:26">
      <c r="B77" s="377" t="s">
        <v>4917</v>
      </c>
      <c r="C77" s="377" t="s">
        <v>4918</v>
      </c>
      <c r="D77" s="403">
        <v>0</v>
      </c>
      <c r="E77" s="339">
        <f t="shared" si="6"/>
        <v>0</v>
      </c>
      <c r="F77" s="348" t="s">
        <v>4913</v>
      </c>
      <c r="G77" s="402" t="s">
        <v>4914</v>
      </c>
      <c r="H77" s="402" t="s">
        <v>4914</v>
      </c>
      <c r="I77" s="402" t="s">
        <v>4914</v>
      </c>
      <c r="J77" s="402" t="s">
        <v>4914</v>
      </c>
      <c r="K77" s="387" t="s">
        <v>4919</v>
      </c>
      <c r="L77" s="388"/>
      <c r="M77" s="370"/>
      <c r="N77" s="377" t="s">
        <v>4917</v>
      </c>
      <c r="O77" s="363">
        <f t="shared" ref="O77:O79" si="91">D77</f>
        <v>0</v>
      </c>
      <c r="P77" s="363">
        <v>0</v>
      </c>
      <c r="Q77" s="363">
        <v>0</v>
      </c>
      <c r="R77" s="363">
        <v>0</v>
      </c>
      <c r="S77" s="363">
        <v>0</v>
      </c>
      <c r="T77" s="363">
        <v>0</v>
      </c>
      <c r="U77" s="363">
        <v>0</v>
      </c>
      <c r="V77" s="363">
        <v>0</v>
      </c>
      <c r="W77" s="363">
        <v>0</v>
      </c>
      <c r="X77" s="363">
        <v>0</v>
      </c>
      <c r="Y77" s="363">
        <v>0</v>
      </c>
      <c r="Z77" s="363">
        <v>0</v>
      </c>
    </row>
    <row r="78" spans="2:26">
      <c r="B78" s="377" t="s">
        <v>4920</v>
      </c>
      <c r="C78" s="377" t="s">
        <v>4918</v>
      </c>
      <c r="D78" s="403">
        <v>0</v>
      </c>
      <c r="E78" s="339">
        <f t="shared" si="6"/>
        <v>0</v>
      </c>
      <c r="F78" s="348" t="s">
        <v>4913</v>
      </c>
      <c r="G78" s="402" t="s">
        <v>4914</v>
      </c>
      <c r="H78" s="402" t="s">
        <v>4914</v>
      </c>
      <c r="I78" s="402" t="s">
        <v>4914</v>
      </c>
      <c r="J78" s="402" t="s">
        <v>4914</v>
      </c>
      <c r="K78" s="378"/>
      <c r="L78" s="370"/>
      <c r="M78" s="370"/>
      <c r="N78" s="377" t="s">
        <v>4920</v>
      </c>
      <c r="O78" s="363">
        <f t="shared" si="91"/>
        <v>0</v>
      </c>
      <c r="P78" s="363">
        <v>0</v>
      </c>
      <c r="Q78" s="363">
        <v>0</v>
      </c>
      <c r="R78" s="363">
        <v>0</v>
      </c>
      <c r="S78" s="363">
        <v>0</v>
      </c>
      <c r="T78" s="363">
        <v>0</v>
      </c>
      <c r="U78" s="363">
        <v>0</v>
      </c>
      <c r="V78" s="363">
        <v>0</v>
      </c>
      <c r="W78" s="363">
        <v>0</v>
      </c>
      <c r="X78" s="363">
        <v>0</v>
      </c>
      <c r="Y78" s="363">
        <v>0</v>
      </c>
      <c r="Z78" s="363">
        <v>0</v>
      </c>
    </row>
    <row r="79" spans="2:26">
      <c r="B79" s="377" t="s">
        <v>4921</v>
      </c>
      <c r="C79" s="377" t="s">
        <v>4918</v>
      </c>
      <c r="D79" s="403">
        <v>0</v>
      </c>
      <c r="E79" s="339">
        <f t="shared" si="6"/>
        <v>0</v>
      </c>
      <c r="F79" s="348" t="s">
        <v>4913</v>
      </c>
      <c r="G79" s="402" t="s">
        <v>4914</v>
      </c>
      <c r="H79" s="402" t="s">
        <v>4914</v>
      </c>
      <c r="I79" s="402" t="s">
        <v>4914</v>
      </c>
      <c r="J79" s="402" t="s">
        <v>4914</v>
      </c>
      <c r="K79" s="378"/>
      <c r="L79" s="370"/>
      <c r="M79" s="370"/>
      <c r="N79" s="377" t="s">
        <v>4921</v>
      </c>
      <c r="O79" s="363">
        <f t="shared" si="91"/>
        <v>0</v>
      </c>
      <c r="P79" s="363">
        <v>0</v>
      </c>
      <c r="Q79" s="363">
        <v>0</v>
      </c>
      <c r="R79" s="363">
        <v>0</v>
      </c>
      <c r="S79" s="363">
        <v>0</v>
      </c>
      <c r="T79" s="363">
        <v>0</v>
      </c>
      <c r="U79" s="363">
        <v>0</v>
      </c>
      <c r="V79" s="363">
        <v>0</v>
      </c>
      <c r="W79" s="363">
        <v>0</v>
      </c>
      <c r="X79" s="363">
        <v>0</v>
      </c>
      <c r="Y79" s="363">
        <v>0</v>
      </c>
      <c r="Z79" s="363">
        <v>0</v>
      </c>
    </row>
    <row r="80" ht="21" spans="2:26">
      <c r="B80" s="401" t="s">
        <v>4922</v>
      </c>
      <c r="C80" s="346" t="s">
        <v>4923</v>
      </c>
      <c r="D80" s="404">
        <f>D31-D32-D50-D67-D76</f>
        <v>478922.557346359</v>
      </c>
      <c r="E80" s="405">
        <f t="shared" si="6"/>
        <v>0.121281784852135</v>
      </c>
      <c r="F80" s="348"/>
      <c r="G80" s="406">
        <f>(O80+P80+Q80)/(O18+P18+Q18)</f>
        <v>0.121281784852135</v>
      </c>
      <c r="H80" s="406">
        <f>(R80+S80+T80)/(R18+S18+T18)</f>
        <v>0.121281784852135</v>
      </c>
      <c r="I80" s="406">
        <f>(U80+V80+W80)/(U18+V18+W18)</f>
        <v>0.121281784852135</v>
      </c>
      <c r="J80" s="406">
        <f>(X80+Y80+Z80)/(X18+Y18+Z18)</f>
        <v>0.121281784852135</v>
      </c>
      <c r="K80" s="356"/>
      <c r="L80" s="357"/>
      <c r="M80" s="357"/>
      <c r="N80" s="401" t="s">
        <v>4924</v>
      </c>
      <c r="O80" s="407">
        <f t="shared" ref="O80:Z80" si="92">O31-O32-O50-O67-O76</f>
        <v>2721.15089401341</v>
      </c>
      <c r="P80" s="407">
        <f t="shared" si="92"/>
        <v>8163.45268204021</v>
      </c>
      <c r="Q80" s="407">
        <f t="shared" si="92"/>
        <v>16326.9053640804</v>
      </c>
      <c r="R80" s="407">
        <f t="shared" si="92"/>
        <v>27211.5089401341</v>
      </c>
      <c r="S80" s="407">
        <f t="shared" si="92"/>
        <v>16326.9053640804</v>
      </c>
      <c r="T80" s="407">
        <f t="shared" si="92"/>
        <v>65307.6214563217</v>
      </c>
      <c r="U80" s="407">
        <f t="shared" si="92"/>
        <v>81634.5268204021</v>
      </c>
      <c r="V80" s="407">
        <f t="shared" si="92"/>
        <v>81634.5268204021</v>
      </c>
      <c r="W80" s="407">
        <f t="shared" si="92"/>
        <v>43538.4143042145</v>
      </c>
      <c r="X80" s="407">
        <f t="shared" si="92"/>
        <v>27211.5089401341</v>
      </c>
      <c r="Y80" s="407">
        <f t="shared" si="92"/>
        <v>43538.4143042145</v>
      </c>
      <c r="Z80" s="407">
        <f t="shared" si="92"/>
        <v>65307.6214563217</v>
      </c>
    </row>
    <row r="81" spans="2:26">
      <c r="B81" s="408" t="s">
        <v>4925</v>
      </c>
      <c r="C81" s="397"/>
      <c r="D81" s="354">
        <f>SUM(O81:Z81)</f>
        <v>0</v>
      </c>
      <c r="E81" s="339"/>
      <c r="F81" s="360"/>
      <c r="G81" s="355">
        <f>G24-G25-G38-G56-G73</f>
        <v>-0.046949172417004</v>
      </c>
      <c r="H81" s="361"/>
      <c r="I81" s="361"/>
      <c r="J81" s="361"/>
      <c r="K81" s="378"/>
      <c r="L81" s="370"/>
      <c r="M81" s="370"/>
      <c r="N81" s="408" t="s">
        <v>4926</v>
      </c>
      <c r="O81" s="354">
        <f t="shared" ref="O81:Z81" si="93">SUM(Z81:AK81)</f>
        <v>0</v>
      </c>
      <c r="P81" s="354">
        <f t="shared" si="93"/>
        <v>0</v>
      </c>
      <c r="Q81" s="354">
        <f t="shared" si="93"/>
        <v>0</v>
      </c>
      <c r="R81" s="354">
        <f t="shared" si="93"/>
        <v>0</v>
      </c>
      <c r="S81" s="354">
        <f t="shared" si="93"/>
        <v>0</v>
      </c>
      <c r="T81" s="354">
        <f t="shared" si="93"/>
        <v>0</v>
      </c>
      <c r="U81" s="354">
        <f t="shared" si="93"/>
        <v>0</v>
      </c>
      <c r="V81" s="354">
        <f t="shared" si="93"/>
        <v>0</v>
      </c>
      <c r="W81" s="354">
        <f t="shared" si="93"/>
        <v>0</v>
      </c>
      <c r="X81" s="354">
        <f t="shared" si="93"/>
        <v>0</v>
      </c>
      <c r="Y81" s="354">
        <f t="shared" si="93"/>
        <v>0</v>
      </c>
      <c r="Z81" s="354">
        <f t="shared" si="93"/>
        <v>0</v>
      </c>
    </row>
    <row r="82" spans="2:26">
      <c r="B82" s="377" t="s">
        <v>4927</v>
      </c>
      <c r="C82" s="377" t="s">
        <v>4928</v>
      </c>
      <c r="D82" s="407">
        <f>D80</f>
        <v>478922.557346359</v>
      </c>
      <c r="E82" s="405">
        <f t="shared" ref="E82:E84" si="94">D82/$D$18</f>
        <v>0.121281784852135</v>
      </c>
      <c r="F82" s="360"/>
      <c r="G82" s="409">
        <f>O80+P80+Q80</f>
        <v>27211.5089401341</v>
      </c>
      <c r="H82" s="409">
        <f>R80+S80+T80</f>
        <v>108846.035760536</v>
      </c>
      <c r="I82" s="409">
        <f>U80+V80+W80</f>
        <v>206807.467945019</v>
      </c>
      <c r="J82" s="409">
        <f>X80+Y80+Z80</f>
        <v>136057.54470067</v>
      </c>
      <c r="K82" s="378"/>
      <c r="L82" s="370"/>
      <c r="M82" s="370"/>
      <c r="N82" s="377" t="s">
        <v>4927</v>
      </c>
      <c r="O82" s="407">
        <f t="shared" ref="O82:Z82" si="95">O80</f>
        <v>2721.15089401341</v>
      </c>
      <c r="P82" s="407">
        <f t="shared" si="95"/>
        <v>8163.45268204021</v>
      </c>
      <c r="Q82" s="407">
        <f t="shared" si="95"/>
        <v>16326.9053640804</v>
      </c>
      <c r="R82" s="407">
        <f t="shared" si="95"/>
        <v>27211.5089401341</v>
      </c>
      <c r="S82" s="407">
        <f t="shared" si="95"/>
        <v>16326.9053640804</v>
      </c>
      <c r="T82" s="407">
        <f t="shared" si="95"/>
        <v>65307.6214563217</v>
      </c>
      <c r="U82" s="407">
        <f t="shared" si="95"/>
        <v>81634.5268204021</v>
      </c>
      <c r="V82" s="407">
        <f t="shared" si="95"/>
        <v>81634.5268204021</v>
      </c>
      <c r="W82" s="407">
        <f t="shared" si="95"/>
        <v>43538.4143042145</v>
      </c>
      <c r="X82" s="407">
        <f t="shared" si="95"/>
        <v>27211.5089401341</v>
      </c>
      <c r="Y82" s="407">
        <f t="shared" si="95"/>
        <v>43538.4143042145</v>
      </c>
      <c r="Z82" s="407">
        <f t="shared" si="95"/>
        <v>65307.6214563217</v>
      </c>
    </row>
    <row r="83" spans="2:26">
      <c r="B83" s="377" t="s">
        <v>4929</v>
      </c>
      <c r="C83" s="377"/>
      <c r="D83" s="347">
        <f>SUM(O11:Z11)*O9</f>
        <v>2118750</v>
      </c>
      <c r="E83" s="339">
        <f t="shared" si="94"/>
        <v>0.536549756769175</v>
      </c>
      <c r="F83" s="360"/>
      <c r="G83" s="409">
        <f>SUM(O11:Q11)*$O$9</f>
        <v>251250</v>
      </c>
      <c r="H83" s="409">
        <f>SUM(R11:T11)*$O$9</f>
        <v>450000</v>
      </c>
      <c r="I83" s="409">
        <f>SUM(U11:W11)*$O$9</f>
        <v>855000</v>
      </c>
      <c r="J83" s="409">
        <f>SUM(X11:Z11)*$O$9</f>
        <v>562500</v>
      </c>
      <c r="K83" s="410"/>
      <c r="L83" s="411"/>
      <c r="M83" s="411"/>
      <c r="N83" s="377" t="s">
        <v>4929</v>
      </c>
      <c r="O83" s="354">
        <f t="shared" ref="O83:Z83" si="96">SUM(Z11:AK11)*Z9</f>
        <v>270000</v>
      </c>
      <c r="P83" s="354">
        <f t="shared" si="96"/>
        <v>0</v>
      </c>
      <c r="Q83" s="354">
        <f t="shared" si="96"/>
        <v>0</v>
      </c>
      <c r="R83" s="354">
        <f t="shared" si="96"/>
        <v>0</v>
      </c>
      <c r="S83" s="354">
        <f t="shared" si="96"/>
        <v>0</v>
      </c>
      <c r="T83" s="354">
        <f t="shared" si="96"/>
        <v>0</v>
      </c>
      <c r="U83" s="354">
        <f t="shared" si="96"/>
        <v>0</v>
      </c>
      <c r="V83" s="354">
        <f t="shared" si="96"/>
        <v>0</v>
      </c>
      <c r="W83" s="354">
        <f t="shared" si="96"/>
        <v>0</v>
      </c>
      <c r="X83" s="354">
        <f t="shared" si="96"/>
        <v>0</v>
      </c>
      <c r="Y83" s="354">
        <f t="shared" si="96"/>
        <v>0</v>
      </c>
      <c r="Z83" s="354">
        <f t="shared" si="96"/>
        <v>0</v>
      </c>
    </row>
    <row r="84" spans="2:26">
      <c r="B84" s="377" t="s">
        <v>4930</v>
      </c>
      <c r="C84" s="377"/>
      <c r="D84" s="354">
        <f>Z12*Z9</f>
        <v>0</v>
      </c>
      <c r="E84" s="339">
        <f t="shared" si="94"/>
        <v>0</v>
      </c>
      <c r="F84" s="360"/>
      <c r="G84" s="409">
        <f>Q12*$O$9</f>
        <v>0</v>
      </c>
      <c r="H84" s="409">
        <f>T12*$O$9</f>
        <v>0</v>
      </c>
      <c r="I84" s="409">
        <f>W12*$O$9</f>
        <v>0</v>
      </c>
      <c r="J84" s="409">
        <f>Z12*$O$9</f>
        <v>0</v>
      </c>
      <c r="K84" s="378"/>
      <c r="L84" s="370"/>
      <c r="M84" s="370"/>
      <c r="N84" s="377" t="s">
        <v>4930</v>
      </c>
      <c r="O84" s="354">
        <f t="shared" ref="O84:Z84" si="97">AK12*AK9</f>
        <v>0</v>
      </c>
      <c r="P84" s="354">
        <f t="shared" si="97"/>
        <v>0</v>
      </c>
      <c r="Q84" s="354">
        <f t="shared" si="97"/>
        <v>0</v>
      </c>
      <c r="R84" s="354">
        <f t="shared" si="97"/>
        <v>0</v>
      </c>
      <c r="S84" s="354">
        <f t="shared" si="97"/>
        <v>0</v>
      </c>
      <c r="T84" s="354">
        <f t="shared" si="97"/>
        <v>0</v>
      </c>
      <c r="U84" s="354">
        <f t="shared" si="97"/>
        <v>0</v>
      </c>
      <c r="V84" s="354">
        <f t="shared" si="97"/>
        <v>0</v>
      </c>
      <c r="W84" s="354">
        <f t="shared" si="97"/>
        <v>0</v>
      </c>
      <c r="X84" s="354">
        <f t="shared" si="97"/>
        <v>0</v>
      </c>
      <c r="Y84" s="354">
        <f t="shared" si="97"/>
        <v>0</v>
      </c>
      <c r="Z84" s="354">
        <f t="shared" si="97"/>
        <v>0</v>
      </c>
    </row>
    <row r="85" spans="2:26">
      <c r="B85" s="377" t="s">
        <v>4931</v>
      </c>
      <c r="C85" s="377"/>
      <c r="D85" s="412">
        <f>Z13</f>
        <v>0</v>
      </c>
      <c r="E85" s="413" t="s">
        <v>4914</v>
      </c>
      <c r="F85" s="360"/>
      <c r="G85" s="412">
        <f>Q13</f>
        <v>0</v>
      </c>
      <c r="H85" s="412">
        <f>T13</f>
        <v>0</v>
      </c>
      <c r="I85" s="412">
        <f>W13</f>
        <v>0</v>
      </c>
      <c r="J85" s="412">
        <f>Z13</f>
        <v>0</v>
      </c>
      <c r="K85" s="378"/>
      <c r="L85" s="370"/>
      <c r="M85" s="370"/>
      <c r="N85" s="377" t="s">
        <v>4931</v>
      </c>
      <c r="O85" s="412">
        <f t="shared" ref="O85:Z85" si="98">AK13</f>
        <v>0</v>
      </c>
      <c r="P85" s="412">
        <f t="shared" si="98"/>
        <v>0</v>
      </c>
      <c r="Q85" s="412">
        <f t="shared" si="98"/>
        <v>0</v>
      </c>
      <c r="R85" s="412">
        <f t="shared" si="98"/>
        <v>0</v>
      </c>
      <c r="S85" s="412">
        <f t="shared" si="98"/>
        <v>0</v>
      </c>
      <c r="T85" s="412">
        <f t="shared" si="98"/>
        <v>0</v>
      </c>
      <c r="U85" s="412">
        <f t="shared" si="98"/>
        <v>0</v>
      </c>
      <c r="V85" s="412">
        <f t="shared" si="98"/>
        <v>0</v>
      </c>
      <c r="W85" s="412">
        <f t="shared" si="98"/>
        <v>0</v>
      </c>
      <c r="X85" s="412">
        <f t="shared" si="98"/>
        <v>0</v>
      </c>
      <c r="Y85" s="412">
        <f t="shared" si="98"/>
        <v>0</v>
      </c>
      <c r="Z85" s="412">
        <f t="shared" si="98"/>
        <v>0</v>
      </c>
    </row>
    <row r="86" spans="2:26">
      <c r="B86" s="377" t="s">
        <v>4932</v>
      </c>
      <c r="C86" s="377" t="s">
        <v>4933</v>
      </c>
      <c r="D86" s="413" t="s">
        <v>4914</v>
      </c>
      <c r="E86" s="413" t="s">
        <v>4914</v>
      </c>
      <c r="F86" s="360"/>
      <c r="G86" s="414"/>
      <c r="H86" s="414"/>
      <c r="I86" s="414"/>
      <c r="J86" s="414"/>
      <c r="K86" s="378"/>
      <c r="L86" s="370"/>
      <c r="M86" s="370"/>
      <c r="N86" s="377" t="s">
        <v>4932</v>
      </c>
      <c r="O86" s="413" t="s">
        <v>4914</v>
      </c>
      <c r="P86" s="413" t="s">
        <v>4914</v>
      </c>
      <c r="Q86" s="413" t="s">
        <v>4914</v>
      </c>
      <c r="R86" s="413" t="s">
        <v>4914</v>
      </c>
      <c r="S86" s="413" t="s">
        <v>4914</v>
      </c>
      <c r="T86" s="413" t="s">
        <v>4914</v>
      </c>
      <c r="U86" s="413" t="s">
        <v>4914</v>
      </c>
      <c r="V86" s="413" t="s">
        <v>4914</v>
      </c>
      <c r="W86" s="413" t="s">
        <v>4914</v>
      </c>
      <c r="X86" s="413" t="s">
        <v>4914</v>
      </c>
      <c r="Y86" s="413" t="s">
        <v>4914</v>
      </c>
      <c r="Z86" s="413" t="s">
        <v>4914</v>
      </c>
    </row>
    <row r="87" spans="2:26">
      <c r="B87" s="377" t="s">
        <v>4934</v>
      </c>
      <c r="C87" s="377" t="s">
        <v>4933</v>
      </c>
      <c r="D87" s="413" t="s">
        <v>4914</v>
      </c>
      <c r="E87" s="413" t="s">
        <v>4914</v>
      </c>
      <c r="F87" s="415"/>
      <c r="G87" s="414"/>
      <c r="H87" s="414"/>
      <c r="I87" s="414"/>
      <c r="J87" s="414"/>
      <c r="K87" s="378"/>
      <c r="L87" s="370"/>
      <c r="M87" s="370"/>
      <c r="N87" s="377" t="s">
        <v>4934</v>
      </c>
      <c r="O87" s="413" t="s">
        <v>4914</v>
      </c>
      <c r="P87" s="413" t="s">
        <v>4914</v>
      </c>
      <c r="Q87" s="413" t="s">
        <v>4914</v>
      </c>
      <c r="R87" s="413" t="s">
        <v>4914</v>
      </c>
      <c r="S87" s="413" t="s">
        <v>4914</v>
      </c>
      <c r="T87" s="413" t="s">
        <v>4914</v>
      </c>
      <c r="U87" s="413" t="s">
        <v>4914</v>
      </c>
      <c r="V87" s="413" t="s">
        <v>4914</v>
      </c>
      <c r="W87" s="413" t="s">
        <v>4914</v>
      </c>
      <c r="X87" s="413" t="s">
        <v>4914</v>
      </c>
      <c r="Y87" s="413" t="s">
        <v>4914</v>
      </c>
      <c r="Z87" s="413" t="s">
        <v>4914</v>
      </c>
    </row>
    <row r="88" spans="2:26">
      <c r="C88" s="265" t="s">
        <v>4935</v>
      </c>
      <c r="D88" s="266">
        <f>SUM(O80:Z80)-D80</f>
        <v>0</v>
      </c>
      <c r="R88" s="265"/>
    </row>
    <row r="89" spans="2:26">
      <c r="R89" s="265"/>
    </row>
    <row r="90" spans="2:26">
      <c r="R90" s="265"/>
    </row>
    <row r="96" spans="2:26">
      <c r="H96" s="416">
        <f>379.99*15%</f>
        <v>56.9985</v>
      </c>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59"/>
  <sheetViews>
    <sheetView topLeftCell="AB3" workbookViewId="0">
      <selection activeCell="AK35" sqref="AK35"/>
    </sheetView>
  </sheetViews>
  <sheetFormatPr defaultColWidth="9" defaultRowHeight="16.5"/>
  <cols>
    <col min="1" max="1" width="7.50833333333333" style="137" customWidth="1"/>
    <col min="2" max="2" width="6.75833333333333" style="138" customWidth="1"/>
    <col min="3" max="3" width="36.2583333333333" style="138" customWidth="1"/>
    <col min="4" max="5" width="15.6333333333333" style="138" customWidth="1"/>
    <col min="6" max="6" width="19.8166666666667" style="138" customWidth="1"/>
    <col min="7" max="7" width="35.2583333333333" style="138" customWidth="1"/>
    <col min="8" max="8" width="11.3833333333333" style="138" customWidth="1"/>
    <col min="9" max="9" width="35" style="138" customWidth="1"/>
    <col min="10" max="10" width="2.675" style="139" customWidth="1"/>
    <col min="11" max="11" width="7.50833333333333" style="137" customWidth="1"/>
    <col min="12" max="12" width="6.75833333333333" style="138" customWidth="1"/>
    <col min="13" max="13" width="36.25" style="138" customWidth="1"/>
    <col min="14" max="16" width="15.6333333333333" style="138" customWidth="1"/>
    <col min="17" max="17" width="35.2583333333333" style="138" customWidth="1"/>
    <col min="18" max="18" width="11.3833333333333" style="138" customWidth="1"/>
    <col min="19" max="19" width="35" style="138" customWidth="1"/>
    <col min="20" max="20" width="0.875" customWidth="1"/>
    <col min="21" max="21" width="7.50833333333333" style="137" customWidth="1"/>
    <col min="22" max="22" width="6.75833333333333" style="138" customWidth="1"/>
    <col min="23" max="23" width="36.2583333333333" style="138" customWidth="1"/>
    <col min="24" max="26" width="15.6333333333333" style="138" customWidth="1"/>
    <col min="27" max="27" width="35.2583333333333" style="138" customWidth="1"/>
    <col min="28" max="28" width="11.3833333333333" style="138" customWidth="1"/>
    <col min="29" max="29" width="35" style="138" customWidth="1"/>
    <col min="30" max="30" width="0.891666666666667" customWidth="1"/>
    <col min="31" max="31" width="7.50833333333333" style="140" customWidth="1"/>
    <col min="32" max="32" width="6.75833333333333" style="139" customWidth="1"/>
    <col min="33" max="33" width="36.25" style="139" customWidth="1"/>
    <col min="34" max="36" width="15.6333333333333" style="139" customWidth="1"/>
    <col min="37" max="37" width="35.2583333333333" style="139" customWidth="1"/>
    <col min="38" max="38" width="11.3833333333333" style="139" customWidth="1"/>
    <col min="39" max="39" width="35" style="139" customWidth="1"/>
    <col min="40" max="40" width="1.45833333333333" style="141" customWidth="1"/>
  </cols>
  <sheetData>
    <row r="1" ht="22.5" spans="1:39">
      <c r="B1" s="142" t="s">
        <v>4937</v>
      </c>
      <c r="C1" s="142"/>
      <c r="D1" s="142"/>
      <c r="E1" s="142"/>
      <c r="F1" s="142"/>
      <c r="G1" s="142"/>
      <c r="H1" s="142"/>
      <c r="I1" s="143"/>
      <c r="J1" s="144"/>
      <c r="L1" s="142" t="s">
        <v>4938</v>
      </c>
      <c r="M1" s="142"/>
      <c r="N1" s="142"/>
      <c r="O1" s="142"/>
      <c r="P1" s="142"/>
      <c r="Q1" s="142"/>
      <c r="R1" s="142"/>
      <c r="S1" s="142"/>
      <c r="V1" s="142" t="s">
        <v>4939</v>
      </c>
      <c r="W1" s="142"/>
      <c r="X1" s="142"/>
      <c r="Y1" s="142"/>
      <c r="Z1" s="142"/>
      <c r="AA1" s="142"/>
      <c r="AB1" s="142"/>
      <c r="AC1" s="142"/>
      <c r="AF1" s="142" t="s">
        <v>4940</v>
      </c>
      <c r="AG1" s="142"/>
      <c r="AH1" s="142"/>
      <c r="AI1" s="142"/>
      <c r="AJ1" s="142"/>
      <c r="AK1" s="142"/>
      <c r="AL1" s="142"/>
      <c r="AM1" s="142"/>
    </row>
    <row r="2" ht="23.25" spans="1:39">
      <c r="B2" s="145"/>
      <c r="C2" s="145"/>
      <c r="D2" s="145"/>
      <c r="E2" s="145"/>
      <c r="F2" s="145"/>
      <c r="G2" s="145"/>
      <c r="H2" s="145"/>
      <c r="I2" s="146"/>
      <c r="J2" s="144"/>
      <c r="L2" s="145"/>
      <c r="M2" s="145"/>
      <c r="N2" s="145"/>
      <c r="O2" s="145"/>
      <c r="P2" s="145"/>
      <c r="Q2" s="145"/>
      <c r="R2" s="145"/>
      <c r="S2" s="145"/>
      <c r="V2" s="145"/>
      <c r="W2" s="145"/>
      <c r="X2" s="145"/>
      <c r="Y2" s="145"/>
      <c r="Z2" s="145"/>
      <c r="AA2" s="145"/>
      <c r="AB2" s="145"/>
      <c r="AC2" s="145"/>
      <c r="AF2" s="145"/>
      <c r="AG2" s="145"/>
      <c r="AH2" s="145"/>
      <c r="AI2" s="145"/>
      <c r="AJ2" s="145"/>
      <c r="AK2" s="145"/>
      <c r="AL2" s="145"/>
      <c r="AM2" s="145"/>
    </row>
    <row r="3" ht="13.5" spans="1:39">
      <c r="A3" s="147" t="s">
        <v>4941</v>
      </c>
      <c r="B3" s="148" t="s">
        <v>3046</v>
      </c>
      <c r="C3" s="149" t="s">
        <v>4942</v>
      </c>
      <c r="D3" s="150" t="s">
        <v>4943</v>
      </c>
      <c r="E3" s="151"/>
      <c r="F3" s="151"/>
      <c r="G3" s="151"/>
      <c r="H3" s="151"/>
      <c r="I3" s="151"/>
      <c r="J3" s="152"/>
      <c r="K3" s="147" t="s">
        <v>4941</v>
      </c>
      <c r="L3" s="148" t="s">
        <v>3046</v>
      </c>
      <c r="M3" s="149" t="s">
        <v>4942</v>
      </c>
      <c r="N3" s="150" t="s">
        <v>4943</v>
      </c>
      <c r="O3" s="151"/>
      <c r="P3" s="151"/>
      <c r="Q3" s="151"/>
      <c r="R3" s="151"/>
      <c r="S3" s="153"/>
      <c r="U3" s="147" t="s">
        <v>4941</v>
      </c>
      <c r="V3" s="148" t="s">
        <v>3046</v>
      </c>
      <c r="W3" s="149" t="s">
        <v>4942</v>
      </c>
      <c r="X3" s="150" t="s">
        <v>4943</v>
      </c>
      <c r="Y3" s="151"/>
      <c r="Z3" s="151"/>
      <c r="AA3" s="151"/>
      <c r="AB3" s="151"/>
      <c r="AC3" s="153"/>
      <c r="AE3" s="147" t="s">
        <v>4941</v>
      </c>
      <c r="AF3" s="148" t="s">
        <v>3046</v>
      </c>
      <c r="AG3" s="149" t="s">
        <v>4942</v>
      </c>
      <c r="AH3" s="150" t="s">
        <v>4943</v>
      </c>
      <c r="AI3" s="151"/>
      <c r="AJ3" s="151"/>
      <c r="AK3" s="151"/>
      <c r="AL3" s="151"/>
      <c r="AM3" s="153"/>
    </row>
    <row r="4" ht="13.5" spans="1:39">
      <c r="A4" s="154"/>
      <c r="B4" s="155">
        <f t="shared" ref="B4:B16" si="0">ROW()-3</f>
        <v>1</v>
      </c>
      <c r="C4" s="156" t="s">
        <v>4944</v>
      </c>
      <c r="D4" s="157"/>
      <c r="E4" s="158"/>
      <c r="F4" s="158"/>
      <c r="G4" s="158"/>
      <c r="H4" s="158"/>
      <c r="I4" s="158"/>
      <c r="J4" s="159"/>
      <c r="K4" s="154"/>
      <c r="L4" s="155">
        <f t="shared" ref="L4:L16" si="1">ROW()-3</f>
        <v>1</v>
      </c>
      <c r="M4" s="156" t="s">
        <v>4944</v>
      </c>
      <c r="N4" s="157" t="s">
        <v>4945</v>
      </c>
      <c r="O4" s="158"/>
      <c r="P4" s="158"/>
      <c r="Q4" s="158"/>
      <c r="R4" s="158"/>
      <c r="S4" s="160"/>
      <c r="U4" s="154"/>
      <c r="V4" s="155">
        <f t="shared" ref="V4:V16" si="2">ROW()-3</f>
        <v>1</v>
      </c>
      <c r="W4" s="156" t="s">
        <v>4944</v>
      </c>
      <c r="X4" s="157"/>
      <c r="Y4" s="158"/>
      <c r="Z4" s="158"/>
      <c r="AA4" s="158"/>
      <c r="AB4" s="158"/>
      <c r="AC4" s="160"/>
      <c r="AE4" s="154"/>
      <c r="AF4" s="155">
        <v>1</v>
      </c>
      <c r="AG4" s="156" t="s">
        <v>4944</v>
      </c>
      <c r="AH4" s="157"/>
      <c r="AI4" s="158"/>
      <c r="AJ4" s="158"/>
      <c r="AK4" s="158"/>
      <c r="AL4" s="158"/>
      <c r="AM4" s="160"/>
    </row>
    <row r="5" ht="13.5" spans="1:39">
      <c r="A5" s="154"/>
      <c r="B5" s="155">
        <f t="shared" si="0"/>
        <v>2</v>
      </c>
      <c r="C5" s="156" t="s">
        <v>4946</v>
      </c>
      <c r="D5" s="161" t="s">
        <v>4947</v>
      </c>
      <c r="E5" s="162"/>
      <c r="F5" s="162"/>
      <c r="G5" s="162"/>
      <c r="H5" s="162"/>
      <c r="I5" s="162"/>
      <c r="J5" s="163"/>
      <c r="K5" s="154"/>
      <c r="L5" s="155">
        <f t="shared" si="1"/>
        <v>2</v>
      </c>
      <c r="M5" s="156" t="s">
        <v>4946</v>
      </c>
      <c r="N5" s="161" t="s">
        <v>4948</v>
      </c>
      <c r="O5" s="162"/>
      <c r="P5" s="162"/>
      <c r="Q5" s="162"/>
      <c r="R5" s="162"/>
      <c r="S5" s="164"/>
      <c r="U5" s="154"/>
      <c r="V5" s="155">
        <f t="shared" si="2"/>
        <v>2</v>
      </c>
      <c r="W5" s="156" t="s">
        <v>4946</v>
      </c>
      <c r="X5" s="161"/>
      <c r="Y5" s="162"/>
      <c r="Z5" s="162"/>
      <c r="AA5" s="162"/>
      <c r="AB5" s="162"/>
      <c r="AC5" s="164"/>
      <c r="AE5" s="154"/>
      <c r="AF5" s="155">
        <v>2</v>
      </c>
      <c r="AG5" s="156" t="s">
        <v>4946</v>
      </c>
      <c r="AH5" s="161" t="s">
        <v>4949</v>
      </c>
      <c r="AI5" s="162"/>
      <c r="AJ5" s="162"/>
      <c r="AK5" s="162"/>
      <c r="AL5" s="162"/>
      <c r="AM5" s="164"/>
    </row>
    <row r="6" ht="13.5" spans="1:39">
      <c r="A6" s="154"/>
      <c r="B6" s="155">
        <f t="shared" si="0"/>
        <v>3</v>
      </c>
      <c r="C6" s="156" t="s">
        <v>4950</v>
      </c>
      <c r="D6" s="161" t="s">
        <v>4951</v>
      </c>
      <c r="E6" s="162"/>
      <c r="F6" s="162"/>
      <c r="G6" s="162"/>
      <c r="H6" s="162"/>
      <c r="I6" s="162"/>
      <c r="J6" s="163"/>
      <c r="K6" s="154"/>
      <c r="L6" s="155">
        <f t="shared" si="1"/>
        <v>3</v>
      </c>
      <c r="M6" s="156" t="s">
        <v>4950</v>
      </c>
      <c r="N6" s="161" t="s">
        <v>4952</v>
      </c>
      <c r="O6" s="162"/>
      <c r="P6" s="162"/>
      <c r="Q6" s="162"/>
      <c r="R6" s="162"/>
      <c r="S6" s="164"/>
      <c r="U6" s="154"/>
      <c r="V6" s="155">
        <f t="shared" si="2"/>
        <v>3</v>
      </c>
      <c r="W6" s="156" t="s">
        <v>4950</v>
      </c>
      <c r="X6" s="161"/>
      <c r="Y6" s="162"/>
      <c r="Z6" s="162"/>
      <c r="AA6" s="162"/>
      <c r="AB6" s="162"/>
      <c r="AC6" s="164"/>
      <c r="AE6" s="154"/>
      <c r="AF6" s="155">
        <v>3</v>
      </c>
      <c r="AG6" s="156" t="s">
        <v>4950</v>
      </c>
      <c r="AH6" s="161" t="s">
        <v>4953</v>
      </c>
      <c r="AI6" s="162"/>
      <c r="AJ6" s="162"/>
      <c r="AK6" s="162"/>
      <c r="AL6" s="162"/>
      <c r="AM6" s="164"/>
    </row>
    <row r="7" ht="14.25" spans="1:39">
      <c r="A7" s="165"/>
      <c r="B7" s="155">
        <f t="shared" si="0"/>
        <v>4</v>
      </c>
      <c r="C7" s="166" t="s">
        <v>4954</v>
      </c>
      <c r="D7" s="167" t="s">
        <v>4955</v>
      </c>
      <c r="E7" s="168"/>
      <c r="F7" s="168"/>
      <c r="G7" s="168"/>
      <c r="H7" s="168"/>
      <c r="I7" s="168"/>
      <c r="J7" s="169"/>
      <c r="K7" s="165"/>
      <c r="L7" s="155">
        <f t="shared" si="1"/>
        <v>4</v>
      </c>
      <c r="M7" s="166" t="s">
        <v>4954</v>
      </c>
      <c r="N7" s="167" t="s">
        <v>4955</v>
      </c>
      <c r="O7" s="168"/>
      <c r="P7" s="168"/>
      <c r="Q7" s="168"/>
      <c r="R7" s="168"/>
      <c r="S7" s="170"/>
      <c r="U7" s="165"/>
      <c r="V7" s="155">
        <f t="shared" si="2"/>
        <v>4</v>
      </c>
      <c r="W7" s="166" t="s">
        <v>4954</v>
      </c>
      <c r="X7" s="167"/>
      <c r="Y7" s="168"/>
      <c r="Z7" s="168"/>
      <c r="AA7" s="168"/>
      <c r="AB7" s="168"/>
      <c r="AC7" s="170"/>
      <c r="AE7" s="165"/>
      <c r="AF7" s="155">
        <v>4</v>
      </c>
      <c r="AG7" s="166" t="s">
        <v>4954</v>
      </c>
      <c r="AH7" s="167" t="s">
        <v>4956</v>
      </c>
      <c r="AI7" s="168"/>
      <c r="AJ7" s="168"/>
      <c r="AK7" s="168"/>
      <c r="AL7" s="168"/>
      <c r="AM7" s="170"/>
    </row>
    <row r="8" ht="13.5" spans="1:39">
      <c r="A8" s="171" t="s">
        <v>4957</v>
      </c>
      <c r="B8" s="155">
        <f t="shared" si="0"/>
        <v>5</v>
      </c>
      <c r="C8" s="172" t="s">
        <v>4958</v>
      </c>
      <c r="D8" s="173" t="s">
        <v>4959</v>
      </c>
      <c r="E8" s="174"/>
      <c r="F8" s="174"/>
      <c r="G8" s="174"/>
      <c r="H8" s="174"/>
      <c r="I8" s="174"/>
      <c r="J8" s="169"/>
      <c r="K8" s="171" t="s">
        <v>4957</v>
      </c>
      <c r="L8" s="155">
        <f t="shared" si="1"/>
        <v>5</v>
      </c>
      <c r="M8" s="172" t="s">
        <v>4958</v>
      </c>
      <c r="N8" s="173" t="s">
        <v>4960</v>
      </c>
      <c r="O8" s="174"/>
      <c r="P8" s="174"/>
      <c r="Q8" s="174"/>
      <c r="R8" s="174"/>
      <c r="S8" s="175"/>
      <c r="U8" s="171" t="s">
        <v>4957</v>
      </c>
      <c r="V8" s="155">
        <f t="shared" si="2"/>
        <v>5</v>
      </c>
      <c r="W8" s="172" t="s">
        <v>4958</v>
      </c>
      <c r="X8" s="173"/>
      <c r="Y8" s="174"/>
      <c r="Z8" s="174"/>
      <c r="AA8" s="174"/>
      <c r="AB8" s="174"/>
      <c r="AC8" s="175"/>
      <c r="AE8" s="171" t="s">
        <v>4957</v>
      </c>
      <c r="AF8" s="155">
        <v>5</v>
      </c>
      <c r="AG8" s="172" t="s">
        <v>4958</v>
      </c>
      <c r="AH8" s="173"/>
      <c r="AI8" s="174"/>
      <c r="AJ8" s="174"/>
      <c r="AK8" s="174"/>
      <c r="AL8" s="174"/>
      <c r="AM8" s="175"/>
    </row>
    <row r="9" ht="13.5" spans="1:39">
      <c r="A9" s="176"/>
      <c r="B9" s="155">
        <f t="shared" si="0"/>
        <v>6</v>
      </c>
      <c r="C9" s="177" t="s">
        <v>4961</v>
      </c>
      <c r="D9" s="178" t="s">
        <v>4962</v>
      </c>
      <c r="E9" s="179"/>
      <c r="F9" s="179"/>
      <c r="G9" s="179"/>
      <c r="H9" s="179"/>
      <c r="I9" s="179"/>
      <c r="J9" s="169"/>
      <c r="K9" s="176"/>
      <c r="L9" s="155">
        <f t="shared" si="1"/>
        <v>6</v>
      </c>
      <c r="M9" s="177" t="s">
        <v>4961</v>
      </c>
      <c r="N9" s="178" t="s">
        <v>4962</v>
      </c>
      <c r="O9" s="179"/>
      <c r="P9" s="179"/>
      <c r="Q9" s="179"/>
      <c r="R9" s="179"/>
      <c r="S9" s="180"/>
      <c r="U9" s="176"/>
      <c r="V9" s="155">
        <f t="shared" si="2"/>
        <v>6</v>
      </c>
      <c r="W9" s="177" t="s">
        <v>4961</v>
      </c>
      <c r="X9" s="178"/>
      <c r="Y9" s="179"/>
      <c r="Z9" s="179"/>
      <c r="AA9" s="179"/>
      <c r="AB9" s="179"/>
      <c r="AC9" s="180"/>
      <c r="AE9" s="176"/>
      <c r="AF9" s="155">
        <v>6</v>
      </c>
      <c r="AG9" s="177" t="s">
        <v>4961</v>
      </c>
      <c r="AH9" s="178"/>
      <c r="AI9" s="179"/>
      <c r="AJ9" s="179"/>
      <c r="AK9" s="179"/>
      <c r="AL9" s="179"/>
      <c r="AM9" s="180"/>
    </row>
    <row r="10" ht="13.5" spans="1:39">
      <c r="A10" s="176"/>
      <c r="B10" s="155">
        <f t="shared" si="0"/>
        <v>7</v>
      </c>
      <c r="C10" s="177" t="s">
        <v>4963</v>
      </c>
      <c r="D10" s="178" t="s">
        <v>4962</v>
      </c>
      <c r="E10" s="179"/>
      <c r="F10" s="179"/>
      <c r="G10" s="179"/>
      <c r="H10" s="179"/>
      <c r="I10" s="179"/>
      <c r="J10" s="169"/>
      <c r="K10" s="176"/>
      <c r="L10" s="155">
        <f t="shared" si="1"/>
        <v>7</v>
      </c>
      <c r="M10" s="177" t="s">
        <v>4963</v>
      </c>
      <c r="N10" s="178" t="s">
        <v>4962</v>
      </c>
      <c r="O10" s="179"/>
      <c r="P10" s="179"/>
      <c r="Q10" s="179"/>
      <c r="R10" s="179"/>
      <c r="S10" s="180"/>
      <c r="U10" s="176"/>
      <c r="V10" s="155">
        <f t="shared" si="2"/>
        <v>7</v>
      </c>
      <c r="W10" s="177" t="s">
        <v>4963</v>
      </c>
      <c r="X10" s="178"/>
      <c r="Y10" s="179"/>
      <c r="Z10" s="179"/>
      <c r="AA10" s="179"/>
      <c r="AB10" s="179"/>
      <c r="AC10" s="180"/>
      <c r="AE10" s="176"/>
      <c r="AF10" s="155">
        <v>7</v>
      </c>
      <c r="AG10" s="177" t="s">
        <v>4963</v>
      </c>
      <c r="AH10" s="178"/>
      <c r="AI10" s="179"/>
      <c r="AJ10" s="179"/>
      <c r="AK10" s="179"/>
      <c r="AL10" s="179"/>
      <c r="AM10" s="180"/>
    </row>
    <row r="11" ht="13.5" spans="1:39">
      <c r="A11" s="176"/>
      <c r="B11" s="155">
        <f t="shared" si="0"/>
        <v>8</v>
      </c>
      <c r="C11" s="177" t="s">
        <v>4964</v>
      </c>
      <c r="D11" s="178" t="s">
        <v>4965</v>
      </c>
      <c r="E11" s="179"/>
      <c r="F11" s="179"/>
      <c r="G11" s="179"/>
      <c r="H11" s="179"/>
      <c r="I11" s="179"/>
      <c r="J11" s="169"/>
      <c r="K11" s="176"/>
      <c r="L11" s="155">
        <f t="shared" si="1"/>
        <v>8</v>
      </c>
      <c r="M11" s="177" t="s">
        <v>4964</v>
      </c>
      <c r="N11" s="178" t="s">
        <v>4965</v>
      </c>
      <c r="O11" s="179"/>
      <c r="P11" s="179"/>
      <c r="Q11" s="179"/>
      <c r="R11" s="179"/>
      <c r="S11" s="180"/>
      <c r="U11" s="176"/>
      <c r="V11" s="155">
        <f t="shared" si="2"/>
        <v>8</v>
      </c>
      <c r="W11" s="177" t="s">
        <v>4964</v>
      </c>
      <c r="X11" s="178"/>
      <c r="Y11" s="179"/>
      <c r="Z11" s="179"/>
      <c r="AA11" s="179"/>
      <c r="AB11" s="179"/>
      <c r="AC11" s="180"/>
      <c r="AE11" s="176"/>
      <c r="AF11" s="155">
        <v>8</v>
      </c>
      <c r="AG11" s="177" t="s">
        <v>4964</v>
      </c>
      <c r="AH11" s="178"/>
      <c r="AI11" s="179"/>
      <c r="AJ11" s="179"/>
      <c r="AK11" s="179"/>
      <c r="AL11" s="179"/>
      <c r="AM11" s="180"/>
    </row>
    <row r="12" ht="13.5" spans="1:39">
      <c r="A12" s="176"/>
      <c r="B12" s="155">
        <f t="shared" si="0"/>
        <v>9</v>
      </c>
      <c r="C12" s="177" t="s">
        <v>4966</v>
      </c>
      <c r="D12" s="178" t="s">
        <v>4967</v>
      </c>
      <c r="E12" s="179"/>
      <c r="F12" s="179"/>
      <c r="G12" s="179"/>
      <c r="H12" s="179"/>
      <c r="I12" s="179"/>
      <c r="J12" s="169"/>
      <c r="K12" s="176"/>
      <c r="L12" s="155">
        <f t="shared" si="1"/>
        <v>9</v>
      </c>
      <c r="M12" s="177" t="s">
        <v>4966</v>
      </c>
      <c r="N12" s="178" t="s">
        <v>4968</v>
      </c>
      <c r="O12" s="179"/>
      <c r="P12" s="179"/>
      <c r="Q12" s="179"/>
      <c r="R12" s="179"/>
      <c r="S12" s="180"/>
      <c r="U12" s="176"/>
      <c r="V12" s="155">
        <f t="shared" si="2"/>
        <v>9</v>
      </c>
      <c r="W12" s="177" t="s">
        <v>4966</v>
      </c>
      <c r="X12" s="178"/>
      <c r="Y12" s="179"/>
      <c r="Z12" s="179"/>
      <c r="AA12" s="179"/>
      <c r="AB12" s="179"/>
      <c r="AC12" s="180"/>
      <c r="AE12" s="176"/>
      <c r="AF12" s="155">
        <v>9</v>
      </c>
      <c r="AG12" s="177" t="s">
        <v>4966</v>
      </c>
      <c r="AH12" s="178"/>
      <c r="AI12" s="179"/>
      <c r="AJ12" s="179"/>
      <c r="AK12" s="179"/>
      <c r="AL12" s="179"/>
      <c r="AM12" s="180"/>
    </row>
    <row r="13" ht="13.5" spans="1:39">
      <c r="A13" s="176"/>
      <c r="B13" s="155">
        <f t="shared" si="0"/>
        <v>10</v>
      </c>
      <c r="C13" s="177" t="s">
        <v>4969</v>
      </c>
      <c r="D13" s="178"/>
      <c r="E13" s="179"/>
      <c r="F13" s="179"/>
      <c r="G13" s="179"/>
      <c r="H13" s="179"/>
      <c r="I13" s="179"/>
      <c r="J13" s="169"/>
      <c r="K13" s="176"/>
      <c r="L13" s="155">
        <f t="shared" si="1"/>
        <v>10</v>
      </c>
      <c r="M13" s="177" t="s">
        <v>4969</v>
      </c>
      <c r="N13" s="178"/>
      <c r="O13" s="179"/>
      <c r="P13" s="179"/>
      <c r="Q13" s="179"/>
      <c r="R13" s="179"/>
      <c r="S13" s="180"/>
      <c r="U13" s="176"/>
      <c r="V13" s="155">
        <f t="shared" si="2"/>
        <v>10</v>
      </c>
      <c r="W13" s="177" t="s">
        <v>4969</v>
      </c>
      <c r="X13" s="178"/>
      <c r="Y13" s="179"/>
      <c r="Z13" s="179"/>
      <c r="AA13" s="179"/>
      <c r="AB13" s="179"/>
      <c r="AC13" s="180"/>
      <c r="AE13" s="176"/>
      <c r="AF13" s="155">
        <v>10</v>
      </c>
      <c r="AG13" s="177" t="s">
        <v>4969</v>
      </c>
      <c r="AH13" s="178"/>
      <c r="AI13" s="179"/>
      <c r="AJ13" s="179"/>
      <c r="AK13" s="179"/>
      <c r="AL13" s="179"/>
      <c r="AM13" s="180"/>
    </row>
    <row r="14" ht="13.5" spans="1:39">
      <c r="A14" s="176"/>
      <c r="B14" s="155">
        <f t="shared" si="0"/>
        <v>11</v>
      </c>
      <c r="C14" s="177" t="s">
        <v>4970</v>
      </c>
      <c r="D14" s="181"/>
      <c r="E14" s="182"/>
      <c r="F14" s="182"/>
      <c r="G14" s="182"/>
      <c r="H14" s="182"/>
      <c r="I14" s="182"/>
      <c r="J14" s="169"/>
      <c r="K14" s="176"/>
      <c r="L14" s="155">
        <f t="shared" si="1"/>
        <v>11</v>
      </c>
      <c r="M14" s="177" t="s">
        <v>4970</v>
      </c>
      <c r="N14" s="181"/>
      <c r="O14" s="182"/>
      <c r="P14" s="182"/>
      <c r="Q14" s="182"/>
      <c r="R14" s="182"/>
      <c r="S14" s="183"/>
      <c r="U14" s="176"/>
      <c r="V14" s="155">
        <f t="shared" si="2"/>
        <v>11</v>
      </c>
      <c r="W14" s="177" t="s">
        <v>4970</v>
      </c>
      <c r="X14" s="181"/>
      <c r="Y14" s="182"/>
      <c r="Z14" s="182"/>
      <c r="AA14" s="182"/>
      <c r="AB14" s="182"/>
      <c r="AC14" s="183"/>
      <c r="AE14" s="176"/>
      <c r="AF14" s="155">
        <v>11</v>
      </c>
      <c r="AG14" s="177" t="s">
        <v>4970</v>
      </c>
      <c r="AH14" s="181"/>
      <c r="AI14" s="182"/>
      <c r="AJ14" s="182"/>
      <c r="AK14" s="182"/>
      <c r="AL14" s="182"/>
      <c r="AM14" s="183"/>
    </row>
    <row r="15" ht="14.25" spans="1:39">
      <c r="A15" s="176"/>
      <c r="B15" s="184">
        <f t="shared" si="0"/>
        <v>12</v>
      </c>
      <c r="C15" s="185" t="s">
        <v>4971</v>
      </c>
      <c r="D15" s="186"/>
      <c r="E15" s="186"/>
      <c r="F15" s="186"/>
      <c r="G15" s="186"/>
      <c r="H15" s="186"/>
      <c r="I15" s="186"/>
      <c r="J15" s="186"/>
      <c r="K15" s="176"/>
      <c r="L15" s="184">
        <f t="shared" si="1"/>
        <v>12</v>
      </c>
      <c r="M15" s="185" t="s">
        <v>4971</v>
      </c>
      <c r="N15" s="186"/>
      <c r="O15" s="186"/>
      <c r="P15" s="186"/>
      <c r="Q15" s="186"/>
      <c r="R15" s="186"/>
      <c r="S15" s="187"/>
      <c r="U15" s="176"/>
      <c r="V15" s="184">
        <f t="shared" si="2"/>
        <v>12</v>
      </c>
      <c r="W15" s="185" t="s">
        <v>4971</v>
      </c>
      <c r="X15" s="186"/>
      <c r="Y15" s="186"/>
      <c r="Z15" s="186"/>
      <c r="AA15" s="186"/>
      <c r="AB15" s="186"/>
      <c r="AC15" s="187"/>
      <c r="AE15" s="176"/>
      <c r="AF15" s="184">
        <v>12</v>
      </c>
      <c r="AG15" s="185" t="s">
        <v>4971</v>
      </c>
      <c r="AH15" s="186"/>
      <c r="AI15" s="186"/>
      <c r="AJ15" s="186"/>
      <c r="AK15" s="186"/>
      <c r="AL15" s="186"/>
      <c r="AM15" s="187"/>
    </row>
    <row r="16" spans="1:39">
      <c r="A16" s="171" t="s">
        <v>4972</v>
      </c>
      <c r="B16" s="188">
        <f t="shared" si="0"/>
        <v>13</v>
      </c>
      <c r="C16" s="189" t="s">
        <v>4973</v>
      </c>
      <c r="D16" s="190" t="s">
        <v>4974</v>
      </c>
      <c r="E16" s="191"/>
      <c r="F16" s="192"/>
      <c r="G16" s="190" t="s">
        <v>4975</v>
      </c>
      <c r="H16" s="193"/>
      <c r="I16" s="193"/>
      <c r="J16" s="194"/>
      <c r="K16" s="171" t="s">
        <v>4972</v>
      </c>
      <c r="L16" s="188">
        <f t="shared" si="1"/>
        <v>13</v>
      </c>
      <c r="M16" s="189" t="s">
        <v>4973</v>
      </c>
      <c r="N16" s="190" t="s">
        <v>4974</v>
      </c>
      <c r="O16" s="191"/>
      <c r="P16" s="192"/>
      <c r="Q16" s="190" t="s">
        <v>4975</v>
      </c>
      <c r="R16" s="195"/>
      <c r="S16" s="196"/>
      <c r="U16" s="171" t="s">
        <v>4972</v>
      </c>
      <c r="V16" s="188">
        <f t="shared" si="2"/>
        <v>13</v>
      </c>
      <c r="W16" s="189" t="s">
        <v>4973</v>
      </c>
      <c r="X16" s="190" t="s">
        <v>4974</v>
      </c>
      <c r="Y16" s="191"/>
      <c r="Z16" s="192"/>
      <c r="AA16" s="190" t="s">
        <v>4975</v>
      </c>
      <c r="AB16" s="197"/>
      <c r="AC16" s="198"/>
      <c r="AE16" s="171" t="s">
        <v>4972</v>
      </c>
      <c r="AF16" s="188">
        <v>13</v>
      </c>
      <c r="AG16" s="189" t="s">
        <v>4973</v>
      </c>
      <c r="AH16" s="190" t="s">
        <v>4974</v>
      </c>
      <c r="AI16" s="191"/>
      <c r="AJ16" s="192"/>
      <c r="AK16" s="190" t="s">
        <v>4975</v>
      </c>
      <c r="AL16" s="193"/>
      <c r="AM16" s="198"/>
    </row>
    <row r="17" spans="1:39">
      <c r="A17" s="176"/>
      <c r="B17" s="199"/>
      <c r="C17" s="200"/>
      <c r="D17" s="201" t="s">
        <v>4976</v>
      </c>
      <c r="E17" s="202"/>
      <c r="F17" s="203"/>
      <c r="G17" s="201" t="s">
        <v>4977</v>
      </c>
      <c r="H17" s="204"/>
      <c r="I17" s="205"/>
      <c r="J17" s="194"/>
      <c r="K17" s="176"/>
      <c r="L17" s="199"/>
      <c r="M17" s="200"/>
      <c r="N17" s="201" t="s">
        <v>4976</v>
      </c>
      <c r="O17" s="202"/>
      <c r="P17" s="203"/>
      <c r="Q17" s="201" t="s">
        <v>4977</v>
      </c>
      <c r="R17" s="206"/>
      <c r="S17" s="207"/>
      <c r="U17" s="176"/>
      <c r="V17" s="199"/>
      <c r="W17" s="200"/>
      <c r="X17" s="201" t="s">
        <v>4976</v>
      </c>
      <c r="Y17" s="202"/>
      <c r="Z17" s="203"/>
      <c r="AA17" s="201" t="s">
        <v>4977</v>
      </c>
      <c r="AB17" s="206"/>
      <c r="AC17" s="207"/>
      <c r="AE17" s="176"/>
      <c r="AF17" s="199"/>
      <c r="AG17" s="200"/>
      <c r="AH17" s="201" t="s">
        <v>4976</v>
      </c>
      <c r="AI17" s="202"/>
      <c r="AJ17" s="203"/>
      <c r="AK17" s="201" t="s">
        <v>4977</v>
      </c>
      <c r="AL17" s="208"/>
      <c r="AM17" s="207"/>
    </row>
    <row r="18" spans="1:39">
      <c r="A18" s="176"/>
      <c r="B18" s="199"/>
      <c r="C18" s="200"/>
      <c r="D18" s="201" t="s">
        <v>4978</v>
      </c>
      <c r="E18" s="202"/>
      <c r="F18" s="209"/>
      <c r="G18" s="210" t="s">
        <v>4979</v>
      </c>
      <c r="H18" s="211"/>
      <c r="I18" s="205"/>
      <c r="J18" s="194"/>
      <c r="K18" s="176"/>
      <c r="L18" s="199"/>
      <c r="M18" s="200"/>
      <c r="N18" s="201" t="s">
        <v>4978</v>
      </c>
      <c r="O18" s="202"/>
      <c r="P18" s="209"/>
      <c r="Q18" s="210" t="s">
        <v>4979</v>
      </c>
      <c r="R18" s="211"/>
      <c r="S18" s="207"/>
      <c r="U18" s="176"/>
      <c r="V18" s="199"/>
      <c r="W18" s="200"/>
      <c r="X18" s="201" t="s">
        <v>4978</v>
      </c>
      <c r="Y18" s="202"/>
      <c r="Z18" s="209"/>
      <c r="AA18" s="210" t="s">
        <v>4979</v>
      </c>
      <c r="AB18" s="211"/>
      <c r="AC18" s="207"/>
      <c r="AE18" s="176"/>
      <c r="AF18" s="199"/>
      <c r="AG18" s="200"/>
      <c r="AH18" s="201" t="s">
        <v>4978</v>
      </c>
      <c r="AI18" s="202"/>
      <c r="AJ18" s="209"/>
      <c r="AK18" s="210" t="s">
        <v>4979</v>
      </c>
      <c r="AL18" s="211"/>
      <c r="AM18" s="207"/>
    </row>
    <row r="19" spans="1:39">
      <c r="A19" s="176"/>
      <c r="B19" s="199"/>
      <c r="C19" s="200"/>
      <c r="D19" s="201" t="s">
        <v>4980</v>
      </c>
      <c r="E19" s="202"/>
      <c r="F19" s="209"/>
      <c r="G19" s="201" t="s">
        <v>4981</v>
      </c>
      <c r="H19" s="212"/>
      <c r="I19" s="213"/>
      <c r="J19" s="214"/>
      <c r="K19" s="176"/>
      <c r="L19" s="199"/>
      <c r="M19" s="200"/>
      <c r="N19" s="201" t="s">
        <v>4980</v>
      </c>
      <c r="O19" s="202"/>
      <c r="P19" s="209"/>
      <c r="Q19" s="201" t="s">
        <v>4981</v>
      </c>
      <c r="R19" s="212"/>
      <c r="S19" s="215"/>
      <c r="U19" s="176"/>
      <c r="V19" s="199"/>
      <c r="W19" s="200"/>
      <c r="X19" s="201" t="s">
        <v>4980</v>
      </c>
      <c r="Y19" s="202"/>
      <c r="Z19" s="209"/>
      <c r="AA19" s="201" t="s">
        <v>4981</v>
      </c>
      <c r="AB19" s="212"/>
      <c r="AC19" s="215"/>
      <c r="AE19" s="176"/>
      <c r="AF19" s="199"/>
      <c r="AG19" s="200"/>
      <c r="AH19" s="201" t="s">
        <v>4980</v>
      </c>
      <c r="AI19" s="202"/>
      <c r="AJ19" s="209"/>
      <c r="AK19" s="201" t="s">
        <v>4981</v>
      </c>
      <c r="AL19" s="212"/>
      <c r="AM19" s="215"/>
    </row>
    <row r="20" spans="1:39">
      <c r="A20" s="176"/>
      <c r="B20" s="199"/>
      <c r="C20" s="200"/>
      <c r="D20" s="201" t="s">
        <v>4982</v>
      </c>
      <c r="E20" s="202"/>
      <c r="F20" s="209"/>
      <c r="G20" s="201" t="s">
        <v>4983</v>
      </c>
      <c r="H20" s="216"/>
      <c r="I20" s="213"/>
      <c r="J20" s="214"/>
      <c r="K20" s="176"/>
      <c r="L20" s="199"/>
      <c r="M20" s="200"/>
      <c r="N20" s="201" t="s">
        <v>4982</v>
      </c>
      <c r="O20" s="202"/>
      <c r="P20" s="209"/>
      <c r="Q20" s="201" t="s">
        <v>4983</v>
      </c>
      <c r="R20" s="216"/>
      <c r="S20" s="215"/>
      <c r="U20" s="176"/>
      <c r="V20" s="199"/>
      <c r="W20" s="200"/>
      <c r="X20" s="201" t="s">
        <v>4982</v>
      </c>
      <c r="Y20" s="202"/>
      <c r="Z20" s="209"/>
      <c r="AA20" s="201" t="s">
        <v>4983</v>
      </c>
      <c r="AB20" s="216"/>
      <c r="AC20" s="215"/>
      <c r="AE20" s="176"/>
      <c r="AF20" s="199"/>
      <c r="AG20" s="200"/>
      <c r="AH20" s="201" t="s">
        <v>4982</v>
      </c>
      <c r="AI20" s="202"/>
      <c r="AJ20" s="209"/>
      <c r="AK20" s="201" t="s">
        <v>4983</v>
      </c>
      <c r="AL20" s="216"/>
      <c r="AM20" s="215"/>
    </row>
    <row r="21" spans="1:39">
      <c r="A21" s="176"/>
      <c r="B21" s="199"/>
      <c r="C21" s="200"/>
      <c r="D21" s="201" t="s">
        <v>4984</v>
      </c>
      <c r="E21" s="202"/>
      <c r="F21" s="209"/>
      <c r="G21" s="201" t="s">
        <v>4985</v>
      </c>
      <c r="H21" s="216"/>
      <c r="I21" s="213"/>
      <c r="J21" s="214"/>
      <c r="K21" s="176"/>
      <c r="L21" s="199"/>
      <c r="M21" s="200"/>
      <c r="N21" s="201" t="s">
        <v>4984</v>
      </c>
      <c r="O21" s="202"/>
      <c r="P21" s="209"/>
      <c r="Q21" s="201" t="s">
        <v>4985</v>
      </c>
      <c r="R21" s="216"/>
      <c r="S21" s="215"/>
      <c r="U21" s="176"/>
      <c r="V21" s="199"/>
      <c r="W21" s="200"/>
      <c r="X21" s="201" t="s">
        <v>4984</v>
      </c>
      <c r="Y21" s="202"/>
      <c r="Z21" s="209"/>
      <c r="AA21" s="201" t="s">
        <v>4985</v>
      </c>
      <c r="AB21" s="216"/>
      <c r="AC21" s="215"/>
      <c r="AE21" s="176"/>
      <c r="AF21" s="199"/>
      <c r="AG21" s="200"/>
      <c r="AH21" s="201" t="s">
        <v>4984</v>
      </c>
      <c r="AI21" s="202"/>
      <c r="AJ21" s="209"/>
      <c r="AK21" s="201" t="s">
        <v>4985</v>
      </c>
      <c r="AL21" s="216"/>
      <c r="AM21" s="215"/>
    </row>
    <row r="22" spans="1:39">
      <c r="A22" s="176"/>
      <c r="B22" s="199"/>
      <c r="C22" s="200"/>
      <c r="D22" s="201" t="s">
        <v>4986</v>
      </c>
      <c r="E22" s="216"/>
      <c r="F22" s="215"/>
      <c r="G22" s="201" t="s">
        <v>4987</v>
      </c>
      <c r="H22" s="216"/>
      <c r="I22" s="213"/>
      <c r="J22" s="214"/>
      <c r="K22" s="176"/>
      <c r="L22" s="199"/>
      <c r="M22" s="200"/>
      <c r="N22" s="201" t="s">
        <v>4986</v>
      </c>
      <c r="O22" s="216"/>
      <c r="P22" s="215"/>
      <c r="Q22" s="201" t="s">
        <v>4987</v>
      </c>
      <c r="R22" s="216"/>
      <c r="S22" s="215"/>
      <c r="U22" s="176"/>
      <c r="V22" s="199"/>
      <c r="W22" s="200"/>
      <c r="X22" s="201" t="s">
        <v>4986</v>
      </c>
      <c r="Y22" s="216"/>
      <c r="Z22" s="215"/>
      <c r="AA22" s="201" t="s">
        <v>4987</v>
      </c>
      <c r="AB22" s="216"/>
      <c r="AC22" s="215"/>
      <c r="AE22" s="176"/>
      <c r="AF22" s="199"/>
      <c r="AG22" s="200"/>
      <c r="AH22" s="201" t="s">
        <v>4986</v>
      </c>
      <c r="AI22" s="216"/>
      <c r="AJ22" s="215"/>
      <c r="AK22" s="201" t="s">
        <v>4987</v>
      </c>
      <c r="AL22" s="216"/>
      <c r="AM22" s="215"/>
    </row>
    <row r="23" spans="1:39">
      <c r="A23" s="176"/>
      <c r="B23" s="199"/>
      <c r="C23" s="200"/>
      <c r="D23" s="201" t="s">
        <v>4988</v>
      </c>
      <c r="E23" s="216"/>
      <c r="F23" s="215"/>
      <c r="G23" s="201" t="s">
        <v>4989</v>
      </c>
      <c r="H23" s="216"/>
      <c r="I23" s="213"/>
      <c r="J23" s="214"/>
      <c r="K23" s="176"/>
      <c r="L23" s="199"/>
      <c r="M23" s="200"/>
      <c r="N23" s="201" t="s">
        <v>4988</v>
      </c>
      <c r="O23" s="216"/>
      <c r="P23" s="215"/>
      <c r="Q23" s="201" t="s">
        <v>4989</v>
      </c>
      <c r="R23" s="216"/>
      <c r="S23" s="215"/>
      <c r="U23" s="176"/>
      <c r="V23" s="199"/>
      <c r="W23" s="200"/>
      <c r="X23" s="201" t="s">
        <v>4988</v>
      </c>
      <c r="Y23" s="216"/>
      <c r="Z23" s="215"/>
      <c r="AA23" s="201" t="s">
        <v>4989</v>
      </c>
      <c r="AB23" s="216"/>
      <c r="AC23" s="215"/>
      <c r="AE23" s="176"/>
      <c r="AF23" s="199"/>
      <c r="AG23" s="200"/>
      <c r="AH23" s="201" t="s">
        <v>4988</v>
      </c>
      <c r="AI23" s="216"/>
      <c r="AJ23" s="215"/>
      <c r="AK23" s="201" t="s">
        <v>4989</v>
      </c>
      <c r="AL23" s="216"/>
      <c r="AM23" s="215"/>
    </row>
    <row r="24" spans="1:39">
      <c r="A24" s="176"/>
      <c r="B24" s="199"/>
      <c r="C24" s="200"/>
      <c r="D24" s="201" t="s">
        <v>4990</v>
      </c>
      <c r="E24" s="216"/>
      <c r="F24" s="215"/>
      <c r="G24" s="201" t="s">
        <v>4991</v>
      </c>
      <c r="H24" s="216"/>
      <c r="I24" s="213"/>
      <c r="J24" s="214"/>
      <c r="K24" s="176"/>
      <c r="L24" s="199"/>
      <c r="M24" s="200"/>
      <c r="N24" s="201" t="s">
        <v>4990</v>
      </c>
      <c r="O24" s="216"/>
      <c r="P24" s="215"/>
      <c r="Q24" s="201" t="s">
        <v>4991</v>
      </c>
      <c r="R24" s="216"/>
      <c r="S24" s="215"/>
      <c r="U24" s="176"/>
      <c r="V24" s="199"/>
      <c r="W24" s="200"/>
      <c r="X24" s="201" t="s">
        <v>4990</v>
      </c>
      <c r="Y24" s="216"/>
      <c r="Z24" s="215"/>
      <c r="AA24" s="201" t="s">
        <v>4991</v>
      </c>
      <c r="AB24" s="217"/>
      <c r="AC24" s="207"/>
      <c r="AE24" s="176"/>
      <c r="AF24" s="199"/>
      <c r="AG24" s="200"/>
      <c r="AH24" s="201" t="s">
        <v>4990</v>
      </c>
      <c r="AI24" s="216"/>
      <c r="AJ24" s="215"/>
      <c r="AK24" s="201" t="s">
        <v>4991</v>
      </c>
      <c r="AL24" s="216"/>
      <c r="AM24" s="215"/>
    </row>
    <row r="25" ht="17.25" spans="1:39">
      <c r="A25" s="176"/>
      <c r="B25" s="199"/>
      <c r="C25" s="218"/>
      <c r="D25" s="219" t="s">
        <v>4992</v>
      </c>
      <c r="E25" s="220"/>
      <c r="F25" s="221"/>
      <c r="G25" s="219" t="s">
        <v>4993</v>
      </c>
      <c r="H25" s="222"/>
      <c r="I25" s="223"/>
      <c r="J25" s="214"/>
      <c r="K25" s="176"/>
      <c r="L25" s="199"/>
      <c r="M25" s="218"/>
      <c r="N25" s="219" t="s">
        <v>4992</v>
      </c>
      <c r="O25" s="220"/>
      <c r="P25" s="221"/>
      <c r="Q25" s="219" t="s">
        <v>4993</v>
      </c>
      <c r="R25" s="222"/>
      <c r="S25" s="224"/>
      <c r="U25" s="176"/>
      <c r="V25" s="199"/>
      <c r="W25" s="218"/>
      <c r="X25" s="219" t="s">
        <v>4992</v>
      </c>
      <c r="Y25" s="220"/>
      <c r="Z25" s="221"/>
      <c r="AA25" s="219" t="s">
        <v>4993</v>
      </c>
      <c r="AB25" s="225"/>
      <c r="AC25" s="226"/>
      <c r="AE25" s="176"/>
      <c r="AF25" s="199"/>
      <c r="AG25" s="218"/>
      <c r="AH25" s="219" t="s">
        <v>4992</v>
      </c>
      <c r="AI25" s="220"/>
      <c r="AJ25" s="221"/>
      <c r="AK25" s="219" t="s">
        <v>4993</v>
      </c>
      <c r="AL25" s="222"/>
      <c r="AM25" s="224"/>
    </row>
    <row r="26" ht="13.5" spans="1:39">
      <c r="A26" s="176"/>
      <c r="B26" s="227">
        <v>14</v>
      </c>
      <c r="C26" s="190" t="s">
        <v>4994</v>
      </c>
      <c r="D26" s="190" t="s">
        <v>4995</v>
      </c>
      <c r="E26" s="190"/>
      <c r="F26" s="190"/>
      <c r="G26" s="190"/>
      <c r="H26" s="190"/>
      <c r="I26" s="228"/>
      <c r="J26" s="229"/>
      <c r="K26" s="176"/>
      <c r="L26" s="227">
        <v>14</v>
      </c>
      <c r="M26" s="190" t="s">
        <v>4994</v>
      </c>
      <c r="N26" s="190" t="s">
        <v>4995</v>
      </c>
      <c r="O26" s="190"/>
      <c r="P26" s="190"/>
      <c r="Q26" s="190"/>
      <c r="R26" s="190"/>
      <c r="S26" s="230"/>
      <c r="U26" s="176"/>
      <c r="V26" s="227">
        <v>14</v>
      </c>
      <c r="W26" s="190" t="s">
        <v>4994</v>
      </c>
      <c r="X26" s="190" t="s">
        <v>4995</v>
      </c>
      <c r="Y26" s="190"/>
      <c r="Z26" s="190"/>
      <c r="AA26" s="190"/>
      <c r="AB26" s="190"/>
      <c r="AC26" s="230"/>
      <c r="AE26" s="176"/>
      <c r="AF26" s="227">
        <v>14</v>
      </c>
      <c r="AG26" s="190" t="s">
        <v>4994</v>
      </c>
      <c r="AH26" s="190" t="s">
        <v>4995</v>
      </c>
      <c r="AI26" s="190"/>
      <c r="AJ26" s="190"/>
      <c r="AK26" s="190"/>
      <c r="AL26" s="190"/>
      <c r="AM26" s="230"/>
    </row>
    <row r="27" ht="13.5" spans="1:39">
      <c r="A27" s="176"/>
      <c r="B27" s="231"/>
      <c r="C27" s="201"/>
      <c r="D27" s="201" t="s">
        <v>4996</v>
      </c>
      <c r="E27" s="232" t="s">
        <v>4997</v>
      </c>
      <c r="F27" s="232"/>
      <c r="G27" s="232" t="s">
        <v>4998</v>
      </c>
      <c r="H27" s="232" t="s">
        <v>4999</v>
      </c>
      <c r="I27" s="233" t="s">
        <v>5000</v>
      </c>
      <c r="J27" s="234"/>
      <c r="K27" s="176"/>
      <c r="L27" s="231"/>
      <c r="M27" s="201"/>
      <c r="N27" s="201" t="s">
        <v>4996</v>
      </c>
      <c r="O27" s="232" t="s">
        <v>4997</v>
      </c>
      <c r="P27" s="232"/>
      <c r="Q27" s="232" t="s">
        <v>4998</v>
      </c>
      <c r="R27" s="232" t="s">
        <v>4999</v>
      </c>
      <c r="S27" s="235" t="s">
        <v>5000</v>
      </c>
      <c r="U27" s="176"/>
      <c r="V27" s="231"/>
      <c r="W27" s="201"/>
      <c r="X27" s="201" t="s">
        <v>4996</v>
      </c>
      <c r="Y27" s="232" t="s">
        <v>4997</v>
      </c>
      <c r="Z27" s="232"/>
      <c r="AA27" s="232" t="s">
        <v>4998</v>
      </c>
      <c r="AB27" s="232" t="s">
        <v>4999</v>
      </c>
      <c r="AC27" s="235" t="s">
        <v>5000</v>
      </c>
      <c r="AE27" s="176"/>
      <c r="AF27" s="231"/>
      <c r="AG27" s="201"/>
      <c r="AH27" s="201" t="s">
        <v>4996</v>
      </c>
      <c r="AI27" s="232" t="s">
        <v>4997</v>
      </c>
      <c r="AJ27" s="232"/>
      <c r="AK27" s="232" t="s">
        <v>4998</v>
      </c>
      <c r="AL27" s="232" t="s">
        <v>4999</v>
      </c>
      <c r="AM27" s="235" t="s">
        <v>5000</v>
      </c>
    </row>
    <row r="28" ht="13.5" spans="1:39">
      <c r="A28" s="176"/>
      <c r="B28" s="231"/>
      <c r="C28" s="201"/>
      <c r="D28" s="201" t="s">
        <v>5001</v>
      </c>
      <c r="E28" s="232" t="s">
        <v>5002</v>
      </c>
      <c r="F28" s="232"/>
      <c r="G28" s="232" t="s">
        <v>5003</v>
      </c>
      <c r="H28" s="232" t="s">
        <v>5004</v>
      </c>
      <c r="I28" s="233" t="s">
        <v>5005</v>
      </c>
      <c r="J28" s="234"/>
      <c r="K28" s="176"/>
      <c r="L28" s="231"/>
      <c r="M28" s="201"/>
      <c r="N28" s="201" t="s">
        <v>64</v>
      </c>
      <c r="O28" s="232" t="s">
        <v>5006</v>
      </c>
      <c r="P28" s="232"/>
      <c r="Q28" s="232">
        <v>300000</v>
      </c>
      <c r="R28" s="232">
        <v>90000000</v>
      </c>
      <c r="S28" s="235" t="s">
        <v>5007</v>
      </c>
      <c r="U28" s="176"/>
      <c r="V28" s="231"/>
      <c r="W28" s="201"/>
      <c r="X28" s="201" t="s">
        <v>64</v>
      </c>
      <c r="Y28" s="232"/>
      <c r="Z28" s="232"/>
      <c r="AA28" s="232"/>
      <c r="AB28" s="232"/>
      <c r="AC28" s="235" t="s">
        <v>5008</v>
      </c>
      <c r="AE28" s="176"/>
      <c r="AF28" s="231"/>
      <c r="AG28" s="201"/>
      <c r="AH28" s="201"/>
      <c r="AI28" s="232"/>
      <c r="AJ28" s="232"/>
      <c r="AK28" s="232"/>
      <c r="AL28" s="232"/>
      <c r="AM28" s="235"/>
    </row>
    <row r="29" ht="13.5" spans="1:39">
      <c r="A29" s="176"/>
      <c r="B29" s="231"/>
      <c r="C29" s="201"/>
      <c r="D29" s="201" t="s">
        <v>5009</v>
      </c>
      <c r="E29" s="232" t="s">
        <v>5002</v>
      </c>
      <c r="F29" s="232"/>
      <c r="G29" s="232" t="s">
        <v>5010</v>
      </c>
      <c r="H29" s="232" t="s">
        <v>5011</v>
      </c>
      <c r="I29" s="233" t="s">
        <v>5012</v>
      </c>
      <c r="J29" s="234"/>
      <c r="K29" s="176"/>
      <c r="L29" s="231"/>
      <c r="M29" s="201"/>
      <c r="N29" s="201" t="s">
        <v>64</v>
      </c>
      <c r="O29" s="232" t="s">
        <v>5013</v>
      </c>
      <c r="P29" s="232"/>
      <c r="Q29" s="232">
        <v>500000</v>
      </c>
      <c r="R29" s="232">
        <v>100000000</v>
      </c>
      <c r="S29" s="235" t="s">
        <v>5014</v>
      </c>
      <c r="U29" s="176"/>
      <c r="V29" s="231"/>
      <c r="W29" s="201"/>
      <c r="X29" s="201"/>
      <c r="Y29" s="232"/>
      <c r="Z29" s="232"/>
      <c r="AA29" s="232"/>
      <c r="AB29" s="232"/>
      <c r="AC29" s="235"/>
      <c r="AE29" s="176"/>
      <c r="AF29" s="231"/>
      <c r="AG29" s="201"/>
      <c r="AH29" s="201"/>
      <c r="AI29" s="232"/>
      <c r="AJ29" s="232"/>
      <c r="AK29" s="232"/>
      <c r="AL29" s="232"/>
      <c r="AM29" s="235"/>
    </row>
    <row r="30" ht="13.5" spans="1:39">
      <c r="A30" s="176"/>
      <c r="B30" s="231"/>
      <c r="C30" s="201"/>
      <c r="D30" s="201" t="s">
        <v>341</v>
      </c>
      <c r="E30" s="232" t="s">
        <v>5015</v>
      </c>
      <c r="F30" s="232"/>
      <c r="G30" s="232" t="s">
        <v>5016</v>
      </c>
      <c r="H30" s="232" t="s">
        <v>5017</v>
      </c>
      <c r="I30" s="233" t="s">
        <v>5018</v>
      </c>
      <c r="J30" s="234"/>
      <c r="K30" s="176"/>
      <c r="L30" s="231"/>
      <c r="M30" s="201"/>
      <c r="N30" s="201" t="s">
        <v>64</v>
      </c>
      <c r="O30" s="232" t="s">
        <v>5019</v>
      </c>
      <c r="P30" s="232"/>
      <c r="Q30" s="232">
        <v>200000</v>
      </c>
      <c r="R30" s="232">
        <v>20000000</v>
      </c>
      <c r="S30" s="235" t="s">
        <v>5014</v>
      </c>
      <c r="U30" s="176"/>
      <c r="V30" s="231"/>
      <c r="W30" s="201"/>
      <c r="X30" s="201"/>
      <c r="Y30" s="232"/>
      <c r="Z30" s="232"/>
      <c r="AA30" s="232"/>
      <c r="AB30" s="232"/>
      <c r="AC30" s="235"/>
      <c r="AE30" s="176"/>
      <c r="AF30" s="231"/>
      <c r="AG30" s="201"/>
      <c r="AH30" s="201"/>
      <c r="AI30" s="232"/>
      <c r="AJ30" s="232"/>
      <c r="AK30" s="232"/>
      <c r="AL30" s="232"/>
      <c r="AM30" s="235"/>
    </row>
    <row r="31" ht="13.5" spans="1:39">
      <c r="A31" s="176"/>
      <c r="B31" s="236">
        <v>15</v>
      </c>
      <c r="C31" s="201" t="s">
        <v>5020</v>
      </c>
      <c r="D31" s="237" t="s">
        <v>5021</v>
      </c>
      <c r="E31" s="201"/>
      <c r="F31" s="201"/>
      <c r="G31" s="201"/>
      <c r="H31" s="201"/>
      <c r="I31" s="238"/>
      <c r="J31" s="229"/>
      <c r="K31" s="176"/>
      <c r="L31" s="236">
        <v>15</v>
      </c>
      <c r="M31" s="201" t="s">
        <v>5020</v>
      </c>
      <c r="N31" s="237" t="s">
        <v>5021</v>
      </c>
      <c r="O31" s="201"/>
      <c r="P31" s="201"/>
      <c r="Q31" s="201"/>
      <c r="R31" s="201"/>
      <c r="S31" s="239"/>
      <c r="U31" s="176"/>
      <c r="V31" s="236">
        <v>15</v>
      </c>
      <c r="W31" s="201" t="s">
        <v>5020</v>
      </c>
      <c r="X31" s="237" t="s">
        <v>5021</v>
      </c>
      <c r="Y31" s="201"/>
      <c r="Z31" s="201"/>
      <c r="AA31" s="201"/>
      <c r="AB31" s="201"/>
      <c r="AC31" s="239"/>
      <c r="AE31" s="176"/>
      <c r="AF31" s="236">
        <v>15</v>
      </c>
      <c r="AG31" s="201" t="s">
        <v>5020</v>
      </c>
      <c r="AH31" s="237" t="s">
        <v>5021</v>
      </c>
      <c r="AI31" s="201"/>
      <c r="AJ31" s="201"/>
      <c r="AK31" s="201"/>
      <c r="AL31" s="201"/>
      <c r="AM31" s="239"/>
    </row>
    <row r="32" ht="13.5" spans="1:39">
      <c r="A32" s="176"/>
      <c r="B32" s="236"/>
      <c r="C32" s="201"/>
      <c r="D32" s="201" t="s">
        <v>5022</v>
      </c>
      <c r="E32" s="232" t="s">
        <v>4996</v>
      </c>
      <c r="F32" s="232" t="s">
        <v>4997</v>
      </c>
      <c r="G32" s="232" t="s">
        <v>4998</v>
      </c>
      <c r="H32" s="232" t="s">
        <v>4999</v>
      </c>
      <c r="I32" s="233" t="s">
        <v>5023</v>
      </c>
      <c r="J32" s="234"/>
      <c r="K32" s="176"/>
      <c r="L32" s="236"/>
      <c r="M32" s="201"/>
      <c r="N32" s="201" t="s">
        <v>5022</v>
      </c>
      <c r="O32" s="232" t="s">
        <v>4996</v>
      </c>
      <c r="P32" s="232" t="s">
        <v>4997</v>
      </c>
      <c r="Q32" s="232" t="s">
        <v>4998</v>
      </c>
      <c r="R32" s="232" t="s">
        <v>4999</v>
      </c>
      <c r="S32" s="235" t="s">
        <v>5023</v>
      </c>
      <c r="U32" s="176"/>
      <c r="V32" s="236"/>
      <c r="W32" s="201"/>
      <c r="X32" s="201" t="s">
        <v>5022</v>
      </c>
      <c r="Y32" s="232" t="s">
        <v>4996</v>
      </c>
      <c r="Z32" s="232" t="s">
        <v>4997</v>
      </c>
      <c r="AA32" s="232" t="s">
        <v>4998</v>
      </c>
      <c r="AB32" s="232" t="s">
        <v>4999</v>
      </c>
      <c r="AC32" s="235" t="s">
        <v>5023</v>
      </c>
      <c r="AE32" s="176"/>
      <c r="AF32" s="236"/>
      <c r="AG32" s="201"/>
      <c r="AH32" s="201" t="s">
        <v>5022</v>
      </c>
      <c r="AI32" s="232" t="s">
        <v>4996</v>
      </c>
      <c r="AJ32" s="232" t="s">
        <v>4997</v>
      </c>
      <c r="AK32" s="232" t="s">
        <v>4998</v>
      </c>
      <c r="AL32" s="232" t="s">
        <v>4999</v>
      </c>
      <c r="AM32" s="235" t="s">
        <v>5023</v>
      </c>
    </row>
    <row r="33" ht="27" spans="1:39">
      <c r="A33" s="176"/>
      <c r="B33" s="236"/>
      <c r="C33" s="201"/>
      <c r="D33" s="237" t="s">
        <v>5024</v>
      </c>
      <c r="E33" s="232" t="s">
        <v>5009</v>
      </c>
      <c r="F33" s="232" t="s">
        <v>4962</v>
      </c>
      <c r="G33" s="232" t="s">
        <v>5025</v>
      </c>
      <c r="H33" s="232" t="s">
        <v>5026</v>
      </c>
      <c r="I33" s="233" t="s">
        <v>5027</v>
      </c>
      <c r="J33" s="234"/>
      <c r="K33" s="176"/>
      <c r="L33" s="236"/>
      <c r="M33" s="201"/>
      <c r="N33" s="201" t="s">
        <v>5028</v>
      </c>
      <c r="O33" s="232" t="s">
        <v>64</v>
      </c>
      <c r="P33" s="232" t="s">
        <v>5029</v>
      </c>
      <c r="Q33" s="232">
        <v>300000</v>
      </c>
      <c r="R33" s="232">
        <v>40000000</v>
      </c>
      <c r="S33" s="235" t="s">
        <v>5030</v>
      </c>
      <c r="U33" s="176"/>
      <c r="V33" s="236"/>
      <c r="W33" s="201"/>
      <c r="X33" s="201" t="s">
        <v>5031</v>
      </c>
      <c r="Y33" s="232" t="s">
        <v>64</v>
      </c>
      <c r="Z33" s="232"/>
      <c r="AA33" s="232"/>
      <c r="AB33" s="232"/>
      <c r="AC33" s="235"/>
      <c r="AE33" s="176"/>
      <c r="AF33" s="236"/>
      <c r="AG33" s="201"/>
      <c r="AH33" s="201"/>
      <c r="AI33" s="232"/>
      <c r="AJ33" s="232"/>
      <c r="AK33" s="232"/>
      <c r="AL33" s="232"/>
      <c r="AM33" s="235"/>
    </row>
    <row r="34" ht="13.5" spans="1:39">
      <c r="A34" s="176"/>
      <c r="B34" s="236"/>
      <c r="C34" s="201"/>
      <c r="D34" s="201"/>
      <c r="E34" s="232"/>
      <c r="F34" s="232"/>
      <c r="G34" s="232"/>
      <c r="H34" s="232"/>
      <c r="I34" s="233"/>
      <c r="J34" s="234"/>
      <c r="K34" s="176"/>
      <c r="L34" s="236"/>
      <c r="M34" s="201"/>
      <c r="N34" s="201" t="s">
        <v>5032</v>
      </c>
      <c r="O34" s="232" t="s">
        <v>64</v>
      </c>
      <c r="P34" s="232" t="s">
        <v>5029</v>
      </c>
      <c r="Q34" s="232">
        <v>280000</v>
      </c>
      <c r="R34" s="232">
        <v>35000000</v>
      </c>
      <c r="S34" s="235" t="s">
        <v>5033</v>
      </c>
      <c r="U34" s="176"/>
      <c r="V34" s="236"/>
      <c r="W34" s="201"/>
      <c r="X34" s="201" t="s">
        <v>5034</v>
      </c>
      <c r="Y34" s="232" t="s">
        <v>64</v>
      </c>
      <c r="Z34" s="232"/>
      <c r="AA34" s="232"/>
      <c r="AB34" s="232"/>
      <c r="AC34" s="235"/>
      <c r="AE34" s="176"/>
      <c r="AF34" s="236"/>
      <c r="AG34" s="201"/>
      <c r="AH34" s="201"/>
      <c r="AI34" s="232"/>
      <c r="AJ34" s="232"/>
      <c r="AK34" s="232"/>
      <c r="AL34" s="232"/>
      <c r="AM34" s="235"/>
    </row>
    <row r="35" ht="13.5" spans="1:39">
      <c r="A35" s="176"/>
      <c r="B35" s="236"/>
      <c r="C35" s="201"/>
      <c r="D35" s="201"/>
      <c r="E35" s="232"/>
      <c r="F35" s="232"/>
      <c r="G35" s="232"/>
      <c r="H35" s="232"/>
      <c r="I35" s="233"/>
      <c r="J35" s="234"/>
      <c r="K35" s="176"/>
      <c r="L35" s="236"/>
      <c r="M35" s="201"/>
      <c r="N35" s="201"/>
      <c r="O35" s="232"/>
      <c r="P35" s="232"/>
      <c r="Q35" s="232"/>
      <c r="R35" s="232"/>
      <c r="S35" s="235"/>
      <c r="U35" s="176"/>
      <c r="V35" s="236"/>
      <c r="W35" s="201"/>
      <c r="X35" s="201"/>
      <c r="Y35" s="232"/>
      <c r="Z35" s="232"/>
      <c r="AA35" s="232"/>
      <c r="AB35" s="232"/>
      <c r="AC35" s="235"/>
      <c r="AE35" s="176"/>
      <c r="AF35" s="236"/>
      <c r="AG35" s="201"/>
      <c r="AH35" s="201"/>
      <c r="AI35" s="232"/>
      <c r="AJ35" s="232"/>
      <c r="AK35" s="232"/>
      <c r="AL35" s="232"/>
      <c r="AM35" s="235"/>
    </row>
    <row r="36" ht="13.5" spans="1:39">
      <c r="A36" s="176"/>
      <c r="B36" s="236">
        <v>16</v>
      </c>
      <c r="C36" s="201" t="s">
        <v>5035</v>
      </c>
      <c r="D36" s="201" t="s">
        <v>5036</v>
      </c>
      <c r="E36" s="201"/>
      <c r="F36" s="201"/>
      <c r="G36" s="201"/>
      <c r="H36" s="201"/>
      <c r="I36" s="238"/>
      <c r="J36" s="229"/>
      <c r="K36" s="176"/>
      <c r="L36" s="236">
        <v>16</v>
      </c>
      <c r="M36" s="201" t="s">
        <v>5035</v>
      </c>
      <c r="N36" s="201" t="s">
        <v>5036</v>
      </c>
      <c r="O36" s="201"/>
      <c r="P36" s="201"/>
      <c r="Q36" s="201"/>
      <c r="R36" s="201"/>
      <c r="S36" s="239"/>
      <c r="U36" s="176"/>
      <c r="V36" s="236">
        <v>16</v>
      </c>
      <c r="W36" s="201" t="s">
        <v>5035</v>
      </c>
      <c r="X36" s="201" t="s">
        <v>5036</v>
      </c>
      <c r="Y36" s="201"/>
      <c r="Z36" s="201"/>
      <c r="AA36" s="201"/>
      <c r="AB36" s="201"/>
      <c r="AC36" s="239"/>
      <c r="AE36" s="176"/>
      <c r="AF36" s="236">
        <v>16</v>
      </c>
      <c r="AG36" s="201" t="s">
        <v>5035</v>
      </c>
      <c r="AH36" s="201" t="s">
        <v>5036</v>
      </c>
      <c r="AI36" s="201"/>
      <c r="AJ36" s="201"/>
      <c r="AK36" s="201"/>
      <c r="AL36" s="201"/>
      <c r="AM36" s="239"/>
    </row>
    <row r="37" ht="13.5" spans="1:39">
      <c r="A37" s="176"/>
      <c r="B37" s="236"/>
      <c r="C37" s="201"/>
      <c r="D37" s="240" t="s">
        <v>5037</v>
      </c>
      <c r="E37" s="240"/>
      <c r="F37" s="240"/>
      <c r="G37" s="240"/>
      <c r="H37" s="240"/>
      <c r="I37" s="241"/>
      <c r="J37" s="242"/>
      <c r="K37" s="176"/>
      <c r="L37" s="236"/>
      <c r="M37" s="201"/>
      <c r="N37" s="240" t="s">
        <v>5038</v>
      </c>
      <c r="O37" s="240"/>
      <c r="P37" s="240"/>
      <c r="Q37" s="240"/>
      <c r="R37" s="240"/>
      <c r="S37" s="243"/>
      <c r="U37" s="176"/>
      <c r="V37" s="236"/>
      <c r="W37" s="201"/>
      <c r="X37" s="244" t="s">
        <v>5039</v>
      </c>
      <c r="Y37" s="240"/>
      <c r="Z37" s="240"/>
      <c r="AA37" s="240"/>
      <c r="AB37" s="240"/>
      <c r="AC37" s="243"/>
      <c r="AE37" s="176"/>
      <c r="AF37" s="236"/>
      <c r="AG37" s="201"/>
      <c r="AH37" s="240"/>
      <c r="AI37" s="240"/>
      <c r="AJ37" s="240"/>
      <c r="AK37" s="240"/>
      <c r="AL37" s="240"/>
      <c r="AM37" s="243"/>
    </row>
    <row r="38" ht="14.25" spans="1:39">
      <c r="A38" s="176"/>
      <c r="B38" s="245"/>
      <c r="C38" s="219"/>
      <c r="D38" s="246"/>
      <c r="E38" s="246"/>
      <c r="F38" s="246"/>
      <c r="G38" s="246"/>
      <c r="H38" s="246"/>
      <c r="I38" s="247"/>
      <c r="J38" s="242"/>
      <c r="K38" s="176"/>
      <c r="L38" s="245"/>
      <c r="M38" s="219"/>
      <c r="N38" s="246"/>
      <c r="O38" s="246"/>
      <c r="P38" s="246"/>
      <c r="Q38" s="246"/>
      <c r="R38" s="246"/>
      <c r="S38" s="248"/>
      <c r="U38" s="176"/>
      <c r="V38" s="245"/>
      <c r="W38" s="219"/>
      <c r="X38" s="246"/>
      <c r="Y38" s="246"/>
      <c r="Z38" s="246"/>
      <c r="AA38" s="246"/>
      <c r="AB38" s="246"/>
      <c r="AC38" s="248"/>
      <c r="AE38" s="176"/>
      <c r="AF38" s="245"/>
      <c r="AG38" s="219"/>
      <c r="AH38" s="246"/>
      <c r="AI38" s="246"/>
      <c r="AJ38" s="246"/>
      <c r="AK38" s="246"/>
      <c r="AL38" s="246"/>
      <c r="AM38" s="248"/>
    </row>
    <row r="39" ht="13.5" spans="1:39">
      <c r="A39" s="176"/>
      <c r="B39" s="249">
        <v>17</v>
      </c>
      <c r="C39" s="190" t="s">
        <v>5040</v>
      </c>
      <c r="D39" s="190" t="s">
        <v>5041</v>
      </c>
      <c r="E39" s="190"/>
      <c r="F39" s="190"/>
      <c r="G39" s="190"/>
      <c r="H39" s="190"/>
      <c r="I39" s="228"/>
      <c r="J39" s="229"/>
      <c r="K39" s="176"/>
      <c r="L39" s="249">
        <v>17</v>
      </c>
      <c r="M39" s="190" t="s">
        <v>5040</v>
      </c>
      <c r="N39" s="190" t="s">
        <v>5041</v>
      </c>
      <c r="O39" s="190"/>
      <c r="P39" s="190"/>
      <c r="Q39" s="190"/>
      <c r="R39" s="190"/>
      <c r="S39" s="230"/>
      <c r="U39" s="176"/>
      <c r="V39" s="249">
        <v>17</v>
      </c>
      <c r="W39" s="190" t="s">
        <v>5040</v>
      </c>
      <c r="X39" s="190" t="s">
        <v>5041</v>
      </c>
      <c r="Y39" s="190"/>
      <c r="Z39" s="190"/>
      <c r="AA39" s="190"/>
      <c r="AB39" s="190"/>
      <c r="AC39" s="230"/>
      <c r="AE39" s="176"/>
      <c r="AF39" s="249">
        <v>17</v>
      </c>
      <c r="AG39" s="190" t="s">
        <v>5040</v>
      </c>
      <c r="AH39" s="190" t="s">
        <v>5041</v>
      </c>
      <c r="AI39" s="190"/>
      <c r="AJ39" s="190"/>
      <c r="AK39" s="190"/>
      <c r="AL39" s="190"/>
      <c r="AM39" s="230"/>
    </row>
    <row r="40" ht="13.5" spans="1:39">
      <c r="A40" s="176"/>
      <c r="B40" s="250"/>
      <c r="C40" s="201"/>
      <c r="D40" s="244" t="s">
        <v>5042</v>
      </c>
      <c r="E40" s="244"/>
      <c r="F40" s="244"/>
      <c r="G40" s="244"/>
      <c r="H40" s="244"/>
      <c r="I40" s="251"/>
      <c r="J40" s="252"/>
      <c r="K40" s="176"/>
      <c r="L40" s="250"/>
      <c r="M40" s="201"/>
      <c r="N40" s="244" t="s">
        <v>5043</v>
      </c>
      <c r="O40" s="244"/>
      <c r="P40" s="244"/>
      <c r="Q40" s="244"/>
      <c r="R40" s="244"/>
      <c r="S40" s="253"/>
      <c r="U40" s="176"/>
      <c r="V40" s="250"/>
      <c r="W40" s="201"/>
      <c r="X40" s="244" t="s">
        <v>5044</v>
      </c>
      <c r="Y40" s="244"/>
      <c r="Z40" s="244"/>
      <c r="AA40" s="244"/>
      <c r="AB40" s="244"/>
      <c r="AC40" s="253"/>
      <c r="AE40" s="176"/>
      <c r="AF40" s="250"/>
      <c r="AG40" s="201"/>
      <c r="AH40" s="244"/>
      <c r="AI40" s="244"/>
      <c r="AJ40" s="244"/>
      <c r="AK40" s="244"/>
      <c r="AL40" s="244"/>
      <c r="AM40" s="253"/>
    </row>
    <row r="41" ht="13.5" spans="1:39">
      <c r="A41" s="176"/>
      <c r="B41" s="250"/>
      <c r="C41" s="201"/>
      <c r="D41" s="244"/>
      <c r="E41" s="244"/>
      <c r="F41" s="244"/>
      <c r="G41" s="244"/>
      <c r="H41" s="244"/>
      <c r="I41" s="251"/>
      <c r="J41" s="252"/>
      <c r="K41" s="176"/>
      <c r="L41" s="250"/>
      <c r="M41" s="201"/>
      <c r="N41" s="244"/>
      <c r="O41" s="244"/>
      <c r="P41" s="244"/>
      <c r="Q41" s="244"/>
      <c r="R41" s="244"/>
      <c r="S41" s="253"/>
      <c r="U41" s="176"/>
      <c r="V41" s="250"/>
      <c r="W41" s="201"/>
      <c r="X41" s="244"/>
      <c r="Y41" s="244"/>
      <c r="Z41" s="244"/>
      <c r="AA41" s="244"/>
      <c r="AB41" s="244"/>
      <c r="AC41" s="253"/>
      <c r="AE41" s="176"/>
      <c r="AF41" s="250"/>
      <c r="AG41" s="201"/>
      <c r="AH41" s="244"/>
      <c r="AI41" s="244"/>
      <c r="AJ41" s="244"/>
      <c r="AK41" s="244"/>
      <c r="AL41" s="244"/>
      <c r="AM41" s="253"/>
    </row>
    <row r="42" ht="13.5" spans="1:39">
      <c r="A42" s="176"/>
      <c r="B42" s="250">
        <v>18</v>
      </c>
      <c r="C42" s="201" t="s">
        <v>5045</v>
      </c>
      <c r="D42" s="240" t="s">
        <v>3432</v>
      </c>
      <c r="E42" s="240"/>
      <c r="F42" s="240"/>
      <c r="G42" s="240"/>
      <c r="H42" s="240"/>
      <c r="I42" s="241"/>
      <c r="J42" s="242"/>
      <c r="K42" s="176"/>
      <c r="L42" s="250">
        <v>18</v>
      </c>
      <c r="M42" s="201" t="s">
        <v>5045</v>
      </c>
      <c r="N42" s="240" t="s">
        <v>3432</v>
      </c>
      <c r="O42" s="240"/>
      <c r="P42" s="240"/>
      <c r="Q42" s="240"/>
      <c r="R42" s="240"/>
      <c r="S42" s="243"/>
      <c r="U42" s="176"/>
      <c r="V42" s="250">
        <v>18</v>
      </c>
      <c r="W42" s="201" t="s">
        <v>5045</v>
      </c>
      <c r="X42" s="240" t="s">
        <v>3432</v>
      </c>
      <c r="Y42" s="240"/>
      <c r="Z42" s="240"/>
      <c r="AA42" s="240"/>
      <c r="AB42" s="240"/>
      <c r="AC42" s="243"/>
      <c r="AE42" s="176"/>
      <c r="AF42" s="250">
        <v>18</v>
      </c>
      <c r="AG42" s="201" t="s">
        <v>5045</v>
      </c>
      <c r="AH42" s="240"/>
      <c r="AI42" s="240"/>
      <c r="AJ42" s="240"/>
      <c r="AK42" s="240"/>
      <c r="AL42" s="240"/>
      <c r="AM42" s="243"/>
    </row>
    <row r="43" ht="14.25" spans="1:39">
      <c r="A43" s="176"/>
      <c r="B43" s="250">
        <v>19</v>
      </c>
      <c r="C43" s="201" t="s">
        <v>5046</v>
      </c>
      <c r="D43" s="240" t="s">
        <v>5047</v>
      </c>
      <c r="E43" s="240"/>
      <c r="F43" s="240"/>
      <c r="G43" s="240"/>
      <c r="H43" s="240"/>
      <c r="I43" s="241"/>
      <c r="J43" s="242"/>
      <c r="K43" s="176"/>
      <c r="L43" s="250">
        <v>19</v>
      </c>
      <c r="M43" s="201" t="s">
        <v>5046</v>
      </c>
      <c r="N43" s="240" t="s">
        <v>5047</v>
      </c>
      <c r="O43" s="240"/>
      <c r="P43" s="240"/>
      <c r="Q43" s="240"/>
      <c r="R43" s="240"/>
      <c r="S43" s="243"/>
      <c r="U43" s="176"/>
      <c r="V43" s="250">
        <v>19</v>
      </c>
      <c r="W43" s="201" t="s">
        <v>5046</v>
      </c>
      <c r="X43" s="167" t="s">
        <v>5048</v>
      </c>
      <c r="Y43" s="168"/>
      <c r="Z43" s="168"/>
      <c r="AA43" s="168"/>
      <c r="AB43" s="168"/>
      <c r="AC43" s="170"/>
      <c r="AE43" s="176"/>
      <c r="AF43" s="250">
        <v>19</v>
      </c>
      <c r="AG43" s="201" t="s">
        <v>5046</v>
      </c>
      <c r="AH43" s="254"/>
      <c r="AI43" s="255"/>
      <c r="AJ43" s="255"/>
      <c r="AK43" s="255"/>
      <c r="AL43" s="255"/>
      <c r="AM43" s="256"/>
    </row>
    <row r="44" ht="13.5" spans="1:39">
      <c r="A44" s="176"/>
      <c r="B44" s="250">
        <v>20</v>
      </c>
      <c r="C44" s="201" t="s">
        <v>5049</v>
      </c>
      <c r="D44" s="240" t="s">
        <v>5050</v>
      </c>
      <c r="E44" s="240"/>
      <c r="F44" s="240"/>
      <c r="G44" s="240"/>
      <c r="H44" s="240"/>
      <c r="I44" s="241"/>
      <c r="J44" s="242"/>
      <c r="K44" s="176"/>
      <c r="L44" s="250">
        <v>20</v>
      </c>
      <c r="M44" s="201" t="s">
        <v>5049</v>
      </c>
      <c r="N44" s="240" t="s">
        <v>5051</v>
      </c>
      <c r="O44" s="240"/>
      <c r="P44" s="240"/>
      <c r="Q44" s="240"/>
      <c r="R44" s="240"/>
      <c r="S44" s="243"/>
      <c r="U44" s="176"/>
      <c r="V44" s="250">
        <v>20</v>
      </c>
      <c r="W44" s="201" t="s">
        <v>5049</v>
      </c>
      <c r="X44" s="240" t="s">
        <v>5052</v>
      </c>
      <c r="Y44" s="240"/>
      <c r="Z44" s="240"/>
      <c r="AA44" s="240"/>
      <c r="AB44" s="240"/>
      <c r="AC44" s="243"/>
      <c r="AE44" s="176"/>
      <c r="AF44" s="250">
        <v>20</v>
      </c>
      <c r="AG44" s="201" t="s">
        <v>5049</v>
      </c>
      <c r="AH44" s="240"/>
      <c r="AI44" s="240"/>
      <c r="AJ44" s="240"/>
      <c r="AK44" s="240"/>
      <c r="AL44" s="240"/>
      <c r="AM44" s="243"/>
    </row>
    <row r="45" ht="13.5" spans="1:39">
      <c r="A45" s="176"/>
      <c r="B45" s="250">
        <v>21</v>
      </c>
      <c r="C45" s="201" t="s">
        <v>5053</v>
      </c>
      <c r="D45" s="240" t="s">
        <v>5054</v>
      </c>
      <c r="E45" s="240"/>
      <c r="F45" s="240"/>
      <c r="G45" s="240"/>
      <c r="H45" s="240"/>
      <c r="I45" s="241"/>
      <c r="J45" s="242"/>
      <c r="K45" s="176"/>
      <c r="L45" s="250">
        <v>21</v>
      </c>
      <c r="M45" s="201" t="s">
        <v>5053</v>
      </c>
      <c r="N45" s="240" t="s">
        <v>5055</v>
      </c>
      <c r="O45" s="240"/>
      <c r="P45" s="240"/>
      <c r="Q45" s="240"/>
      <c r="R45" s="240"/>
      <c r="S45" s="243"/>
      <c r="U45" s="176"/>
      <c r="V45" s="250">
        <v>21</v>
      </c>
      <c r="W45" s="201" t="s">
        <v>5053</v>
      </c>
      <c r="X45" s="240" t="s">
        <v>5056</v>
      </c>
      <c r="Y45" s="240"/>
      <c r="Z45" s="240"/>
      <c r="AA45" s="240"/>
      <c r="AB45" s="240"/>
      <c r="AC45" s="243"/>
      <c r="AE45" s="176"/>
      <c r="AF45" s="250">
        <v>21</v>
      </c>
      <c r="AG45" s="201" t="s">
        <v>5053</v>
      </c>
      <c r="AH45" s="240"/>
      <c r="AI45" s="240"/>
      <c r="AJ45" s="240"/>
      <c r="AK45" s="240"/>
      <c r="AL45" s="240"/>
      <c r="AM45" s="243"/>
    </row>
    <row r="46" ht="13.5" spans="1:39">
      <c r="A46" s="176"/>
      <c r="B46" s="250">
        <v>22</v>
      </c>
      <c r="C46" s="201" t="s">
        <v>5057</v>
      </c>
      <c r="D46" s="240" t="s">
        <v>5058</v>
      </c>
      <c r="E46" s="240"/>
      <c r="F46" s="240"/>
      <c r="G46" s="240"/>
      <c r="H46" s="240"/>
      <c r="I46" s="241"/>
      <c r="J46" s="242"/>
      <c r="K46" s="176"/>
      <c r="L46" s="250">
        <v>22</v>
      </c>
      <c r="M46" s="201" t="s">
        <v>5057</v>
      </c>
      <c r="N46" s="240" t="s">
        <v>5059</v>
      </c>
      <c r="O46" s="240"/>
      <c r="P46" s="240"/>
      <c r="Q46" s="240"/>
      <c r="R46" s="240"/>
      <c r="S46" s="243"/>
      <c r="U46" s="176"/>
      <c r="V46" s="250">
        <v>22</v>
      </c>
      <c r="W46" s="201" t="s">
        <v>5057</v>
      </c>
      <c r="X46" s="240" t="s">
        <v>5060</v>
      </c>
      <c r="Y46" s="240"/>
      <c r="Z46" s="240"/>
      <c r="AA46" s="240"/>
      <c r="AB46" s="240"/>
      <c r="AC46" s="243"/>
      <c r="AE46" s="176"/>
      <c r="AF46" s="250">
        <v>22</v>
      </c>
      <c r="AG46" s="201" t="s">
        <v>5057</v>
      </c>
      <c r="AH46" s="240"/>
      <c r="AI46" s="240"/>
      <c r="AJ46" s="240"/>
      <c r="AK46" s="240"/>
      <c r="AL46" s="240"/>
      <c r="AM46" s="243"/>
    </row>
    <row r="47" ht="13.5" spans="1:39">
      <c r="A47" s="176"/>
      <c r="B47" s="250">
        <v>23</v>
      </c>
      <c r="C47" s="201" t="s">
        <v>5061</v>
      </c>
      <c r="D47" s="240"/>
      <c r="E47" s="240"/>
      <c r="F47" s="240"/>
      <c r="G47" s="240"/>
      <c r="H47" s="240"/>
      <c r="I47" s="241"/>
      <c r="J47" s="242"/>
      <c r="K47" s="176"/>
      <c r="L47" s="250">
        <v>23</v>
      </c>
      <c r="M47" s="201" t="s">
        <v>5061</v>
      </c>
      <c r="N47" s="240"/>
      <c r="O47" s="240"/>
      <c r="P47" s="240"/>
      <c r="Q47" s="240"/>
      <c r="R47" s="240"/>
      <c r="S47" s="243"/>
      <c r="U47" s="176"/>
      <c r="V47" s="250">
        <v>23</v>
      </c>
      <c r="W47" s="201" t="s">
        <v>5061</v>
      </c>
      <c r="X47" s="240"/>
      <c r="Y47" s="240"/>
      <c r="Z47" s="240"/>
      <c r="AA47" s="240"/>
      <c r="AB47" s="240"/>
      <c r="AC47" s="243"/>
      <c r="AE47" s="176"/>
      <c r="AF47" s="250">
        <v>23</v>
      </c>
      <c r="AG47" s="201" t="s">
        <v>5061</v>
      </c>
      <c r="AH47" s="240"/>
      <c r="AI47" s="240"/>
      <c r="AJ47" s="240"/>
      <c r="AK47" s="240"/>
      <c r="AL47" s="240"/>
      <c r="AM47" s="243"/>
    </row>
    <row r="48" ht="13.5" spans="1:39">
      <c r="A48" s="176"/>
      <c r="B48" s="250">
        <v>24</v>
      </c>
      <c r="C48" s="201" t="s">
        <v>5062</v>
      </c>
      <c r="D48" s="240"/>
      <c r="E48" s="240"/>
      <c r="F48" s="240"/>
      <c r="G48" s="240"/>
      <c r="H48" s="240"/>
      <c r="I48" s="241"/>
      <c r="J48" s="242"/>
      <c r="K48" s="176"/>
      <c r="L48" s="250">
        <v>24</v>
      </c>
      <c r="M48" s="201" t="s">
        <v>5062</v>
      </c>
      <c r="N48" s="240"/>
      <c r="O48" s="240"/>
      <c r="P48" s="240"/>
      <c r="Q48" s="240"/>
      <c r="R48" s="240"/>
      <c r="S48" s="243"/>
      <c r="U48" s="176"/>
      <c r="V48" s="250">
        <v>24</v>
      </c>
      <c r="W48" s="201" t="s">
        <v>5062</v>
      </c>
      <c r="X48" s="240"/>
      <c r="Y48" s="240"/>
      <c r="Z48" s="240"/>
      <c r="AA48" s="240"/>
      <c r="AB48" s="240"/>
      <c r="AC48" s="243"/>
      <c r="AE48" s="176"/>
      <c r="AF48" s="250">
        <v>24</v>
      </c>
      <c r="AG48" s="201" t="s">
        <v>5062</v>
      </c>
      <c r="AH48" s="240"/>
      <c r="AI48" s="240"/>
      <c r="AJ48" s="240"/>
      <c r="AK48" s="240"/>
      <c r="AL48" s="240"/>
      <c r="AM48" s="243"/>
    </row>
    <row r="49" ht="13.5" spans="1:39">
      <c r="A49" s="176"/>
      <c r="B49" s="250">
        <v>25</v>
      </c>
      <c r="C49" s="201" t="s">
        <v>5063</v>
      </c>
      <c r="D49" s="240" t="s">
        <v>5064</v>
      </c>
      <c r="E49" s="240"/>
      <c r="F49" s="240"/>
      <c r="G49" s="240"/>
      <c r="H49" s="240"/>
      <c r="I49" s="241"/>
      <c r="J49" s="242"/>
      <c r="K49" s="176"/>
      <c r="L49" s="250">
        <v>25</v>
      </c>
      <c r="M49" s="201" t="s">
        <v>5063</v>
      </c>
      <c r="N49" s="240" t="s">
        <v>5065</v>
      </c>
      <c r="O49" s="240"/>
      <c r="P49" s="240"/>
      <c r="Q49" s="240"/>
      <c r="R49" s="240"/>
      <c r="S49" s="243"/>
      <c r="U49" s="176"/>
      <c r="V49" s="250">
        <v>25</v>
      </c>
      <c r="W49" s="201" t="s">
        <v>5063</v>
      </c>
      <c r="X49" s="240" t="s">
        <v>5065</v>
      </c>
      <c r="Y49" s="240"/>
      <c r="Z49" s="240"/>
      <c r="AA49" s="240"/>
      <c r="AB49" s="240"/>
      <c r="AC49" s="243"/>
      <c r="AE49" s="176"/>
      <c r="AF49" s="250">
        <v>25</v>
      </c>
      <c r="AG49" s="201" t="s">
        <v>5063</v>
      </c>
      <c r="AH49" s="240"/>
      <c r="AI49" s="240"/>
      <c r="AJ49" s="240"/>
      <c r="AK49" s="240"/>
      <c r="AL49" s="240"/>
      <c r="AM49" s="243"/>
    </row>
    <row r="50" ht="13.5" spans="1:39">
      <c r="A50" s="176"/>
      <c r="B50" s="250">
        <v>26</v>
      </c>
      <c r="C50" s="201" t="s">
        <v>4944</v>
      </c>
      <c r="D50" s="240"/>
      <c r="E50" s="240"/>
      <c r="F50" s="240"/>
      <c r="G50" s="240"/>
      <c r="H50" s="240"/>
      <c r="I50" s="241"/>
      <c r="J50" s="242"/>
      <c r="K50" s="176"/>
      <c r="L50" s="250">
        <v>26</v>
      </c>
      <c r="M50" s="201" t="s">
        <v>4944</v>
      </c>
      <c r="N50" s="240"/>
      <c r="O50" s="240"/>
      <c r="P50" s="240"/>
      <c r="Q50" s="240"/>
      <c r="R50" s="240"/>
      <c r="S50" s="243"/>
      <c r="U50" s="176"/>
      <c r="V50" s="250">
        <v>26</v>
      </c>
      <c r="W50" s="201" t="s">
        <v>4944</v>
      </c>
      <c r="X50" s="240"/>
      <c r="Y50" s="240"/>
      <c r="Z50" s="240"/>
      <c r="AA50" s="240"/>
      <c r="AB50" s="240"/>
      <c r="AC50" s="243"/>
      <c r="AE50" s="176"/>
      <c r="AF50" s="250">
        <v>26</v>
      </c>
      <c r="AG50" s="201" t="s">
        <v>4944</v>
      </c>
      <c r="AH50" s="240"/>
      <c r="AI50" s="240"/>
      <c r="AJ50" s="240"/>
      <c r="AK50" s="240"/>
      <c r="AL50" s="240"/>
      <c r="AM50" s="243"/>
    </row>
    <row r="51" ht="13.5" spans="1:39">
      <c r="A51" s="176"/>
      <c r="B51" s="250">
        <v>27</v>
      </c>
      <c r="C51" s="201" t="s">
        <v>5066</v>
      </c>
      <c r="D51" s="240" t="s">
        <v>5067</v>
      </c>
      <c r="E51" s="240"/>
      <c r="F51" s="240"/>
      <c r="G51" s="240"/>
      <c r="H51" s="240"/>
      <c r="I51" s="241"/>
      <c r="J51" s="242"/>
      <c r="K51" s="176"/>
      <c r="L51" s="250">
        <v>27</v>
      </c>
      <c r="M51" s="201" t="s">
        <v>5066</v>
      </c>
      <c r="N51" s="240" t="s">
        <v>5068</v>
      </c>
      <c r="O51" s="240"/>
      <c r="P51" s="240"/>
      <c r="Q51" s="240"/>
      <c r="R51" s="240"/>
      <c r="S51" s="243"/>
      <c r="U51" s="176"/>
      <c r="V51" s="250">
        <v>27</v>
      </c>
      <c r="W51" s="201" t="s">
        <v>5066</v>
      </c>
      <c r="X51" s="240" t="s">
        <v>5069</v>
      </c>
      <c r="Y51" s="240"/>
      <c r="Z51" s="240"/>
      <c r="AA51" s="240"/>
      <c r="AB51" s="240"/>
      <c r="AC51" s="243"/>
      <c r="AE51" s="176"/>
      <c r="AF51" s="250">
        <v>27</v>
      </c>
      <c r="AG51" s="201" t="s">
        <v>5066</v>
      </c>
      <c r="AH51" s="240"/>
      <c r="AI51" s="240"/>
      <c r="AJ51" s="240"/>
      <c r="AK51" s="240"/>
      <c r="AL51" s="240"/>
      <c r="AM51" s="243"/>
    </row>
    <row r="52" ht="13.5" spans="1:39">
      <c r="A52" s="176"/>
      <c r="B52" s="250">
        <v>28</v>
      </c>
      <c r="C52" s="201" t="s">
        <v>5070</v>
      </c>
      <c r="D52" s="240" t="s">
        <v>5071</v>
      </c>
      <c r="E52" s="240"/>
      <c r="F52" s="240"/>
      <c r="G52" s="240"/>
      <c r="H52" s="240"/>
      <c r="I52" s="241"/>
      <c r="J52" s="242"/>
      <c r="K52" s="176"/>
      <c r="L52" s="250">
        <v>28</v>
      </c>
      <c r="M52" s="201" t="s">
        <v>5070</v>
      </c>
      <c r="N52" s="240" t="s">
        <v>5072</v>
      </c>
      <c r="O52" s="240"/>
      <c r="P52" s="240"/>
      <c r="Q52" s="240"/>
      <c r="R52" s="240"/>
      <c r="S52" s="243"/>
      <c r="U52" s="176"/>
      <c r="V52" s="250">
        <v>28</v>
      </c>
      <c r="W52" s="201" t="s">
        <v>5070</v>
      </c>
      <c r="X52" s="240" t="s">
        <v>5073</v>
      </c>
      <c r="Y52" s="240"/>
      <c r="Z52" s="240"/>
      <c r="AA52" s="240"/>
      <c r="AB52" s="240"/>
      <c r="AC52" s="243"/>
      <c r="AE52" s="176"/>
      <c r="AF52" s="250">
        <v>28</v>
      </c>
      <c r="AG52" s="201" t="s">
        <v>5070</v>
      </c>
      <c r="AH52" s="240"/>
      <c r="AI52" s="240"/>
      <c r="AJ52" s="240"/>
      <c r="AK52" s="240"/>
      <c r="AL52" s="240"/>
      <c r="AM52" s="243"/>
    </row>
    <row r="53" ht="13.5" spans="1:39">
      <c r="A53" s="176"/>
      <c r="B53" s="250">
        <v>29</v>
      </c>
      <c r="C53" s="201" t="s">
        <v>5074</v>
      </c>
      <c r="D53" s="240" t="s">
        <v>5075</v>
      </c>
      <c r="E53" s="240"/>
      <c r="F53" s="240"/>
      <c r="G53" s="240"/>
      <c r="H53" s="240"/>
      <c r="I53" s="241"/>
      <c r="J53" s="242"/>
      <c r="K53" s="176"/>
      <c r="L53" s="250">
        <v>29</v>
      </c>
      <c r="M53" s="201" t="s">
        <v>5074</v>
      </c>
      <c r="N53" s="240" t="s">
        <v>5076</v>
      </c>
      <c r="O53" s="240"/>
      <c r="P53" s="240"/>
      <c r="Q53" s="240"/>
      <c r="R53" s="240"/>
      <c r="S53" s="243"/>
      <c r="U53" s="176"/>
      <c r="V53" s="250">
        <v>29</v>
      </c>
      <c r="W53" s="201" t="s">
        <v>5074</v>
      </c>
      <c r="X53" s="244" t="s">
        <v>5077</v>
      </c>
      <c r="Y53" s="240"/>
      <c r="Z53" s="240"/>
      <c r="AA53" s="240"/>
      <c r="AB53" s="240"/>
      <c r="AC53" s="243"/>
      <c r="AE53" s="176"/>
      <c r="AF53" s="250">
        <v>29</v>
      </c>
      <c r="AG53" s="201" t="s">
        <v>5074</v>
      </c>
      <c r="AH53" s="240"/>
      <c r="AI53" s="240"/>
      <c r="AJ53" s="240"/>
      <c r="AK53" s="240"/>
      <c r="AL53" s="240"/>
      <c r="AM53" s="243"/>
    </row>
    <row r="54" ht="13.5" spans="1:39">
      <c r="A54" s="257"/>
      <c r="B54" s="250">
        <v>30</v>
      </c>
      <c r="C54" s="201" t="s">
        <v>5078</v>
      </c>
      <c r="D54" s="240" t="s">
        <v>5079</v>
      </c>
      <c r="E54" s="240"/>
      <c r="F54" s="240"/>
      <c r="G54" s="240"/>
      <c r="H54" s="240"/>
      <c r="I54" s="241"/>
      <c r="J54" s="242"/>
      <c r="K54" s="257"/>
      <c r="L54" s="250">
        <v>30</v>
      </c>
      <c r="M54" s="201" t="s">
        <v>5078</v>
      </c>
      <c r="N54" s="240" t="s">
        <v>5080</v>
      </c>
      <c r="O54" s="240"/>
      <c r="P54" s="240"/>
      <c r="Q54" s="240"/>
      <c r="R54" s="240"/>
      <c r="S54" s="243"/>
      <c r="U54" s="257"/>
      <c r="V54" s="250">
        <v>30</v>
      </c>
      <c r="W54" s="201" t="s">
        <v>5078</v>
      </c>
      <c r="X54" s="240" t="s">
        <v>5081</v>
      </c>
      <c r="Y54" s="240"/>
      <c r="Z54" s="240"/>
      <c r="AA54" s="240"/>
      <c r="AB54" s="240"/>
      <c r="AC54" s="243"/>
      <c r="AE54" s="257"/>
      <c r="AF54" s="250">
        <v>30</v>
      </c>
      <c r="AG54" s="201" t="s">
        <v>5078</v>
      </c>
      <c r="AH54" s="240"/>
      <c r="AI54" s="240"/>
      <c r="AJ54" s="240"/>
      <c r="AK54" s="240"/>
      <c r="AL54" s="240"/>
      <c r="AM54" s="243"/>
    </row>
    <row r="55" ht="13.5" spans="1:39">
      <c r="A55" s="257"/>
      <c r="B55" s="250">
        <v>31</v>
      </c>
      <c r="C55" s="201" t="s">
        <v>5082</v>
      </c>
      <c r="D55" s="240" t="s">
        <v>5083</v>
      </c>
      <c r="E55" s="240"/>
      <c r="F55" s="240"/>
      <c r="G55" s="240"/>
      <c r="H55" s="240"/>
      <c r="I55" s="241"/>
      <c r="J55" s="242"/>
      <c r="K55" s="257"/>
      <c r="L55" s="250">
        <v>31</v>
      </c>
      <c r="M55" s="201" t="s">
        <v>5082</v>
      </c>
      <c r="N55" s="240" t="s">
        <v>5083</v>
      </c>
      <c r="O55" s="240"/>
      <c r="P55" s="240"/>
      <c r="Q55" s="240"/>
      <c r="R55" s="240"/>
      <c r="S55" s="243"/>
      <c r="U55" s="257"/>
      <c r="V55" s="250">
        <v>31</v>
      </c>
      <c r="W55" s="201" t="s">
        <v>5082</v>
      </c>
      <c r="X55" s="240" t="s">
        <v>5083</v>
      </c>
      <c r="Y55" s="240"/>
      <c r="Z55" s="240"/>
      <c r="AA55" s="240"/>
      <c r="AB55" s="240"/>
      <c r="AC55" s="243"/>
      <c r="AE55" s="257"/>
      <c r="AF55" s="250">
        <v>31</v>
      </c>
      <c r="AG55" s="201" t="s">
        <v>5082</v>
      </c>
      <c r="AH55" s="240"/>
      <c r="AI55" s="240"/>
      <c r="AJ55" s="240"/>
      <c r="AK55" s="240"/>
      <c r="AL55" s="240"/>
      <c r="AM55" s="243"/>
    </row>
    <row r="56" ht="13.5" spans="1:39">
      <c r="A56" s="257"/>
      <c r="B56" s="250">
        <v>32</v>
      </c>
      <c r="C56" s="201" t="s">
        <v>5084</v>
      </c>
      <c r="D56" s="240" t="s">
        <v>5085</v>
      </c>
      <c r="E56" s="240"/>
      <c r="F56" s="240"/>
      <c r="G56" s="240"/>
      <c r="H56" s="240"/>
      <c r="I56" s="241"/>
      <c r="J56" s="242"/>
      <c r="K56" s="257"/>
      <c r="L56" s="250">
        <v>32</v>
      </c>
      <c r="M56" s="201" t="s">
        <v>5084</v>
      </c>
      <c r="N56" s="240" t="s">
        <v>5086</v>
      </c>
      <c r="O56" s="240"/>
      <c r="P56" s="240"/>
      <c r="Q56" s="240"/>
      <c r="R56" s="240"/>
      <c r="S56" s="243"/>
      <c r="U56" s="257"/>
      <c r="V56" s="250">
        <v>32</v>
      </c>
      <c r="W56" s="201" t="s">
        <v>5084</v>
      </c>
      <c r="X56" s="240" t="s">
        <v>5086</v>
      </c>
      <c r="Y56" s="240"/>
      <c r="Z56" s="240"/>
      <c r="AA56" s="240"/>
      <c r="AB56" s="240"/>
      <c r="AC56" s="243"/>
      <c r="AE56" s="257"/>
      <c r="AF56" s="250">
        <v>32</v>
      </c>
      <c r="AG56" s="201" t="s">
        <v>5084</v>
      </c>
      <c r="AH56" s="240"/>
      <c r="AI56" s="240"/>
      <c r="AJ56" s="240"/>
      <c r="AK56" s="240"/>
      <c r="AL56" s="240"/>
      <c r="AM56" s="243"/>
    </row>
    <row r="57" ht="13.5" spans="1:39">
      <c r="A57" s="257"/>
      <c r="B57" s="250">
        <v>33</v>
      </c>
      <c r="C57" s="201" t="s">
        <v>5087</v>
      </c>
      <c r="D57" s="240" t="s">
        <v>5088</v>
      </c>
      <c r="E57" s="240"/>
      <c r="F57" s="240"/>
      <c r="G57" s="240"/>
      <c r="H57" s="240"/>
      <c r="I57" s="241"/>
      <c r="J57" s="242"/>
      <c r="K57" s="257"/>
      <c r="L57" s="250">
        <v>33</v>
      </c>
      <c r="M57" s="201" t="s">
        <v>5087</v>
      </c>
      <c r="N57" s="240" t="s">
        <v>5089</v>
      </c>
      <c r="O57" s="240"/>
      <c r="P57" s="240"/>
      <c r="Q57" s="240"/>
      <c r="R57" s="240"/>
      <c r="S57" s="243"/>
      <c r="U57" s="257"/>
      <c r="V57" s="250">
        <v>33</v>
      </c>
      <c r="W57" s="201" t="s">
        <v>5087</v>
      </c>
      <c r="X57" s="240" t="s">
        <v>5090</v>
      </c>
      <c r="Y57" s="240"/>
      <c r="Z57" s="240"/>
      <c r="AA57" s="240"/>
      <c r="AB57" s="240"/>
      <c r="AC57" s="243"/>
      <c r="AE57" s="257"/>
      <c r="AF57" s="250">
        <v>33</v>
      </c>
      <c r="AG57" s="201" t="s">
        <v>5087</v>
      </c>
      <c r="AH57" s="240"/>
      <c r="AI57" s="240"/>
      <c r="AJ57" s="240"/>
      <c r="AK57" s="240"/>
      <c r="AL57" s="240"/>
      <c r="AM57" s="243"/>
    </row>
    <row r="58" ht="13.5" spans="1:39">
      <c r="A58" s="257"/>
      <c r="B58" s="258">
        <v>34</v>
      </c>
      <c r="C58" s="201" t="s">
        <v>5091</v>
      </c>
      <c r="D58" s="240" t="s">
        <v>2817</v>
      </c>
      <c r="E58" s="240"/>
      <c r="F58" s="240"/>
      <c r="G58" s="240"/>
      <c r="H58" s="240"/>
      <c r="I58" s="241"/>
      <c r="J58" s="242"/>
      <c r="K58" s="257"/>
      <c r="L58" s="258">
        <v>34</v>
      </c>
      <c r="M58" s="201" t="s">
        <v>5091</v>
      </c>
      <c r="N58" s="240" t="s">
        <v>2817</v>
      </c>
      <c r="O58" s="240"/>
      <c r="P58" s="240"/>
      <c r="Q58" s="240"/>
      <c r="R58" s="240"/>
      <c r="S58" s="243"/>
      <c r="U58" s="257"/>
      <c r="V58" s="258">
        <v>34</v>
      </c>
      <c r="W58" s="201" t="s">
        <v>5091</v>
      </c>
      <c r="X58" s="240" t="s">
        <v>2817</v>
      </c>
      <c r="Y58" s="240"/>
      <c r="Z58" s="240"/>
      <c r="AA58" s="240"/>
      <c r="AB58" s="240"/>
      <c r="AC58" s="243"/>
      <c r="AE58" s="257"/>
      <c r="AF58" s="258">
        <v>34</v>
      </c>
      <c r="AG58" s="201" t="s">
        <v>5091</v>
      </c>
      <c r="AH58" s="240"/>
      <c r="AI58" s="240"/>
      <c r="AJ58" s="240"/>
      <c r="AK58" s="240"/>
      <c r="AL58" s="240"/>
      <c r="AM58" s="243"/>
    </row>
    <row r="59" ht="14.25" spans="1:39">
      <c r="A59" s="259"/>
      <c r="B59" s="260">
        <v>35</v>
      </c>
      <c r="C59" s="261" t="s">
        <v>5092</v>
      </c>
      <c r="D59" s="262"/>
      <c r="E59" s="262"/>
      <c r="F59" s="262"/>
      <c r="G59" s="262"/>
      <c r="H59" s="262"/>
      <c r="I59" s="263"/>
      <c r="J59" s="242"/>
      <c r="K59" s="259"/>
      <c r="L59" s="260">
        <v>35</v>
      </c>
      <c r="M59" s="261" t="s">
        <v>5092</v>
      </c>
      <c r="N59" s="262"/>
      <c r="O59" s="262"/>
      <c r="P59" s="262"/>
      <c r="Q59" s="262"/>
      <c r="R59" s="262"/>
      <c r="S59" s="264"/>
      <c r="U59" s="259"/>
      <c r="V59" s="260">
        <v>35</v>
      </c>
      <c r="W59" s="261" t="s">
        <v>5092</v>
      </c>
      <c r="X59" s="262"/>
      <c r="Y59" s="262"/>
      <c r="Z59" s="262"/>
      <c r="AA59" s="262"/>
      <c r="AB59" s="262"/>
      <c r="AC59" s="264"/>
      <c r="AE59" s="259"/>
      <c r="AF59" s="260">
        <v>35</v>
      </c>
      <c r="AG59" s="261" t="s">
        <v>5092</v>
      </c>
      <c r="AH59" s="262"/>
      <c r="AI59" s="262"/>
      <c r="AJ59" s="262"/>
      <c r="AK59" s="262"/>
      <c r="AL59" s="262"/>
      <c r="AM59" s="264"/>
    </row>
  </sheetData>
  <mergeCells count="300">
    <mergeCell ref="D3:I3"/>
    <mergeCell ref="N3:S3"/>
    <mergeCell ref="X3:AC3"/>
    <mergeCell ref="AH3:AM3"/>
    <mergeCell ref="D4:I4"/>
    <mergeCell ref="N4:S4"/>
    <mergeCell ref="X4:AC4"/>
    <mergeCell ref="AH4:AM4"/>
    <mergeCell ref="D5:I5"/>
    <mergeCell ref="N5:S5"/>
    <mergeCell ref="X5:AC5"/>
    <mergeCell ref="AH5:AM5"/>
    <mergeCell ref="D6:I6"/>
    <mergeCell ref="N6:S6"/>
    <mergeCell ref="X6:AC6"/>
    <mergeCell ref="AH6:AM6"/>
    <mergeCell ref="D7:I7"/>
    <mergeCell ref="N7:S7"/>
    <mergeCell ref="X7:AC7"/>
    <mergeCell ref="AH7:AM7"/>
    <mergeCell ref="D8:I8"/>
    <mergeCell ref="N8:S8"/>
    <mergeCell ref="X8:AC8"/>
    <mergeCell ref="AH8:AM8"/>
    <mergeCell ref="D9:I9"/>
    <mergeCell ref="N9:S9"/>
    <mergeCell ref="X9:AC9"/>
    <mergeCell ref="AH9:AM9"/>
    <mergeCell ref="D10:I10"/>
    <mergeCell ref="N10:S10"/>
    <mergeCell ref="X10:AC10"/>
    <mergeCell ref="AH10:AM10"/>
    <mergeCell ref="D11:I11"/>
    <mergeCell ref="N11:S11"/>
    <mergeCell ref="X11:AC11"/>
    <mergeCell ref="AH11:AM11"/>
    <mergeCell ref="D12:I12"/>
    <mergeCell ref="N12:S12"/>
    <mergeCell ref="X12:AC12"/>
    <mergeCell ref="AH12:AM12"/>
    <mergeCell ref="D13:I13"/>
    <mergeCell ref="N13:S13"/>
    <mergeCell ref="X13:AC13"/>
    <mergeCell ref="AH13:AM13"/>
    <mergeCell ref="D14:I14"/>
    <mergeCell ref="N14:S14"/>
    <mergeCell ref="X14:AC14"/>
    <mergeCell ref="AH14:AM14"/>
    <mergeCell ref="D15:I15"/>
    <mergeCell ref="N15:S15"/>
    <mergeCell ref="X15:AC15"/>
    <mergeCell ref="AH15:AM15"/>
    <mergeCell ref="E16:F16"/>
    <mergeCell ref="H16:I16"/>
    <mergeCell ref="O16:P16"/>
    <mergeCell ref="R16:S16"/>
    <mergeCell ref="Y16:Z16"/>
    <mergeCell ref="AB16:AC16"/>
    <mergeCell ref="AI16:AJ16"/>
    <mergeCell ref="AL16:AM16"/>
    <mergeCell ref="E17:F17"/>
    <mergeCell ref="H17:I17"/>
    <mergeCell ref="O17:P17"/>
    <mergeCell ref="R17:S17"/>
    <mergeCell ref="Y17:Z17"/>
    <mergeCell ref="AB17:AC17"/>
    <mergeCell ref="AI17:AJ17"/>
    <mergeCell ref="AL17:AM17"/>
    <mergeCell ref="E18:F18"/>
    <mergeCell ref="H18:I18"/>
    <mergeCell ref="O18:P18"/>
    <mergeCell ref="R18:S18"/>
    <mergeCell ref="Y18:Z18"/>
    <mergeCell ref="AB18:AC18"/>
    <mergeCell ref="AI18:AJ18"/>
    <mergeCell ref="AL18:AM18"/>
    <mergeCell ref="E19:F19"/>
    <mergeCell ref="H19:I19"/>
    <mergeCell ref="O19:P19"/>
    <mergeCell ref="R19:S19"/>
    <mergeCell ref="Y19:Z19"/>
    <mergeCell ref="AB19:AC19"/>
    <mergeCell ref="AI19:AJ19"/>
    <mergeCell ref="AL19:AM19"/>
    <mergeCell ref="E20:F20"/>
    <mergeCell ref="H20:I20"/>
    <mergeCell ref="O20:P20"/>
    <mergeCell ref="R20:S20"/>
    <mergeCell ref="Y20:Z20"/>
    <mergeCell ref="AB20:AC20"/>
    <mergeCell ref="AI20:AJ20"/>
    <mergeCell ref="AL20:AM20"/>
    <mergeCell ref="E21:F21"/>
    <mergeCell ref="H21:I21"/>
    <mergeCell ref="O21:P21"/>
    <mergeCell ref="R21:S21"/>
    <mergeCell ref="Y21:Z21"/>
    <mergeCell ref="AB21:AC21"/>
    <mergeCell ref="AI21:AJ21"/>
    <mergeCell ref="AL21:AM21"/>
    <mergeCell ref="E22:F22"/>
    <mergeCell ref="H22:I22"/>
    <mergeCell ref="O22:P22"/>
    <mergeCell ref="R22:S22"/>
    <mergeCell ref="Y22:Z22"/>
    <mergeCell ref="AB22:AC22"/>
    <mergeCell ref="AI22:AJ22"/>
    <mergeCell ref="AL22:AM22"/>
    <mergeCell ref="E23:F23"/>
    <mergeCell ref="H23:I23"/>
    <mergeCell ref="O23:P23"/>
    <mergeCell ref="R23:S23"/>
    <mergeCell ref="Y23:Z23"/>
    <mergeCell ref="AB23:AC23"/>
    <mergeCell ref="AI23:AJ23"/>
    <mergeCell ref="AL23:AM23"/>
    <mergeCell ref="E24:F24"/>
    <mergeCell ref="H24:I24"/>
    <mergeCell ref="O24:P24"/>
    <mergeCell ref="R24:S24"/>
    <mergeCell ref="Y24:Z24"/>
    <mergeCell ref="AB24:AC24"/>
    <mergeCell ref="AI24:AJ24"/>
    <mergeCell ref="AL24:AM24"/>
    <mergeCell ref="E25:F25"/>
    <mergeCell ref="H25:I25"/>
    <mergeCell ref="O25:P25"/>
    <mergeCell ref="R25:S25"/>
    <mergeCell ref="Y25:Z25"/>
    <mergeCell ref="AB25:AC25"/>
    <mergeCell ref="AI25:AJ25"/>
    <mergeCell ref="AL25:AM25"/>
    <mergeCell ref="D26:I26"/>
    <mergeCell ref="N26:S26"/>
    <mergeCell ref="X26:AC26"/>
    <mergeCell ref="AH26:AM26"/>
    <mergeCell ref="E27:F27"/>
    <mergeCell ref="O27:P27"/>
    <mergeCell ref="Y27:Z27"/>
    <mergeCell ref="AI27:AJ27"/>
    <mergeCell ref="E28:F28"/>
    <mergeCell ref="O28:P28"/>
    <mergeCell ref="Y28:Z28"/>
    <mergeCell ref="AI28:AJ28"/>
    <mergeCell ref="E29:F29"/>
    <mergeCell ref="O29:P29"/>
    <mergeCell ref="Y29:Z29"/>
    <mergeCell ref="AI29:AJ29"/>
    <mergeCell ref="E30:F30"/>
    <mergeCell ref="O30:P30"/>
    <mergeCell ref="Y30:Z30"/>
    <mergeCell ref="AI30:AJ30"/>
    <mergeCell ref="D31:I31"/>
    <mergeCell ref="N31:S31"/>
    <mergeCell ref="X31:AC31"/>
    <mergeCell ref="AH31:AM31"/>
    <mergeCell ref="D36:I36"/>
    <mergeCell ref="N36:S36"/>
    <mergeCell ref="X36:AC36"/>
    <mergeCell ref="AH36:AM36"/>
    <mergeCell ref="D39:I39"/>
    <mergeCell ref="N39:S39"/>
    <mergeCell ref="X39:AC39"/>
    <mergeCell ref="AH39:AM39"/>
    <mergeCell ref="D42:I42"/>
    <mergeCell ref="N42:S42"/>
    <mergeCell ref="X42:AC42"/>
    <mergeCell ref="AH42:AM42"/>
    <mergeCell ref="D43:I43"/>
    <mergeCell ref="N43:S43"/>
    <mergeCell ref="X43:AC43"/>
    <mergeCell ref="AH43:AM43"/>
    <mergeCell ref="D44:I44"/>
    <mergeCell ref="N44:S44"/>
    <mergeCell ref="X44:AC44"/>
    <mergeCell ref="AH44:AM44"/>
    <mergeCell ref="D45:I45"/>
    <mergeCell ref="N45:S45"/>
    <mergeCell ref="X45:AC45"/>
    <mergeCell ref="AH45:AM45"/>
    <mergeCell ref="D46:I46"/>
    <mergeCell ref="N46:S46"/>
    <mergeCell ref="X46:AC46"/>
    <mergeCell ref="AH46:AM46"/>
    <mergeCell ref="D47:I47"/>
    <mergeCell ref="N47:S47"/>
    <mergeCell ref="X47:AC47"/>
    <mergeCell ref="AH47:AM47"/>
    <mergeCell ref="D48:I48"/>
    <mergeCell ref="N48:S48"/>
    <mergeCell ref="X48:AC48"/>
    <mergeCell ref="AH48:AM48"/>
    <mergeCell ref="D49:I49"/>
    <mergeCell ref="N49:S49"/>
    <mergeCell ref="X49:AC49"/>
    <mergeCell ref="AH49:AM49"/>
    <mergeCell ref="D50:I50"/>
    <mergeCell ref="N50:S50"/>
    <mergeCell ref="X50:AC50"/>
    <mergeCell ref="AH50:AM50"/>
    <mergeCell ref="D51:I51"/>
    <mergeCell ref="N51:S51"/>
    <mergeCell ref="X51:AC51"/>
    <mergeCell ref="AH51:AM51"/>
    <mergeCell ref="D52:I52"/>
    <mergeCell ref="N52:S52"/>
    <mergeCell ref="X52:AC52"/>
    <mergeCell ref="AH52:AM52"/>
    <mergeCell ref="D53:I53"/>
    <mergeCell ref="N53:S53"/>
    <mergeCell ref="X53:AC53"/>
    <mergeCell ref="AH53:AM53"/>
    <mergeCell ref="D54:I54"/>
    <mergeCell ref="N54:S54"/>
    <mergeCell ref="X54:AC54"/>
    <mergeCell ref="AH54:AM54"/>
    <mergeCell ref="D55:I55"/>
    <mergeCell ref="N55:S55"/>
    <mergeCell ref="X55:AC55"/>
    <mergeCell ref="AH55:AM55"/>
    <mergeCell ref="D56:I56"/>
    <mergeCell ref="N56:S56"/>
    <mergeCell ref="X56:AC56"/>
    <mergeCell ref="AH56:AM56"/>
    <mergeCell ref="D57:I57"/>
    <mergeCell ref="N57:S57"/>
    <mergeCell ref="X57:AC57"/>
    <mergeCell ref="AH57:AM57"/>
    <mergeCell ref="D58:I58"/>
    <mergeCell ref="N58:S58"/>
    <mergeCell ref="X58:AC58"/>
    <mergeCell ref="AH58:AM58"/>
    <mergeCell ref="D59:I59"/>
    <mergeCell ref="N59:S59"/>
    <mergeCell ref="X59:AC59"/>
    <mergeCell ref="AH59:AM59"/>
    <mergeCell ref="A3:A7"/>
    <mergeCell ref="A8:A15"/>
    <mergeCell ref="A16:A59"/>
    <mergeCell ref="B16:B25"/>
    <mergeCell ref="B26:B30"/>
    <mergeCell ref="B31:B35"/>
    <mergeCell ref="B36:B38"/>
    <mergeCell ref="B39:B41"/>
    <mergeCell ref="C16:C25"/>
    <mergeCell ref="C26:C30"/>
    <mergeCell ref="C31:C35"/>
    <mergeCell ref="C36:C38"/>
    <mergeCell ref="C39:C41"/>
    <mergeCell ref="K3:K7"/>
    <mergeCell ref="K8:K15"/>
    <mergeCell ref="K16:K59"/>
    <mergeCell ref="L16:L25"/>
    <mergeCell ref="L26:L30"/>
    <mergeCell ref="L31:L35"/>
    <mergeCell ref="L36:L38"/>
    <mergeCell ref="L39:L41"/>
    <mergeCell ref="M16:M25"/>
    <mergeCell ref="M26:M30"/>
    <mergeCell ref="M31:M35"/>
    <mergeCell ref="M36:M38"/>
    <mergeCell ref="M39:M41"/>
    <mergeCell ref="U3:U7"/>
    <mergeCell ref="U8:U15"/>
    <mergeCell ref="U16:U59"/>
    <mergeCell ref="V16:V25"/>
    <mergeCell ref="V26:V30"/>
    <mergeCell ref="V31:V35"/>
    <mergeCell ref="V36:V38"/>
    <mergeCell ref="V39:V41"/>
    <mergeCell ref="W16:W25"/>
    <mergeCell ref="W26:W30"/>
    <mergeCell ref="W31:W35"/>
    <mergeCell ref="W36:W38"/>
    <mergeCell ref="W39:W41"/>
    <mergeCell ref="AE3:AE7"/>
    <mergeCell ref="AE8:AE15"/>
    <mergeCell ref="AE16:AE59"/>
    <mergeCell ref="AF16:AF25"/>
    <mergeCell ref="AF26:AF30"/>
    <mergeCell ref="AF31:AF35"/>
    <mergeCell ref="AF36:AF38"/>
    <mergeCell ref="AF39:AF41"/>
    <mergeCell ref="AG16:AG25"/>
    <mergeCell ref="AG26:AG30"/>
    <mergeCell ref="AG31:AG35"/>
    <mergeCell ref="AG36:AG38"/>
    <mergeCell ref="AG39:AG41"/>
    <mergeCell ref="B1:I2"/>
    <mergeCell ref="D37:I38"/>
    <mergeCell ref="AH37:AM38"/>
    <mergeCell ref="D40:I41"/>
    <mergeCell ref="AH40:AM41"/>
    <mergeCell ref="L1:S2"/>
    <mergeCell ref="N37:S38"/>
    <mergeCell ref="N40:S41"/>
    <mergeCell ref="V1:AC2"/>
    <mergeCell ref="X37:AC38"/>
    <mergeCell ref="X40:AC41"/>
    <mergeCell ref="AF1:AM2"/>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workbookViewId="0">
      <selection activeCell="E36" sqref="E36"/>
    </sheetView>
  </sheetViews>
  <sheetFormatPr defaultColWidth="9.23333333333333" defaultRowHeight="13.5"/>
  <cols>
    <col min="1" max="1" width="26.25" style="107" customWidth="1"/>
    <col min="2" max="2" width="20.625" style="107" customWidth="1"/>
    <col min="3" max="7" width="9" style="107"/>
    <col min="9" max="9" width="26.25" style="107" customWidth="1"/>
    <col min="10" max="10" width="20.625" style="107" customWidth="1"/>
    <col min="11" max="14" width="9" style="107"/>
    <col min="15" max="15" width="13.625" style="107" customWidth="1"/>
  </cols>
  <sheetData>
    <row r="1" ht="22.5" spans="1:15">
      <c r="A1" s="108" t="s">
        <v>5093</v>
      </c>
      <c r="B1" s="108"/>
      <c r="C1" s="108"/>
      <c r="D1" s="108"/>
      <c r="E1" s="108"/>
      <c r="F1" s="108"/>
      <c r="G1" s="108"/>
      <c r="I1" s="108" t="s">
        <v>5093</v>
      </c>
      <c r="J1" s="108"/>
      <c r="K1" s="108"/>
      <c r="L1" s="108"/>
      <c r="M1" s="108"/>
      <c r="N1" s="108"/>
      <c r="O1" s="108"/>
    </row>
    <row r="2" ht="16.5" spans="1:15">
      <c r="A2" s="109" t="s">
        <v>5094</v>
      </c>
      <c r="B2" s="109" t="s">
        <v>5095</v>
      </c>
      <c r="C2" s="109" t="s">
        <v>809</v>
      </c>
      <c r="D2" s="109"/>
      <c r="E2" s="109"/>
      <c r="F2" s="109"/>
      <c r="G2" s="109"/>
      <c r="I2" s="109" t="s">
        <v>5094</v>
      </c>
      <c r="J2" s="109" t="s">
        <v>5095</v>
      </c>
      <c r="K2" s="109" t="s">
        <v>809</v>
      </c>
      <c r="L2" s="109"/>
      <c r="M2" s="109"/>
      <c r="N2" s="109"/>
      <c r="O2" s="109"/>
    </row>
    <row r="3" ht="16.5" spans="1:15">
      <c r="A3" s="110" t="s">
        <v>64</v>
      </c>
      <c r="B3" s="111" t="s">
        <v>2</v>
      </c>
      <c r="C3" s="112" t="str">
        <f>_xlfn.DISPIMG("ID_C879EEAE0317429BB37CDD4A8AF2923D",1)</f>
        <v>=DISPIMG("ID_C879EEAE0317429BB37CDD4A8AF2923D",1)</v>
      </c>
      <c r="D3" s="112"/>
      <c r="E3" s="112"/>
      <c r="F3" s="112"/>
      <c r="G3" s="112"/>
      <c r="I3" s="110" t="s">
        <v>5096</v>
      </c>
      <c r="J3" s="111" t="s">
        <v>2</v>
      </c>
      <c r="K3" s="112" t="str">
        <f>_xlfn.DISPIMG("ID_DC9D283A32094ACC9679A070D9107FCA",1)</f>
        <v>=DISPIMG("ID_DC9D283A32094ACC9679A070D9107FCA",1)</v>
      </c>
      <c r="L3" s="112"/>
      <c r="M3" s="112"/>
      <c r="N3" s="112"/>
      <c r="O3" s="112"/>
    </row>
    <row r="4" ht="16.5" spans="1:15">
      <c r="A4" s="113" t="s">
        <v>4428</v>
      </c>
      <c r="B4" s="111" t="s">
        <v>5097</v>
      </c>
      <c r="C4" s="112"/>
      <c r="D4" s="112"/>
      <c r="E4" s="112"/>
      <c r="F4" s="112"/>
      <c r="G4" s="112"/>
      <c r="I4" s="113" t="s">
        <v>4428</v>
      </c>
      <c r="J4" s="111" t="s">
        <v>5097</v>
      </c>
      <c r="K4" s="112"/>
      <c r="L4" s="112"/>
      <c r="M4" s="112"/>
      <c r="N4" s="112"/>
      <c r="O4" s="112"/>
    </row>
    <row r="5" ht="16.5" spans="1:15">
      <c r="A5" s="113" t="s">
        <v>4426</v>
      </c>
      <c r="B5" s="111" t="s">
        <v>2852</v>
      </c>
      <c r="C5" s="112"/>
      <c r="D5" s="112"/>
      <c r="E5" s="112"/>
      <c r="F5" s="112"/>
      <c r="G5" s="112"/>
      <c r="I5" s="113" t="s">
        <v>4426</v>
      </c>
      <c r="J5" s="111" t="s">
        <v>2852</v>
      </c>
      <c r="K5" s="112"/>
      <c r="L5" s="112"/>
      <c r="M5" s="112"/>
      <c r="N5" s="112"/>
      <c r="O5" s="112"/>
    </row>
    <row r="6" ht="16.5" spans="1:15">
      <c r="A6" s="113" t="s">
        <v>5098</v>
      </c>
      <c r="B6" s="111" t="s">
        <v>5099</v>
      </c>
      <c r="C6" s="112"/>
      <c r="D6" s="112"/>
      <c r="E6" s="112"/>
      <c r="F6" s="112"/>
      <c r="G6" s="112"/>
      <c r="I6" s="113" t="s">
        <v>5098</v>
      </c>
      <c r="J6" s="111" t="s">
        <v>5099</v>
      </c>
      <c r="K6" s="112"/>
      <c r="L6" s="112"/>
      <c r="M6" s="112"/>
      <c r="N6" s="112"/>
      <c r="O6" s="112"/>
    </row>
    <row r="7" ht="16.5" spans="1:15">
      <c r="A7" s="113" t="s">
        <v>5100</v>
      </c>
      <c r="B7" s="114" t="s">
        <v>5101</v>
      </c>
      <c r="C7" s="115"/>
      <c r="D7" s="115"/>
      <c r="E7" s="115"/>
      <c r="F7" s="115"/>
      <c r="G7" s="115"/>
      <c r="I7" s="113" t="s">
        <v>5100</v>
      </c>
      <c r="J7" s="114" t="s">
        <v>5101</v>
      </c>
      <c r="K7" s="115"/>
      <c r="L7" s="115"/>
      <c r="M7" s="115"/>
      <c r="N7" s="115"/>
      <c r="O7" s="115"/>
    </row>
    <row r="8" ht="82" customHeight="1" spans="1:15">
      <c r="A8" s="116" t="s">
        <v>5102</v>
      </c>
      <c r="B8" s="117" t="s">
        <v>5103</v>
      </c>
      <c r="C8" s="117"/>
      <c r="D8" s="117"/>
      <c r="E8" s="117"/>
      <c r="F8" s="117"/>
      <c r="G8" s="117"/>
      <c r="I8" s="116" t="s">
        <v>5102</v>
      </c>
      <c r="J8" s="117" t="s">
        <v>5103</v>
      </c>
      <c r="K8" s="117"/>
      <c r="L8" s="117"/>
      <c r="M8" s="117"/>
      <c r="N8" s="117"/>
      <c r="O8" s="117"/>
    </row>
    <row r="9" ht="71" customHeight="1" spans="1:15">
      <c r="A9" s="116" t="s">
        <v>5104</v>
      </c>
      <c r="B9" s="118" t="s">
        <v>5043</v>
      </c>
      <c r="C9" s="118"/>
      <c r="D9" s="118"/>
      <c r="E9" s="118"/>
      <c r="F9" s="118"/>
      <c r="G9" s="118"/>
      <c r="I9" s="116" t="s">
        <v>5104</v>
      </c>
      <c r="J9" s="118" t="s">
        <v>5043</v>
      </c>
      <c r="K9" s="118"/>
      <c r="L9" s="118"/>
      <c r="M9" s="118"/>
      <c r="N9" s="118"/>
      <c r="O9" s="118"/>
    </row>
    <row r="10" ht="16.5" spans="1:15">
      <c r="A10" s="116" t="s">
        <v>5105</v>
      </c>
      <c r="B10" s="118">
        <v>8516609000</v>
      </c>
      <c r="C10" s="118"/>
      <c r="D10" s="118"/>
      <c r="E10" s="118"/>
      <c r="F10" s="118"/>
      <c r="G10" s="118"/>
      <c r="I10" s="116" t="s">
        <v>5105</v>
      </c>
      <c r="J10" s="118">
        <v>8516609000</v>
      </c>
      <c r="K10" s="118"/>
      <c r="L10" s="118"/>
      <c r="M10" s="118"/>
      <c r="N10" s="118"/>
      <c r="O10" s="118"/>
    </row>
    <row r="11" ht="16.5" spans="1:15">
      <c r="A11" s="119" t="s">
        <v>5106</v>
      </c>
      <c r="B11" s="120"/>
      <c r="C11" s="120"/>
      <c r="D11" s="120"/>
      <c r="E11" s="120"/>
      <c r="F11" s="120"/>
      <c r="G11" s="120"/>
      <c r="I11" s="119" t="s">
        <v>5106</v>
      </c>
      <c r="J11" s="120"/>
      <c r="K11" s="120"/>
      <c r="L11" s="120"/>
      <c r="M11" s="120"/>
      <c r="N11" s="120"/>
      <c r="O11" s="120"/>
    </row>
    <row r="12" ht="117" customHeight="1" spans="1:15">
      <c r="A12" s="121" t="s">
        <v>5107</v>
      </c>
      <c r="B12" s="121"/>
      <c r="C12" s="121"/>
      <c r="D12" s="121"/>
      <c r="E12" s="121"/>
      <c r="F12" s="121"/>
      <c r="G12" s="121"/>
      <c r="I12" s="121" t="s">
        <v>5108</v>
      </c>
      <c r="J12" s="121"/>
      <c r="K12" s="121"/>
      <c r="L12" s="121"/>
      <c r="M12" s="121"/>
      <c r="N12" s="121"/>
      <c r="O12" s="121"/>
    </row>
    <row r="13" ht="16.5" spans="1:15">
      <c r="A13" s="122" t="s">
        <v>5109</v>
      </c>
      <c r="B13" s="123"/>
      <c r="C13" s="123"/>
      <c r="D13" s="123"/>
      <c r="E13" s="123"/>
      <c r="F13" s="123"/>
      <c r="G13" s="124"/>
      <c r="I13" s="122" t="s">
        <v>5109</v>
      </c>
      <c r="J13" s="123"/>
      <c r="K13" s="123"/>
      <c r="L13" s="123"/>
      <c r="M13" s="123"/>
      <c r="N13" s="123"/>
      <c r="O13" s="124"/>
    </row>
    <row r="14" ht="360" customHeight="1" spans="1:15">
      <c r="A14" s="125" t="s">
        <v>5110</v>
      </c>
      <c r="B14" s="126"/>
      <c r="C14" s="126"/>
      <c r="D14" s="126"/>
      <c r="E14" s="126"/>
      <c r="F14" s="126"/>
      <c r="G14" s="127"/>
      <c r="I14" s="125" t="s">
        <v>5111</v>
      </c>
      <c r="J14" s="126"/>
      <c r="K14" s="126"/>
      <c r="L14" s="126"/>
      <c r="M14" s="126"/>
      <c r="N14" s="126"/>
      <c r="O14" s="127"/>
    </row>
    <row r="15" ht="16.5" spans="1:15">
      <c r="A15" s="119" t="s">
        <v>5112</v>
      </c>
      <c r="B15" s="119"/>
      <c r="C15" s="119"/>
      <c r="D15" s="119"/>
      <c r="E15" s="119"/>
      <c r="F15" s="119"/>
      <c r="G15" s="119"/>
      <c r="I15" s="119" t="s">
        <v>5112</v>
      </c>
      <c r="J15" s="119"/>
      <c r="K15" s="119"/>
      <c r="L15" s="119"/>
      <c r="M15" s="119"/>
      <c r="N15" s="119"/>
      <c r="O15" s="119"/>
    </row>
    <row r="16" ht="95" customHeight="1" spans="1:15">
      <c r="A16" s="128" t="s">
        <v>5113</v>
      </c>
      <c r="B16" s="128"/>
      <c r="C16" s="128"/>
      <c r="D16" s="128"/>
      <c r="E16" s="128"/>
      <c r="F16" s="128"/>
      <c r="G16" s="128"/>
      <c r="I16" s="128" t="s">
        <v>5113</v>
      </c>
      <c r="J16" s="128"/>
      <c r="K16" s="128"/>
      <c r="L16" s="128"/>
      <c r="M16" s="128"/>
      <c r="N16" s="128"/>
      <c r="O16" s="128"/>
    </row>
    <row r="17" ht="16.5" spans="1:15">
      <c r="A17" s="119" t="s">
        <v>5114</v>
      </c>
      <c r="B17" s="119"/>
      <c r="C17" s="119"/>
      <c r="D17" s="119"/>
      <c r="E17" s="119"/>
      <c r="F17" s="119"/>
      <c r="G17" s="119"/>
      <c r="I17" s="119" t="s">
        <v>5114</v>
      </c>
      <c r="J17" s="119"/>
      <c r="K17" s="119"/>
      <c r="L17" s="119"/>
      <c r="M17" s="119"/>
      <c r="N17" s="119"/>
      <c r="O17" s="119"/>
    </row>
    <row r="18" ht="16.5" spans="1:15">
      <c r="A18" s="128" t="s">
        <v>4512</v>
      </c>
      <c r="B18" s="128"/>
      <c r="C18" s="128"/>
      <c r="D18" s="128"/>
      <c r="E18" s="128"/>
      <c r="F18" s="128"/>
      <c r="G18" s="128"/>
      <c r="I18" s="128" t="s">
        <v>4512</v>
      </c>
      <c r="J18" s="128"/>
      <c r="K18" s="128"/>
      <c r="L18" s="128"/>
      <c r="M18" s="128"/>
      <c r="N18" s="128"/>
      <c r="O18" s="128"/>
    </row>
    <row r="19" ht="16.5" spans="1:15">
      <c r="A19" s="122" t="s">
        <v>5115</v>
      </c>
      <c r="B19" s="123"/>
      <c r="C19" s="123"/>
      <c r="D19" s="123"/>
      <c r="E19" s="123"/>
      <c r="F19" s="123"/>
      <c r="G19" s="124"/>
      <c r="I19" s="122" t="s">
        <v>5115</v>
      </c>
      <c r="J19" s="123"/>
      <c r="K19" s="123"/>
      <c r="L19" s="123"/>
      <c r="M19" s="123"/>
      <c r="N19" s="123"/>
      <c r="O19" s="124"/>
    </row>
    <row r="20" ht="16.5" spans="1:15">
      <c r="A20" s="129" t="s">
        <v>4514</v>
      </c>
      <c r="B20" s="130"/>
      <c r="C20" s="130"/>
      <c r="D20" s="130"/>
      <c r="E20" s="130"/>
      <c r="F20" s="130"/>
      <c r="G20" s="131"/>
      <c r="I20" s="129" t="s">
        <v>4514</v>
      </c>
      <c r="J20" s="130"/>
      <c r="K20" s="130"/>
      <c r="L20" s="130"/>
      <c r="M20" s="130"/>
      <c r="N20" s="130"/>
      <c r="O20" s="131"/>
    </row>
    <row r="21" ht="16.5" spans="1:15">
      <c r="A21" s="119" t="s">
        <v>5116</v>
      </c>
      <c r="B21" s="119"/>
      <c r="C21" s="119"/>
      <c r="D21" s="119"/>
      <c r="E21" s="119"/>
      <c r="F21" s="119"/>
      <c r="G21" s="119"/>
      <c r="I21" s="119" t="s">
        <v>5116</v>
      </c>
      <c r="J21" s="119"/>
      <c r="K21" s="119"/>
      <c r="L21" s="119"/>
      <c r="M21" s="119"/>
      <c r="N21" s="119"/>
      <c r="O21" s="119"/>
    </row>
    <row r="22" ht="124" customHeight="1" spans="1:15">
      <c r="A22" s="121" t="s">
        <v>5117</v>
      </c>
      <c r="B22" s="132"/>
      <c r="C22" s="132"/>
      <c r="D22" s="132"/>
      <c r="E22" s="132"/>
      <c r="F22" s="132"/>
      <c r="G22" s="132"/>
      <c r="I22" s="121" t="s">
        <v>5117</v>
      </c>
      <c r="J22" s="132"/>
      <c r="K22" s="132"/>
      <c r="L22" s="132"/>
      <c r="M22" s="132"/>
      <c r="N22" s="132"/>
      <c r="O22" s="132"/>
    </row>
    <row r="23" ht="16.5" spans="1:15">
      <c r="A23" s="119" t="s">
        <v>5118</v>
      </c>
      <c r="B23" s="119"/>
      <c r="C23" s="119"/>
      <c r="D23" s="119"/>
      <c r="E23" s="119"/>
      <c r="F23" s="119"/>
      <c r="G23" s="119"/>
      <c r="I23" s="119" t="s">
        <v>5118</v>
      </c>
      <c r="J23" s="119"/>
      <c r="K23" s="119"/>
      <c r="L23" s="119"/>
      <c r="M23" s="119"/>
      <c r="N23" s="119"/>
      <c r="O23" s="119"/>
    </row>
    <row r="24" ht="16.5" spans="1:15">
      <c r="A24" s="121" t="s">
        <v>5119</v>
      </c>
      <c r="B24" s="121"/>
      <c r="C24" s="121"/>
      <c r="D24" s="121"/>
      <c r="E24" s="121"/>
      <c r="F24" s="121"/>
      <c r="G24" s="121"/>
      <c r="I24" s="121" t="s">
        <v>5119</v>
      </c>
      <c r="J24" s="121"/>
      <c r="K24" s="121"/>
      <c r="L24" s="121"/>
      <c r="M24" s="121"/>
      <c r="N24" s="121"/>
      <c r="O24" s="121"/>
    </row>
    <row r="25" ht="16.5" spans="1:15">
      <c r="A25" s="119" t="s">
        <v>5120</v>
      </c>
      <c r="B25" s="119"/>
      <c r="C25" s="119"/>
      <c r="D25" s="119"/>
      <c r="E25" s="119"/>
      <c r="F25" s="119"/>
      <c r="G25" s="119"/>
      <c r="I25" s="119" t="s">
        <v>5120</v>
      </c>
      <c r="J25" s="119"/>
      <c r="K25" s="119"/>
      <c r="L25" s="119"/>
      <c r="M25" s="119"/>
      <c r="N25" s="119"/>
      <c r="O25" s="119"/>
    </row>
    <row r="26" ht="16.5" spans="1:15">
      <c r="A26" s="128" t="s">
        <v>5121</v>
      </c>
      <c r="B26" s="128"/>
      <c r="C26" s="128"/>
      <c r="D26" s="128"/>
      <c r="E26" s="128"/>
      <c r="F26" s="128"/>
      <c r="G26" s="128"/>
      <c r="I26" s="128" t="s">
        <v>5121</v>
      </c>
      <c r="J26" s="128"/>
      <c r="K26" s="128"/>
      <c r="L26" s="128"/>
      <c r="M26" s="128"/>
      <c r="N26" s="128"/>
      <c r="O26" s="128"/>
    </row>
    <row r="27" ht="16.5" spans="1:15">
      <c r="A27" s="119" t="s">
        <v>5122</v>
      </c>
      <c r="B27" s="119"/>
      <c r="C27" s="119"/>
      <c r="D27" s="119"/>
      <c r="E27" s="119"/>
      <c r="F27" s="119"/>
      <c r="G27" s="119"/>
      <c r="I27" s="119" t="s">
        <v>5122</v>
      </c>
      <c r="J27" s="119"/>
      <c r="K27" s="119"/>
      <c r="L27" s="119"/>
      <c r="M27" s="119"/>
      <c r="N27" s="119"/>
      <c r="O27" s="119"/>
    </row>
    <row r="28" ht="16.5" spans="1:15">
      <c r="A28" s="128" t="s">
        <v>5123</v>
      </c>
      <c r="B28" s="128"/>
      <c r="C28" s="128"/>
      <c r="D28" s="128"/>
      <c r="E28" s="128"/>
      <c r="F28" s="128"/>
      <c r="G28" s="128"/>
      <c r="I28" s="128" t="s">
        <v>5123</v>
      </c>
      <c r="J28" s="128"/>
      <c r="K28" s="128"/>
      <c r="L28" s="128"/>
      <c r="M28" s="128"/>
      <c r="N28" s="128"/>
      <c r="O28" s="128"/>
    </row>
    <row r="29" ht="16.5" spans="1:15">
      <c r="A29" s="133" t="s">
        <v>5124</v>
      </c>
      <c r="B29" s="133"/>
      <c r="C29" s="133"/>
      <c r="D29" s="133"/>
      <c r="E29" s="133"/>
      <c r="F29" s="133"/>
      <c r="G29" s="133"/>
      <c r="I29" s="133" t="s">
        <v>5124</v>
      </c>
      <c r="J29" s="133"/>
      <c r="K29" s="133"/>
      <c r="L29" s="133"/>
      <c r="M29" s="133"/>
      <c r="N29" s="133"/>
      <c r="O29" s="133"/>
    </row>
    <row r="30" ht="16.5" spans="1:15">
      <c r="A30" s="128" t="s">
        <v>5125</v>
      </c>
      <c r="B30" s="134"/>
      <c r="C30" s="135"/>
      <c r="D30" s="135"/>
      <c r="E30" s="135"/>
      <c r="F30" s="135"/>
      <c r="G30" s="136"/>
      <c r="I30" s="128" t="s">
        <v>5125</v>
      </c>
      <c r="J30" s="134"/>
      <c r="K30" s="135"/>
      <c r="L30" s="135"/>
      <c r="M30" s="135"/>
      <c r="N30" s="135"/>
      <c r="O30" s="136"/>
    </row>
    <row r="31" ht="16.5" spans="1:15">
      <c r="A31" s="128" t="s">
        <v>5126</v>
      </c>
      <c r="B31" s="134"/>
      <c r="C31" s="135"/>
      <c r="D31" s="135"/>
      <c r="E31" s="135"/>
      <c r="F31" s="135"/>
      <c r="G31" s="136"/>
      <c r="I31" s="128" t="s">
        <v>5126</v>
      </c>
      <c r="J31" s="134"/>
      <c r="K31" s="135"/>
      <c r="L31" s="135"/>
      <c r="M31" s="135"/>
      <c r="N31" s="135"/>
      <c r="O31" s="136"/>
    </row>
    <row r="32" ht="16.5" spans="1:15">
      <c r="A32" s="128" t="s">
        <v>5127</v>
      </c>
      <c r="B32" s="134"/>
      <c r="C32" s="135"/>
      <c r="D32" s="135"/>
      <c r="E32" s="135"/>
      <c r="F32" s="135"/>
      <c r="G32" s="136"/>
      <c r="I32" s="128" t="s">
        <v>5127</v>
      </c>
      <c r="J32" s="134"/>
      <c r="K32" s="135"/>
      <c r="L32" s="135"/>
      <c r="M32" s="135"/>
      <c r="N32" s="135"/>
      <c r="O32" s="136"/>
    </row>
  </sheetData>
  <mergeCells count="56">
    <mergeCell ref="A1:G1"/>
    <mergeCell ref="I1:O1"/>
    <mergeCell ref="C2:G2"/>
    <mergeCell ref="K2:O2"/>
    <mergeCell ref="B8:G8"/>
    <mergeCell ref="J8:O8"/>
    <mergeCell ref="B9:G9"/>
    <mergeCell ref="J9:O9"/>
    <mergeCell ref="B10:G10"/>
    <mergeCell ref="J10:O10"/>
    <mergeCell ref="A11:G11"/>
    <mergeCell ref="I11:O11"/>
    <mergeCell ref="A12:G12"/>
    <mergeCell ref="I12:O12"/>
    <mergeCell ref="A13:G13"/>
    <mergeCell ref="I13:O13"/>
    <mergeCell ref="A14:G14"/>
    <mergeCell ref="I14:O14"/>
    <mergeCell ref="A15:G15"/>
    <mergeCell ref="I15:O15"/>
    <mergeCell ref="A16:G16"/>
    <mergeCell ref="I16:O16"/>
    <mergeCell ref="A17:G17"/>
    <mergeCell ref="I17:O17"/>
    <mergeCell ref="A18:G18"/>
    <mergeCell ref="I18:O18"/>
    <mergeCell ref="A19:G19"/>
    <mergeCell ref="I19:O19"/>
    <mergeCell ref="A20:G20"/>
    <mergeCell ref="I20:O20"/>
    <mergeCell ref="A21:G21"/>
    <mergeCell ref="I21:O21"/>
    <mergeCell ref="A22:G22"/>
    <mergeCell ref="I22:O22"/>
    <mergeCell ref="A23:G23"/>
    <mergeCell ref="I23:O23"/>
    <mergeCell ref="A24:G24"/>
    <mergeCell ref="I24:O24"/>
    <mergeCell ref="A25:G25"/>
    <mergeCell ref="I25:O25"/>
    <mergeCell ref="A26:G26"/>
    <mergeCell ref="I26:O26"/>
    <mergeCell ref="A27:G27"/>
    <mergeCell ref="I27:O27"/>
    <mergeCell ref="A28:G28"/>
    <mergeCell ref="I28:O28"/>
    <mergeCell ref="A29:G29"/>
    <mergeCell ref="I29:O29"/>
    <mergeCell ref="B30:G30"/>
    <mergeCell ref="J30:O30"/>
    <mergeCell ref="B31:G31"/>
    <mergeCell ref="J31:O31"/>
    <mergeCell ref="B32:G32"/>
    <mergeCell ref="J32:O32"/>
    <mergeCell ref="C3:G7"/>
    <mergeCell ref="K3:O7"/>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F39"/>
  <sheetViews>
    <sheetView zoomScale="85" zoomScaleNormal="85" workbookViewId="0">
      <selection activeCell="D7" sqref="D7:P8"/>
    </sheetView>
  </sheetViews>
  <sheetFormatPr defaultColWidth="9.23333333333333" defaultRowHeight="13.5"/>
  <cols>
    <col min="1" max="1" width="2.075" customWidth="1"/>
    <col min="2" max="2" width="9" style="50"/>
    <col min="3" max="11" width="10" style="50" customWidth="1"/>
    <col min="12" max="12" width="16.3083333333333" style="50" customWidth="1"/>
    <col min="13" max="13" width="12.2333333333333" style="50" customWidth="1"/>
    <col min="14" max="15" width="10" style="50" customWidth="1"/>
    <col min="16" max="16" width="15.075" style="50" customWidth="1"/>
    <col min="18" max="18" width="9" style="50"/>
    <col min="19" max="27" width="10" style="50" customWidth="1"/>
    <col min="28" max="28" width="14.3083333333333" style="50" customWidth="1"/>
    <col min="29" max="29" width="12.2333333333333" style="50" customWidth="1"/>
    <col min="30" max="31" width="10" style="50" customWidth="1"/>
    <col min="32" max="32" width="15.2583333333333" style="50" customWidth="1"/>
  </cols>
  <sheetData>
    <row r="1" ht="24.75" spans="2:32">
      <c r="B1" s="51" t="s">
        <v>5128</v>
      </c>
      <c r="C1" s="52"/>
      <c r="D1" s="52"/>
      <c r="E1" s="52"/>
      <c r="F1" s="52"/>
      <c r="G1" s="52"/>
      <c r="H1" s="52"/>
      <c r="I1" s="52"/>
      <c r="J1" s="52"/>
      <c r="K1" s="52"/>
      <c r="L1" s="52"/>
      <c r="M1" s="52"/>
      <c r="N1" s="52"/>
      <c r="O1" s="52"/>
      <c r="P1" s="52"/>
      <c r="R1" s="51" t="s">
        <v>5129</v>
      </c>
      <c r="S1" s="52"/>
      <c r="T1" s="52"/>
      <c r="U1" s="52"/>
      <c r="V1" s="52"/>
      <c r="W1" s="52"/>
      <c r="X1" s="52"/>
      <c r="Y1" s="52"/>
      <c r="Z1" s="52"/>
      <c r="AA1" s="52"/>
      <c r="AB1" s="52"/>
      <c r="AC1" s="52"/>
      <c r="AD1" s="52"/>
      <c r="AE1" s="52"/>
      <c r="AF1" s="52"/>
    </row>
    <row r="2" ht="14.25" spans="2:32">
      <c r="B2" s="53" t="s">
        <v>5130</v>
      </c>
      <c r="C2" s="54"/>
      <c r="D2" s="54" t="s">
        <v>5131</v>
      </c>
      <c r="E2" s="54"/>
      <c r="F2" s="54" t="s">
        <v>5132</v>
      </c>
      <c r="G2" s="54"/>
      <c r="H2" s="54"/>
      <c r="I2" s="54"/>
      <c r="J2" s="54" t="s">
        <v>5133</v>
      </c>
      <c r="K2" s="54"/>
      <c r="L2" s="55" t="s">
        <v>5134</v>
      </c>
      <c r="M2" s="56"/>
      <c r="N2" s="54" t="s">
        <v>5135</v>
      </c>
      <c r="O2" s="54"/>
      <c r="P2" s="57">
        <v>43564</v>
      </c>
      <c r="R2" s="53" t="s">
        <v>5130</v>
      </c>
      <c r="S2" s="54"/>
      <c r="T2" s="54" t="s">
        <v>5131</v>
      </c>
      <c r="U2" s="54"/>
      <c r="V2" s="54" t="s">
        <v>5132</v>
      </c>
      <c r="W2" s="54"/>
      <c r="X2" s="54"/>
      <c r="Y2" s="54"/>
      <c r="Z2" s="54" t="s">
        <v>5133</v>
      </c>
      <c r="AA2" s="54"/>
      <c r="AB2" s="55" t="s">
        <v>5134</v>
      </c>
      <c r="AC2" s="56"/>
      <c r="AD2" s="54" t="s">
        <v>5135</v>
      </c>
      <c r="AE2" s="54"/>
      <c r="AF2" s="57"/>
    </row>
    <row r="3" ht="14.25" spans="2:32">
      <c r="B3" s="53" t="s">
        <v>4996</v>
      </c>
      <c r="C3" s="54"/>
      <c r="D3" s="58" t="s">
        <v>5136</v>
      </c>
      <c r="E3" s="59"/>
      <c r="F3" s="54" t="s">
        <v>5137</v>
      </c>
      <c r="G3" s="54"/>
      <c r="H3" s="54"/>
      <c r="I3" s="54"/>
      <c r="J3" s="54" t="s">
        <v>5138</v>
      </c>
      <c r="K3" s="54"/>
      <c r="L3" s="55"/>
      <c r="M3" s="56"/>
      <c r="N3" s="54" t="s">
        <v>5139</v>
      </c>
      <c r="O3" s="54"/>
      <c r="P3" s="60"/>
      <c r="R3" s="53" t="s">
        <v>4996</v>
      </c>
      <c r="S3" s="54"/>
      <c r="T3" s="58" t="s">
        <v>5140</v>
      </c>
      <c r="U3" s="59"/>
      <c r="V3" s="54" t="s">
        <v>5137</v>
      </c>
      <c r="W3" s="54"/>
      <c r="X3" s="54"/>
      <c r="Y3" s="54"/>
      <c r="Z3" s="54" t="s">
        <v>5138</v>
      </c>
      <c r="AA3" s="54"/>
      <c r="AB3" s="55"/>
      <c r="AC3" s="56"/>
      <c r="AD3" s="54" t="s">
        <v>5139</v>
      </c>
      <c r="AE3" s="54"/>
      <c r="AF3" s="60"/>
    </row>
    <row r="4" ht="140" customHeight="1" spans="2:32">
      <c r="B4" s="61" t="s">
        <v>5141</v>
      </c>
      <c r="C4" s="62"/>
      <c r="D4" s="62"/>
      <c r="E4" s="62"/>
      <c r="F4" s="62"/>
      <c r="G4" s="62"/>
      <c r="H4" s="62"/>
      <c r="I4" s="62"/>
      <c r="J4" s="62"/>
      <c r="K4" s="62"/>
      <c r="L4" s="62"/>
      <c r="M4" s="62"/>
      <c r="N4" s="63"/>
      <c r="O4" s="63"/>
      <c r="P4" s="62"/>
      <c r="R4" s="61" t="s">
        <v>5142</v>
      </c>
      <c r="S4" s="62"/>
      <c r="T4" s="62"/>
      <c r="U4" s="62"/>
      <c r="V4" s="62"/>
      <c r="W4" s="62"/>
      <c r="X4" s="62"/>
      <c r="Y4" s="62"/>
      <c r="Z4" s="62"/>
      <c r="AA4" s="62"/>
      <c r="AB4" s="62"/>
      <c r="AC4" s="62"/>
      <c r="AD4" s="63"/>
      <c r="AE4" s="63"/>
      <c r="AF4" s="62"/>
    </row>
    <row r="5" ht="14.25" spans="2:32">
      <c r="B5" s="64" t="s">
        <v>5143</v>
      </c>
      <c r="C5" s="65"/>
      <c r="D5" s="65"/>
      <c r="E5" s="65"/>
      <c r="F5" s="65"/>
      <c r="G5" s="65"/>
      <c r="H5" s="65"/>
      <c r="I5" s="65"/>
      <c r="J5" s="65"/>
      <c r="K5" s="65"/>
      <c r="L5" s="65"/>
      <c r="M5" s="65"/>
      <c r="N5" s="65"/>
      <c r="O5" s="65"/>
      <c r="P5" s="65"/>
      <c r="R5" s="64" t="s">
        <v>5143</v>
      </c>
      <c r="S5" s="65"/>
      <c r="T5" s="65"/>
      <c r="U5" s="65"/>
      <c r="V5" s="65"/>
      <c r="W5" s="65"/>
      <c r="X5" s="65"/>
      <c r="Y5" s="65"/>
      <c r="Z5" s="65"/>
      <c r="AA5" s="65"/>
      <c r="AB5" s="65"/>
      <c r="AC5" s="65"/>
      <c r="AD5" s="65"/>
      <c r="AE5" s="65"/>
      <c r="AF5" s="65"/>
    </row>
    <row r="6" ht="14.25" spans="2:32">
      <c r="B6" s="66" t="s">
        <v>5144</v>
      </c>
      <c r="C6" s="67"/>
      <c r="D6" s="67" t="s">
        <v>5145</v>
      </c>
      <c r="E6" s="67"/>
      <c r="F6" s="67"/>
      <c r="G6" s="67"/>
      <c r="H6" s="67"/>
      <c r="I6" s="67"/>
      <c r="J6" s="67"/>
      <c r="K6" s="67"/>
      <c r="L6" s="67"/>
      <c r="M6" s="67"/>
      <c r="N6" s="67"/>
      <c r="O6" s="67"/>
      <c r="P6" s="67"/>
      <c r="R6" s="66" t="s">
        <v>5144</v>
      </c>
      <c r="S6" s="67"/>
      <c r="T6" s="67" t="s">
        <v>5145</v>
      </c>
      <c r="U6" s="67"/>
      <c r="V6" s="67"/>
      <c r="W6" s="67"/>
      <c r="X6" s="67"/>
      <c r="Y6" s="67"/>
      <c r="Z6" s="67"/>
      <c r="AA6" s="67"/>
      <c r="AB6" s="67"/>
      <c r="AC6" s="67"/>
      <c r="AD6" s="67"/>
      <c r="AE6" s="67"/>
      <c r="AF6" s="67"/>
    </row>
    <row r="7" spans="2:32">
      <c r="B7" s="68" t="s">
        <v>5146</v>
      </c>
      <c r="C7" s="69" t="s">
        <v>5147</v>
      </c>
      <c r="D7" s="70" t="s">
        <v>5148</v>
      </c>
      <c r="E7" s="70"/>
      <c r="F7" s="70"/>
      <c r="G7" s="70"/>
      <c r="H7" s="70"/>
      <c r="I7" s="70"/>
      <c r="J7" s="70"/>
      <c r="K7" s="70"/>
      <c r="L7" s="70"/>
      <c r="M7" s="70"/>
      <c r="N7" s="70"/>
      <c r="O7" s="70"/>
      <c r="P7" s="70"/>
      <c r="R7" s="68" t="s">
        <v>5146</v>
      </c>
      <c r="S7" s="69" t="s">
        <v>5147</v>
      </c>
      <c r="T7" s="70" t="s">
        <v>5148</v>
      </c>
      <c r="U7" s="70"/>
      <c r="V7" s="70"/>
      <c r="W7" s="70"/>
      <c r="X7" s="70"/>
      <c r="Y7" s="70"/>
      <c r="Z7" s="70"/>
      <c r="AA7" s="70"/>
      <c r="AB7" s="70"/>
      <c r="AC7" s="70"/>
      <c r="AD7" s="70"/>
      <c r="AE7" s="70"/>
      <c r="AF7" s="70"/>
    </row>
    <row r="8" spans="2:32">
      <c r="B8" s="68"/>
      <c r="C8" s="69"/>
      <c r="D8" s="70"/>
      <c r="E8" s="70"/>
      <c r="F8" s="70"/>
      <c r="G8" s="70"/>
      <c r="H8" s="70"/>
      <c r="I8" s="70"/>
      <c r="J8" s="70"/>
      <c r="K8" s="70"/>
      <c r="L8" s="70"/>
      <c r="M8" s="70"/>
      <c r="N8" s="70"/>
      <c r="O8" s="70"/>
      <c r="P8" s="70"/>
      <c r="R8" s="68"/>
      <c r="S8" s="69"/>
      <c r="T8" s="70"/>
      <c r="U8" s="70"/>
      <c r="V8" s="70"/>
      <c r="W8" s="70"/>
      <c r="X8" s="70"/>
      <c r="Y8" s="70"/>
      <c r="Z8" s="70"/>
      <c r="AA8" s="70"/>
      <c r="AB8" s="70"/>
      <c r="AC8" s="70"/>
      <c r="AD8" s="70"/>
      <c r="AE8" s="70"/>
      <c r="AF8" s="70"/>
    </row>
    <row r="9" ht="49" customHeight="1" spans="2:32">
      <c r="B9" s="68"/>
      <c r="C9" s="71" t="s">
        <v>5149</v>
      </c>
      <c r="D9" s="70" t="s">
        <v>5150</v>
      </c>
      <c r="E9" s="70"/>
      <c r="F9" s="70"/>
      <c r="G9" s="70"/>
      <c r="H9" s="70"/>
      <c r="I9" s="70"/>
      <c r="J9" s="70"/>
      <c r="K9" s="70"/>
      <c r="L9" s="70"/>
      <c r="M9" s="70"/>
      <c r="N9" s="70"/>
      <c r="O9" s="70"/>
      <c r="P9" s="70"/>
      <c r="R9" s="68"/>
      <c r="S9" s="71" t="s">
        <v>5149</v>
      </c>
      <c r="T9" s="70" t="s">
        <v>5150</v>
      </c>
      <c r="U9" s="70"/>
      <c r="V9" s="70"/>
      <c r="W9" s="70"/>
      <c r="X9" s="70"/>
      <c r="Y9" s="70"/>
      <c r="Z9" s="70"/>
      <c r="AA9" s="70"/>
      <c r="AB9" s="70"/>
      <c r="AC9" s="70"/>
      <c r="AD9" s="70"/>
      <c r="AE9" s="70"/>
      <c r="AF9" s="70"/>
    </row>
    <row r="10" ht="49" customHeight="1" spans="2:32">
      <c r="B10" s="68"/>
      <c r="C10" s="71"/>
      <c r="D10" s="70"/>
      <c r="E10" s="70"/>
      <c r="F10" s="70"/>
      <c r="G10" s="70"/>
      <c r="H10" s="70"/>
      <c r="I10" s="70"/>
      <c r="J10" s="70"/>
      <c r="K10" s="70"/>
      <c r="L10" s="70"/>
      <c r="M10" s="70"/>
      <c r="N10" s="70"/>
      <c r="O10" s="70"/>
      <c r="P10" s="70"/>
      <c r="R10" s="68"/>
      <c r="S10" s="71"/>
      <c r="T10" s="70"/>
      <c r="U10" s="70"/>
      <c r="V10" s="70"/>
      <c r="W10" s="70"/>
      <c r="X10" s="70"/>
      <c r="Y10" s="70"/>
      <c r="Z10" s="70"/>
      <c r="AA10" s="70"/>
      <c r="AB10" s="70"/>
      <c r="AC10" s="70"/>
      <c r="AD10" s="70"/>
      <c r="AE10" s="70"/>
      <c r="AF10" s="70"/>
    </row>
    <row r="11" spans="2:32">
      <c r="B11" s="68"/>
      <c r="C11" s="69" t="s">
        <v>5151</v>
      </c>
      <c r="D11" s="70" t="s">
        <v>5152</v>
      </c>
      <c r="E11" s="70"/>
      <c r="F11" s="70"/>
      <c r="G11" s="70"/>
      <c r="H11" s="70"/>
      <c r="I11" s="70"/>
      <c r="J11" s="70"/>
      <c r="K11" s="70"/>
      <c r="L11" s="70"/>
      <c r="M11" s="70"/>
      <c r="N11" s="70"/>
      <c r="O11" s="70"/>
      <c r="P11" s="70"/>
      <c r="R11" s="68"/>
      <c r="S11" s="69" t="s">
        <v>5151</v>
      </c>
      <c r="T11" s="70" t="s">
        <v>5152</v>
      </c>
      <c r="U11" s="70"/>
      <c r="V11" s="70"/>
      <c r="W11" s="70"/>
      <c r="X11" s="70"/>
      <c r="Y11" s="70"/>
      <c r="Z11" s="70"/>
      <c r="AA11" s="70"/>
      <c r="AB11" s="70"/>
      <c r="AC11" s="70"/>
      <c r="AD11" s="70"/>
      <c r="AE11" s="70"/>
      <c r="AF11" s="70"/>
    </row>
    <row r="12" ht="89" customHeight="1" spans="2:32">
      <c r="B12" s="68"/>
      <c r="C12" s="69"/>
      <c r="D12" s="70"/>
      <c r="E12" s="70"/>
      <c r="F12" s="70"/>
      <c r="G12" s="70"/>
      <c r="H12" s="70"/>
      <c r="I12" s="70"/>
      <c r="J12" s="70"/>
      <c r="K12" s="70"/>
      <c r="L12" s="70"/>
      <c r="M12" s="70"/>
      <c r="N12" s="70"/>
      <c r="O12" s="70"/>
      <c r="P12" s="70"/>
      <c r="R12" s="68"/>
      <c r="S12" s="69"/>
      <c r="T12" s="70"/>
      <c r="U12" s="70"/>
      <c r="V12" s="70"/>
      <c r="W12" s="70"/>
      <c r="X12" s="70"/>
      <c r="Y12" s="70"/>
      <c r="Z12" s="70"/>
      <c r="AA12" s="70"/>
      <c r="AB12" s="70"/>
      <c r="AC12" s="70"/>
      <c r="AD12" s="70"/>
      <c r="AE12" s="70"/>
      <c r="AF12" s="70"/>
    </row>
    <row r="13" ht="33" customHeight="1" spans="2:32">
      <c r="B13" s="68"/>
      <c r="C13" s="69" t="s">
        <v>5153</v>
      </c>
      <c r="D13" s="70" t="s">
        <v>5154</v>
      </c>
      <c r="E13" s="70"/>
      <c r="F13" s="70"/>
      <c r="G13" s="70"/>
      <c r="H13" s="70"/>
      <c r="I13" s="70"/>
      <c r="J13" s="70"/>
      <c r="K13" s="70"/>
      <c r="L13" s="70"/>
      <c r="M13" s="70"/>
      <c r="N13" s="70"/>
      <c r="O13" s="70"/>
      <c r="P13" s="70"/>
      <c r="R13" s="68"/>
      <c r="S13" s="69" t="s">
        <v>5153</v>
      </c>
      <c r="T13" s="70" t="s">
        <v>5154</v>
      </c>
      <c r="U13" s="70"/>
      <c r="V13" s="70"/>
      <c r="W13" s="70"/>
      <c r="X13" s="70"/>
      <c r="Y13" s="70"/>
      <c r="Z13" s="70"/>
      <c r="AA13" s="70"/>
      <c r="AB13" s="70"/>
      <c r="AC13" s="70"/>
      <c r="AD13" s="70"/>
      <c r="AE13" s="70"/>
      <c r="AF13" s="70"/>
    </row>
    <row r="14" ht="33" customHeight="1" spans="2:32">
      <c r="B14" s="68"/>
      <c r="C14" s="69"/>
      <c r="D14" s="70"/>
      <c r="E14" s="70"/>
      <c r="F14" s="70"/>
      <c r="G14" s="70"/>
      <c r="H14" s="70"/>
      <c r="I14" s="70"/>
      <c r="J14" s="70"/>
      <c r="K14" s="70"/>
      <c r="L14" s="70"/>
      <c r="M14" s="70"/>
      <c r="N14" s="70"/>
      <c r="O14" s="70"/>
      <c r="P14" s="70"/>
      <c r="R14" s="68"/>
      <c r="S14" s="69"/>
      <c r="T14" s="70"/>
      <c r="U14" s="70"/>
      <c r="V14" s="70"/>
      <c r="W14" s="70"/>
      <c r="X14" s="70"/>
      <c r="Y14" s="70"/>
      <c r="Z14" s="70"/>
      <c r="AA14" s="70"/>
      <c r="AB14" s="70"/>
      <c r="AC14" s="70"/>
      <c r="AD14" s="70"/>
      <c r="AE14" s="70"/>
      <c r="AF14" s="70"/>
    </row>
    <row r="15" spans="2:32">
      <c r="B15" s="68"/>
      <c r="C15" s="72" t="s">
        <v>5155</v>
      </c>
      <c r="D15" s="73" t="s">
        <v>5156</v>
      </c>
      <c r="E15" s="73" t="s">
        <v>815</v>
      </c>
      <c r="F15" s="73" t="s">
        <v>5157</v>
      </c>
      <c r="G15" s="73" t="s">
        <v>5158</v>
      </c>
      <c r="H15" s="73" t="s">
        <v>5159</v>
      </c>
      <c r="I15" s="73" t="s">
        <v>810</v>
      </c>
      <c r="J15" s="73" t="s">
        <v>5160</v>
      </c>
      <c r="K15" s="73" t="s">
        <v>5161</v>
      </c>
      <c r="L15" s="73" t="s">
        <v>5162</v>
      </c>
      <c r="M15" s="73" t="s">
        <v>834</v>
      </c>
      <c r="N15" s="73" t="s">
        <v>5163</v>
      </c>
      <c r="O15" s="73" t="s">
        <v>5164</v>
      </c>
      <c r="P15" s="74"/>
      <c r="R15" s="68"/>
      <c r="S15" s="72" t="s">
        <v>5155</v>
      </c>
      <c r="T15" s="73" t="s">
        <v>5156</v>
      </c>
      <c r="U15" s="73" t="s">
        <v>815</v>
      </c>
      <c r="V15" s="73" t="s">
        <v>5157</v>
      </c>
      <c r="W15" s="73" t="s">
        <v>5158</v>
      </c>
      <c r="X15" s="73" t="s">
        <v>5159</v>
      </c>
      <c r="Y15" s="73" t="s">
        <v>810</v>
      </c>
      <c r="Z15" s="73" t="s">
        <v>5160</v>
      </c>
      <c r="AA15" s="73" t="s">
        <v>5161</v>
      </c>
      <c r="AB15" s="73" t="s">
        <v>5162</v>
      </c>
      <c r="AC15" s="73" t="s">
        <v>834</v>
      </c>
      <c r="AD15" s="73" t="s">
        <v>5163</v>
      </c>
      <c r="AE15" s="73" t="s">
        <v>5164</v>
      </c>
      <c r="AF15" s="74"/>
    </row>
    <row r="16" spans="2:32">
      <c r="B16" s="68"/>
      <c r="C16" s="75"/>
      <c r="D16" s="76"/>
      <c r="E16" s="76"/>
      <c r="F16" s="76"/>
      <c r="G16" s="76"/>
      <c r="H16" s="76"/>
      <c r="I16" s="76"/>
      <c r="J16" s="76"/>
      <c r="K16" s="76"/>
      <c r="L16" s="76"/>
      <c r="M16" s="76"/>
      <c r="N16" s="76"/>
      <c r="O16" s="76"/>
      <c r="P16" s="77"/>
      <c r="R16" s="68"/>
      <c r="S16" s="75"/>
      <c r="T16" s="76"/>
      <c r="U16" s="76"/>
      <c r="V16" s="76"/>
      <c r="W16" s="76"/>
      <c r="X16" s="76"/>
      <c r="Y16" s="76"/>
      <c r="Z16" s="76"/>
      <c r="AA16" s="76"/>
      <c r="AB16" s="76"/>
      <c r="AC16" s="76"/>
      <c r="AD16" s="76"/>
      <c r="AE16" s="76"/>
      <c r="AF16" s="77"/>
    </row>
    <row r="17" ht="33" spans="2:32">
      <c r="B17" s="68"/>
      <c r="C17" s="78"/>
      <c r="D17" s="79" t="s">
        <v>5165</v>
      </c>
      <c r="E17" s="80" t="s">
        <v>861</v>
      </c>
      <c r="F17" s="81">
        <v>99.99</v>
      </c>
      <c r="G17" s="82">
        <v>296</v>
      </c>
      <c r="H17" s="83" t="s">
        <v>4413</v>
      </c>
      <c r="I17" s="82" t="s">
        <v>3314</v>
      </c>
      <c r="J17" s="84">
        <f>K17/30</f>
        <v>655.633333333333</v>
      </c>
      <c r="K17" s="85">
        <v>19669</v>
      </c>
      <c r="L17" s="81">
        <f>F17*K17</f>
        <v>1966703.31</v>
      </c>
      <c r="M17" s="83">
        <v>42968</v>
      </c>
      <c r="N17" s="86">
        <v>4</v>
      </c>
      <c r="O17" s="86" t="s">
        <v>2824</v>
      </c>
      <c r="P17" s="87"/>
      <c r="R17" s="68"/>
      <c r="S17" s="78"/>
      <c r="T17" s="79" t="s">
        <v>5166</v>
      </c>
      <c r="U17" s="82" t="s">
        <v>4657</v>
      </c>
      <c r="V17" s="81">
        <v>129.99</v>
      </c>
      <c r="W17" s="82">
        <v>296</v>
      </c>
      <c r="X17" s="83" t="s">
        <v>4422</v>
      </c>
      <c r="Y17" s="82" t="s">
        <v>304</v>
      </c>
      <c r="Z17" s="84">
        <f>AA17/30</f>
        <v>202.466666666667</v>
      </c>
      <c r="AA17" s="85">
        <v>6074</v>
      </c>
      <c r="AB17" s="81">
        <f>V17*AA17</f>
        <v>789559.26</v>
      </c>
      <c r="AC17" s="83">
        <v>42613</v>
      </c>
      <c r="AD17" s="88">
        <v>2</v>
      </c>
      <c r="AE17" s="86" t="s">
        <v>4084</v>
      </c>
      <c r="AF17" s="87"/>
    </row>
    <row r="18" ht="16.5" spans="2:32">
      <c r="B18" s="68"/>
      <c r="C18" s="78"/>
      <c r="D18" s="79"/>
      <c r="E18" s="82"/>
      <c r="F18" s="81"/>
      <c r="G18" s="89"/>
      <c r="H18" s="83"/>
      <c r="I18" s="82"/>
      <c r="J18" s="84"/>
      <c r="K18" s="85"/>
      <c r="L18" s="86"/>
      <c r="M18" s="90"/>
      <c r="N18" s="86"/>
      <c r="O18" s="86"/>
      <c r="P18" s="87"/>
      <c r="R18" s="68"/>
      <c r="S18" s="78"/>
      <c r="T18" s="79"/>
      <c r="U18" s="82"/>
      <c r="V18" s="81"/>
      <c r="W18" s="89"/>
      <c r="X18" s="83"/>
      <c r="Y18" s="82"/>
      <c r="Z18" s="84"/>
      <c r="AA18" s="85"/>
      <c r="AB18" s="86"/>
      <c r="AC18" s="90"/>
      <c r="AD18" s="86"/>
      <c r="AE18" s="86"/>
      <c r="AF18" s="87"/>
    </row>
    <row r="19" ht="16.5" spans="2:32">
      <c r="B19" s="68"/>
      <c r="C19" s="78"/>
      <c r="D19" s="79"/>
      <c r="E19" s="82"/>
      <c r="F19" s="81"/>
      <c r="G19" s="82"/>
      <c r="H19" s="83"/>
      <c r="I19" s="82"/>
      <c r="J19" s="84"/>
      <c r="K19" s="85"/>
      <c r="L19" s="86"/>
      <c r="M19" s="83"/>
      <c r="N19" s="86"/>
      <c r="O19" s="86"/>
      <c r="P19" s="87"/>
      <c r="R19" s="68"/>
      <c r="S19" s="78"/>
      <c r="T19" s="79"/>
      <c r="U19" s="82"/>
      <c r="V19" s="81"/>
      <c r="W19" s="82"/>
      <c r="X19" s="83"/>
      <c r="Y19" s="82"/>
      <c r="Z19" s="84"/>
      <c r="AA19" s="85"/>
      <c r="AB19" s="86"/>
      <c r="AC19" s="83"/>
      <c r="AD19" s="86"/>
      <c r="AE19" s="86"/>
      <c r="AF19" s="87"/>
    </row>
    <row r="20" ht="33" customHeight="1" spans="2:32">
      <c r="B20" s="68"/>
      <c r="C20" s="69" t="s">
        <v>5167</v>
      </c>
      <c r="D20" s="91" t="s">
        <v>5168</v>
      </c>
      <c r="E20" s="91"/>
      <c r="F20" s="91"/>
      <c r="G20" s="91"/>
      <c r="H20" s="91"/>
      <c r="I20" s="91"/>
      <c r="J20" s="91"/>
      <c r="K20" s="91"/>
      <c r="L20" s="91"/>
      <c r="M20" s="91"/>
      <c r="N20" s="91"/>
      <c r="O20" s="91"/>
      <c r="P20" s="91"/>
      <c r="R20" s="68"/>
      <c r="S20" s="69" t="s">
        <v>5167</v>
      </c>
      <c r="T20" s="91" t="s">
        <v>5168</v>
      </c>
      <c r="U20" s="91"/>
      <c r="V20" s="91"/>
      <c r="W20" s="91"/>
      <c r="X20" s="91"/>
      <c r="Y20" s="91"/>
      <c r="Z20" s="91"/>
      <c r="AA20" s="91"/>
      <c r="AB20" s="91"/>
      <c r="AC20" s="91"/>
      <c r="AD20" s="91"/>
      <c r="AE20" s="91"/>
      <c r="AF20" s="91"/>
    </row>
    <row r="21" ht="27" spans="2:32">
      <c r="B21" s="68"/>
      <c r="C21" s="69" t="s">
        <v>5169</v>
      </c>
      <c r="D21" s="91" t="s">
        <v>5170</v>
      </c>
      <c r="E21" s="91"/>
      <c r="F21" s="91"/>
      <c r="G21" s="91"/>
      <c r="H21" s="91"/>
      <c r="I21" s="91"/>
      <c r="J21" s="91"/>
      <c r="K21" s="91"/>
      <c r="L21" s="91"/>
      <c r="M21" s="91"/>
      <c r="N21" s="91"/>
      <c r="O21" s="91"/>
      <c r="P21" s="91"/>
      <c r="R21" s="68"/>
      <c r="S21" s="69" t="s">
        <v>5169</v>
      </c>
      <c r="T21" s="91" t="s">
        <v>5171</v>
      </c>
      <c r="U21" s="91"/>
      <c r="V21" s="91"/>
      <c r="W21" s="91"/>
      <c r="X21" s="91"/>
      <c r="Y21" s="91"/>
      <c r="Z21" s="91"/>
      <c r="AA21" s="91"/>
      <c r="AB21" s="91"/>
      <c r="AC21" s="91"/>
      <c r="AD21" s="91"/>
      <c r="AE21" s="91"/>
      <c r="AF21" s="91"/>
    </row>
    <row r="22" spans="2:32">
      <c r="B22" s="68"/>
      <c r="C22" s="71" t="s">
        <v>5172</v>
      </c>
      <c r="D22" s="70" t="s">
        <v>5173</v>
      </c>
      <c r="E22" s="70"/>
      <c r="F22" s="70"/>
      <c r="G22" s="70"/>
      <c r="H22" s="70"/>
      <c r="I22" s="70"/>
      <c r="J22" s="70"/>
      <c r="K22" s="70"/>
      <c r="L22" s="70"/>
      <c r="M22" s="70"/>
      <c r="N22" s="70"/>
      <c r="O22" s="70"/>
      <c r="P22" s="70"/>
      <c r="R22" s="68"/>
      <c r="S22" s="71" t="s">
        <v>5172</v>
      </c>
      <c r="T22" s="70" t="s">
        <v>5174</v>
      </c>
      <c r="U22" s="70"/>
      <c r="V22" s="70"/>
      <c r="W22" s="70"/>
      <c r="X22" s="70"/>
      <c r="Y22" s="70"/>
      <c r="Z22" s="70"/>
      <c r="AA22" s="70"/>
      <c r="AB22" s="70"/>
      <c r="AC22" s="70"/>
      <c r="AD22" s="70"/>
      <c r="AE22" s="70"/>
      <c r="AF22" s="70"/>
    </row>
    <row r="23" spans="2:32">
      <c r="B23" s="68"/>
      <c r="C23" s="71"/>
      <c r="D23" s="70"/>
      <c r="E23" s="70"/>
      <c r="F23" s="70"/>
      <c r="G23" s="70"/>
      <c r="H23" s="70"/>
      <c r="I23" s="70"/>
      <c r="J23" s="70"/>
      <c r="K23" s="70"/>
      <c r="L23" s="70"/>
      <c r="M23" s="70"/>
      <c r="N23" s="70"/>
      <c r="O23" s="70"/>
      <c r="P23" s="70"/>
      <c r="R23" s="68"/>
      <c r="S23" s="71"/>
      <c r="T23" s="70"/>
      <c r="U23" s="70"/>
      <c r="V23" s="70"/>
      <c r="W23" s="70"/>
      <c r="X23" s="70"/>
      <c r="Y23" s="70"/>
      <c r="Z23" s="70"/>
      <c r="AA23" s="70"/>
      <c r="AB23" s="70"/>
      <c r="AC23" s="70"/>
      <c r="AD23" s="70"/>
      <c r="AE23" s="70"/>
      <c r="AF23" s="70"/>
    </row>
    <row r="24" spans="2:32">
      <c r="B24" s="68"/>
      <c r="C24" s="72" t="s">
        <v>5175</v>
      </c>
      <c r="D24" s="92" t="s">
        <v>5176</v>
      </c>
      <c r="E24" s="93"/>
      <c r="F24" s="93"/>
      <c r="G24" s="93"/>
      <c r="H24" s="93"/>
      <c r="I24" s="93"/>
      <c r="J24" s="93"/>
      <c r="K24" s="93"/>
      <c r="L24" s="93"/>
      <c r="M24" s="93"/>
      <c r="N24" s="93"/>
      <c r="O24" s="93"/>
      <c r="P24" s="93"/>
      <c r="R24" s="68"/>
      <c r="S24" s="72" t="s">
        <v>5175</v>
      </c>
      <c r="T24" s="70" t="s">
        <v>5177</v>
      </c>
      <c r="U24" s="70"/>
      <c r="V24" s="70"/>
      <c r="W24" s="70"/>
      <c r="X24" s="70"/>
      <c r="Y24" s="70"/>
      <c r="Z24" s="70"/>
      <c r="AA24" s="70"/>
      <c r="AB24" s="70"/>
      <c r="AC24" s="70"/>
      <c r="AD24" s="70"/>
      <c r="AE24" s="70"/>
      <c r="AF24" s="70"/>
    </row>
    <row r="25" spans="2:32">
      <c r="B25" s="68"/>
      <c r="C25" s="94"/>
      <c r="D25" s="95"/>
      <c r="E25" s="96"/>
      <c r="F25" s="96"/>
      <c r="G25" s="96"/>
      <c r="H25" s="96"/>
      <c r="I25" s="96"/>
      <c r="J25" s="96"/>
      <c r="K25" s="96"/>
      <c r="L25" s="96"/>
      <c r="M25" s="96"/>
      <c r="N25" s="96"/>
      <c r="O25" s="96"/>
      <c r="P25" s="96"/>
      <c r="R25" s="68"/>
      <c r="S25" s="94"/>
      <c r="T25" s="70"/>
      <c r="U25" s="70"/>
      <c r="V25" s="70"/>
      <c r="W25" s="70"/>
      <c r="X25" s="70"/>
      <c r="Y25" s="70"/>
      <c r="Z25" s="70"/>
      <c r="AA25" s="70"/>
      <c r="AB25" s="70"/>
      <c r="AC25" s="70"/>
      <c r="AD25" s="70"/>
      <c r="AE25" s="70"/>
      <c r="AF25" s="70"/>
    </row>
    <row r="26" spans="2:32">
      <c r="B26" s="68"/>
      <c r="C26" s="71" t="s">
        <v>5178</v>
      </c>
      <c r="D26" s="97" t="s">
        <v>5179</v>
      </c>
      <c r="E26" s="97"/>
      <c r="F26" s="97"/>
      <c r="G26" s="97"/>
      <c r="H26" s="97"/>
      <c r="I26" s="97"/>
      <c r="J26" s="97"/>
      <c r="K26" s="97"/>
      <c r="L26" s="97"/>
      <c r="M26" s="97"/>
      <c r="N26" s="97"/>
      <c r="O26" s="97"/>
      <c r="P26" s="97"/>
      <c r="R26" s="68"/>
      <c r="S26" s="71" t="s">
        <v>5178</v>
      </c>
      <c r="T26" s="97" t="s">
        <v>5180</v>
      </c>
      <c r="U26" s="97"/>
      <c r="V26" s="97"/>
      <c r="W26" s="97"/>
      <c r="X26" s="97"/>
      <c r="Y26" s="97"/>
      <c r="Z26" s="97"/>
      <c r="AA26" s="97"/>
      <c r="AB26" s="97"/>
      <c r="AC26" s="97"/>
      <c r="AD26" s="97"/>
      <c r="AE26" s="97"/>
      <c r="AF26" s="97"/>
    </row>
    <row r="27" spans="2:32">
      <c r="B27" s="68"/>
      <c r="C27" s="71"/>
      <c r="D27" s="97"/>
      <c r="E27" s="97"/>
      <c r="F27" s="97"/>
      <c r="G27" s="97"/>
      <c r="H27" s="97"/>
      <c r="I27" s="97"/>
      <c r="J27" s="97"/>
      <c r="K27" s="97"/>
      <c r="L27" s="97"/>
      <c r="M27" s="97"/>
      <c r="N27" s="97"/>
      <c r="O27" s="97"/>
      <c r="P27" s="97"/>
      <c r="R27" s="68"/>
      <c r="S27" s="71"/>
      <c r="T27" s="97"/>
      <c r="U27" s="97"/>
      <c r="V27" s="97"/>
      <c r="W27" s="97"/>
      <c r="X27" s="97"/>
      <c r="Y27" s="97"/>
      <c r="Z27" s="97"/>
      <c r="AA27" s="97"/>
      <c r="AB27" s="97"/>
      <c r="AC27" s="97"/>
      <c r="AD27" s="97"/>
      <c r="AE27" s="97"/>
      <c r="AF27" s="97"/>
    </row>
    <row r="28" spans="2:32">
      <c r="B28" s="68"/>
      <c r="C28" s="71" t="s">
        <v>5181</v>
      </c>
      <c r="D28" s="97" t="s">
        <v>5182</v>
      </c>
      <c r="E28" s="97"/>
      <c r="F28" s="97"/>
      <c r="G28" s="97"/>
      <c r="H28" s="97"/>
      <c r="I28" s="97"/>
      <c r="J28" s="97"/>
      <c r="K28" s="97"/>
      <c r="L28" s="97"/>
      <c r="M28" s="97"/>
      <c r="N28" s="97"/>
      <c r="O28" s="97"/>
      <c r="P28" s="97"/>
      <c r="R28" s="68"/>
      <c r="S28" s="71" t="s">
        <v>5181</v>
      </c>
      <c r="T28" s="97" t="s">
        <v>5182</v>
      </c>
      <c r="U28" s="97"/>
      <c r="V28" s="97"/>
      <c r="W28" s="97"/>
      <c r="X28" s="97"/>
      <c r="Y28" s="97"/>
      <c r="Z28" s="97"/>
      <c r="AA28" s="97"/>
      <c r="AB28" s="97"/>
      <c r="AC28" s="97"/>
      <c r="AD28" s="97"/>
      <c r="AE28" s="97"/>
      <c r="AF28" s="97"/>
    </row>
    <row r="29" spans="2:32">
      <c r="B29" s="68"/>
      <c r="C29" s="71"/>
      <c r="D29" s="97"/>
      <c r="E29" s="97"/>
      <c r="F29" s="97"/>
      <c r="G29" s="97"/>
      <c r="H29" s="97"/>
      <c r="I29" s="97"/>
      <c r="J29" s="97"/>
      <c r="K29" s="97"/>
      <c r="L29" s="97"/>
      <c r="M29" s="97"/>
      <c r="N29" s="97"/>
      <c r="O29" s="97"/>
      <c r="P29" s="97"/>
      <c r="R29" s="68"/>
      <c r="S29" s="71"/>
      <c r="T29" s="97"/>
      <c r="U29" s="97"/>
      <c r="V29" s="97"/>
      <c r="W29" s="97"/>
      <c r="X29" s="97"/>
      <c r="Y29" s="97"/>
      <c r="Z29" s="97"/>
      <c r="AA29" s="97"/>
      <c r="AB29" s="97"/>
      <c r="AC29" s="97"/>
      <c r="AD29" s="97"/>
      <c r="AE29" s="97"/>
      <c r="AF29" s="97"/>
    </row>
    <row r="30" spans="2:32">
      <c r="B30" s="68"/>
      <c r="C30" s="71" t="s">
        <v>5183</v>
      </c>
      <c r="D30" s="97" t="s">
        <v>4962</v>
      </c>
      <c r="E30" s="97"/>
      <c r="F30" s="97"/>
      <c r="G30" s="97"/>
      <c r="H30" s="97"/>
      <c r="I30" s="97"/>
      <c r="J30" s="97"/>
      <c r="K30" s="97"/>
      <c r="L30" s="97"/>
      <c r="M30" s="97"/>
      <c r="N30" s="97"/>
      <c r="O30" s="97"/>
      <c r="P30" s="97"/>
      <c r="R30" s="68"/>
      <c r="S30" s="71" t="s">
        <v>5183</v>
      </c>
      <c r="T30" s="97" t="s">
        <v>4962</v>
      </c>
      <c r="U30" s="97"/>
      <c r="V30" s="97"/>
      <c r="W30" s="97"/>
      <c r="X30" s="97"/>
      <c r="Y30" s="97"/>
      <c r="Z30" s="97"/>
      <c r="AA30" s="97"/>
      <c r="AB30" s="97"/>
      <c r="AC30" s="97"/>
      <c r="AD30" s="97"/>
      <c r="AE30" s="97"/>
      <c r="AF30" s="97"/>
    </row>
    <row r="31" ht="14.25" spans="2:32">
      <c r="B31" s="98"/>
      <c r="C31" s="99"/>
      <c r="D31" s="100"/>
      <c r="E31" s="100"/>
      <c r="F31" s="100"/>
      <c r="G31" s="100"/>
      <c r="H31" s="100"/>
      <c r="I31" s="100"/>
      <c r="J31" s="100"/>
      <c r="K31" s="100"/>
      <c r="L31" s="100"/>
      <c r="M31" s="100"/>
      <c r="N31" s="100"/>
      <c r="O31" s="100"/>
      <c r="P31" s="100"/>
      <c r="R31" s="98"/>
      <c r="S31" s="99"/>
      <c r="T31" s="100"/>
      <c r="U31" s="100"/>
      <c r="V31" s="100"/>
      <c r="W31" s="100"/>
      <c r="X31" s="100"/>
      <c r="Y31" s="100"/>
      <c r="Z31" s="100"/>
      <c r="AA31" s="100"/>
      <c r="AB31" s="100"/>
      <c r="AC31" s="100"/>
      <c r="AD31" s="100"/>
      <c r="AE31" s="100"/>
      <c r="AF31" s="100"/>
    </row>
    <row r="32" spans="2:32">
      <c r="B32" s="101" t="s">
        <v>5184</v>
      </c>
      <c r="C32" s="101"/>
      <c r="D32" s="102" t="s">
        <v>5185</v>
      </c>
      <c r="E32" s="102"/>
      <c r="F32" s="102"/>
      <c r="G32" s="103" t="s">
        <v>5186</v>
      </c>
      <c r="H32" s="103"/>
      <c r="I32" s="103"/>
      <c r="J32" s="103"/>
      <c r="K32" s="103"/>
      <c r="L32" s="103"/>
      <c r="M32" s="103"/>
      <c r="N32" s="103"/>
      <c r="O32" s="103"/>
      <c r="P32" s="103"/>
      <c r="R32" s="101" t="s">
        <v>5184</v>
      </c>
      <c r="S32" s="101"/>
      <c r="T32" s="102" t="s">
        <v>5185</v>
      </c>
      <c r="U32" s="102"/>
      <c r="V32" s="102"/>
      <c r="W32" s="103" t="s">
        <v>5186</v>
      </c>
      <c r="X32" s="103"/>
      <c r="Y32" s="103"/>
      <c r="Z32" s="103"/>
      <c r="AA32" s="103"/>
      <c r="AB32" s="103"/>
      <c r="AC32" s="103"/>
      <c r="AD32" s="103"/>
      <c r="AE32" s="103"/>
      <c r="AF32" s="103"/>
    </row>
    <row r="33" spans="2:32">
      <c r="B33" s="104" t="s">
        <v>5187</v>
      </c>
      <c r="C33" s="104"/>
      <c r="D33" s="102" t="s">
        <v>5185</v>
      </c>
      <c r="E33" s="102"/>
      <c r="F33" s="102"/>
      <c r="G33" s="105" t="s">
        <v>5188</v>
      </c>
      <c r="H33" s="105"/>
      <c r="I33" s="105"/>
      <c r="J33" s="105"/>
      <c r="K33" s="105"/>
      <c r="L33" s="105"/>
      <c r="M33" s="105"/>
      <c r="N33" s="105"/>
      <c r="O33" s="105"/>
      <c r="P33" s="105"/>
      <c r="R33" s="104" t="s">
        <v>5187</v>
      </c>
      <c r="S33" s="104"/>
      <c r="T33" s="102" t="s">
        <v>5185</v>
      </c>
      <c r="U33" s="102"/>
      <c r="V33" s="102"/>
      <c r="W33" s="105" t="s">
        <v>5188</v>
      </c>
      <c r="X33" s="105"/>
      <c r="Y33" s="105"/>
      <c r="Z33" s="105"/>
      <c r="AA33" s="105"/>
      <c r="AB33" s="105"/>
      <c r="AC33" s="105"/>
      <c r="AD33" s="105"/>
      <c r="AE33" s="105"/>
      <c r="AF33" s="105"/>
    </row>
    <row r="34" spans="2:32">
      <c r="B34" s="106" t="s">
        <v>5189</v>
      </c>
      <c r="C34" s="106"/>
      <c r="D34" s="102" t="s">
        <v>5185</v>
      </c>
      <c r="E34" s="102"/>
      <c r="F34" s="102"/>
      <c r="G34" s="103" t="s">
        <v>5186</v>
      </c>
      <c r="H34" s="103"/>
      <c r="I34" s="103"/>
      <c r="J34" s="103"/>
      <c r="K34" s="103"/>
      <c r="L34" s="103"/>
      <c r="M34" s="103"/>
      <c r="N34" s="103"/>
      <c r="O34" s="103"/>
      <c r="P34" s="103"/>
      <c r="R34" s="106" t="s">
        <v>5189</v>
      </c>
      <c r="S34" s="106"/>
      <c r="T34" s="102" t="s">
        <v>5185</v>
      </c>
      <c r="U34" s="102"/>
      <c r="V34" s="102"/>
      <c r="W34" s="103" t="s">
        <v>5186</v>
      </c>
      <c r="X34" s="103"/>
      <c r="Y34" s="103"/>
      <c r="Z34" s="103"/>
      <c r="AA34" s="103"/>
      <c r="AB34" s="103"/>
      <c r="AC34" s="103"/>
      <c r="AD34" s="103"/>
      <c r="AE34" s="103"/>
      <c r="AF34" s="103"/>
    </row>
    <row r="35" spans="2:32">
      <c r="B35" s="106" t="s">
        <v>5190</v>
      </c>
      <c r="C35" s="106"/>
      <c r="D35" s="102" t="s">
        <v>5185</v>
      </c>
      <c r="E35" s="102"/>
      <c r="F35" s="102"/>
      <c r="G35" s="105" t="s">
        <v>5186</v>
      </c>
      <c r="H35" s="105"/>
      <c r="I35" s="105"/>
      <c r="J35" s="105"/>
      <c r="K35" s="105"/>
      <c r="L35" s="105"/>
      <c r="M35" s="105"/>
      <c r="N35" s="105"/>
      <c r="O35" s="105"/>
      <c r="P35" s="105"/>
      <c r="R35" s="106" t="s">
        <v>5190</v>
      </c>
      <c r="S35" s="106"/>
      <c r="T35" s="102" t="s">
        <v>5185</v>
      </c>
      <c r="U35" s="102"/>
      <c r="V35" s="102"/>
      <c r="W35" s="105" t="s">
        <v>5186</v>
      </c>
      <c r="X35" s="105"/>
      <c r="Y35" s="105"/>
      <c r="Z35" s="105"/>
      <c r="AA35" s="105"/>
      <c r="AB35" s="105"/>
      <c r="AC35" s="105"/>
      <c r="AD35" s="105"/>
      <c r="AE35" s="105"/>
      <c r="AF35" s="105"/>
    </row>
    <row r="36" spans="2:32">
      <c r="B36" s="106" t="s">
        <v>5191</v>
      </c>
      <c r="C36" s="106"/>
      <c r="D36" s="102" t="s">
        <v>5185</v>
      </c>
      <c r="E36" s="102"/>
      <c r="F36" s="102"/>
      <c r="G36" s="103" t="s">
        <v>5186</v>
      </c>
      <c r="H36" s="103"/>
      <c r="I36" s="103"/>
      <c r="J36" s="103"/>
      <c r="K36" s="103"/>
      <c r="L36" s="103"/>
      <c r="M36" s="103"/>
      <c r="N36" s="103"/>
      <c r="O36" s="103"/>
      <c r="P36" s="103"/>
      <c r="R36" s="106" t="s">
        <v>5191</v>
      </c>
      <c r="S36" s="106"/>
      <c r="T36" s="102" t="s">
        <v>5185</v>
      </c>
      <c r="U36" s="102"/>
      <c r="V36" s="102"/>
      <c r="W36" s="103" t="s">
        <v>5186</v>
      </c>
      <c r="X36" s="103"/>
      <c r="Y36" s="103"/>
      <c r="Z36" s="103"/>
      <c r="AA36" s="103"/>
      <c r="AB36" s="103"/>
      <c r="AC36" s="103"/>
      <c r="AD36" s="103"/>
      <c r="AE36" s="103"/>
      <c r="AF36" s="103"/>
    </row>
    <row r="37" spans="2:32">
      <c r="B37" s="106" t="s">
        <v>5192</v>
      </c>
      <c r="C37" s="106"/>
      <c r="D37" s="102" t="s">
        <v>5185</v>
      </c>
      <c r="E37" s="102"/>
      <c r="F37" s="102"/>
      <c r="G37" s="105" t="s">
        <v>5188</v>
      </c>
      <c r="H37" s="105"/>
      <c r="I37" s="105"/>
      <c r="J37" s="105"/>
      <c r="K37" s="105"/>
      <c r="L37" s="105"/>
      <c r="M37" s="105"/>
      <c r="N37" s="105"/>
      <c r="O37" s="105"/>
      <c r="P37" s="105"/>
      <c r="R37" s="106" t="s">
        <v>5192</v>
      </c>
      <c r="S37" s="106"/>
      <c r="T37" s="102" t="s">
        <v>5185</v>
      </c>
      <c r="U37" s="102"/>
      <c r="V37" s="102"/>
      <c r="W37" s="105" t="s">
        <v>5188</v>
      </c>
      <c r="X37" s="105"/>
      <c r="Y37" s="105"/>
      <c r="Z37" s="105"/>
      <c r="AA37" s="105"/>
      <c r="AB37" s="105"/>
      <c r="AC37" s="105"/>
      <c r="AD37" s="105"/>
      <c r="AE37" s="105"/>
      <c r="AF37" s="105"/>
    </row>
    <row r="38" spans="2:32">
      <c r="B38" s="106" t="s">
        <v>5193</v>
      </c>
      <c r="C38" s="106"/>
      <c r="D38" s="102" t="s">
        <v>5185</v>
      </c>
      <c r="E38" s="102"/>
      <c r="F38" s="102"/>
      <c r="G38" s="105" t="s">
        <v>5188</v>
      </c>
      <c r="H38" s="105"/>
      <c r="I38" s="105"/>
      <c r="J38" s="105"/>
      <c r="K38" s="105"/>
      <c r="L38" s="105"/>
      <c r="M38" s="105"/>
      <c r="N38" s="105"/>
      <c r="O38" s="105"/>
      <c r="P38" s="105"/>
      <c r="R38" s="106" t="s">
        <v>5193</v>
      </c>
      <c r="S38" s="106"/>
      <c r="T38" s="102" t="s">
        <v>5185</v>
      </c>
      <c r="U38" s="102"/>
      <c r="V38" s="102"/>
      <c r="W38" s="105" t="s">
        <v>5188</v>
      </c>
      <c r="X38" s="105"/>
      <c r="Y38" s="105"/>
      <c r="Z38" s="105"/>
      <c r="AA38" s="105"/>
      <c r="AB38" s="105"/>
      <c r="AC38" s="105"/>
      <c r="AD38" s="105"/>
      <c r="AE38" s="105"/>
      <c r="AF38" s="105"/>
    </row>
    <row r="39" spans="2:32">
      <c r="B39" s="106" t="s">
        <v>5194</v>
      </c>
      <c r="C39" s="106"/>
      <c r="D39" s="102" t="s">
        <v>5185</v>
      </c>
      <c r="E39" s="102"/>
      <c r="F39" s="102"/>
      <c r="G39" s="105" t="s">
        <v>5188</v>
      </c>
      <c r="H39" s="105"/>
      <c r="I39" s="105"/>
      <c r="J39" s="105"/>
      <c r="K39" s="105"/>
      <c r="L39" s="105"/>
      <c r="M39" s="105"/>
      <c r="N39" s="105"/>
      <c r="O39" s="105"/>
      <c r="P39" s="105"/>
      <c r="R39" s="106" t="s">
        <v>5194</v>
      </c>
      <c r="S39" s="106"/>
      <c r="T39" s="102" t="s">
        <v>5185</v>
      </c>
      <c r="U39" s="102"/>
      <c r="V39" s="102"/>
      <c r="W39" s="105" t="s">
        <v>5188</v>
      </c>
      <c r="X39" s="105"/>
      <c r="Y39" s="105"/>
      <c r="Z39" s="105"/>
      <c r="AA39" s="105"/>
      <c r="AB39" s="105"/>
      <c r="AC39" s="105"/>
      <c r="AD39" s="105"/>
      <c r="AE39" s="105"/>
      <c r="AF39" s="105"/>
    </row>
  </sheetData>
  <mergeCells count="156">
    <mergeCell ref="B1:P1"/>
    <mergeCell ref="R1:AF1"/>
    <mergeCell ref="B2:C2"/>
    <mergeCell ref="D2:E2"/>
    <mergeCell ref="F2:G2"/>
    <mergeCell ref="H2:I2"/>
    <mergeCell ref="J2:K2"/>
    <mergeCell ref="L2:M2"/>
    <mergeCell ref="N2:O2"/>
    <mergeCell ref="R2:S2"/>
    <mergeCell ref="T2:U2"/>
    <mergeCell ref="V2:W2"/>
    <mergeCell ref="X2:Y2"/>
    <mergeCell ref="Z2:AA2"/>
    <mergeCell ref="AB2:AC2"/>
    <mergeCell ref="AD2:AE2"/>
    <mergeCell ref="B3:C3"/>
    <mergeCell ref="D3:E3"/>
    <mergeCell ref="F3:G3"/>
    <mergeCell ref="H3:I3"/>
    <mergeCell ref="J3:K3"/>
    <mergeCell ref="L3:M3"/>
    <mergeCell ref="N3:O3"/>
    <mergeCell ref="R3:S3"/>
    <mergeCell ref="T3:U3"/>
    <mergeCell ref="V3:W3"/>
    <mergeCell ref="X3:Y3"/>
    <mergeCell ref="Z3:AA3"/>
    <mergeCell ref="AB3:AC3"/>
    <mergeCell ref="AD3:AE3"/>
    <mergeCell ref="B4:P4"/>
    <mergeCell ref="R4:AF4"/>
    <mergeCell ref="B5:P5"/>
    <mergeCell ref="R5:AF5"/>
    <mergeCell ref="B6:C6"/>
    <mergeCell ref="D6:P6"/>
    <mergeCell ref="R6:S6"/>
    <mergeCell ref="T6:AF6"/>
    <mergeCell ref="D20:P20"/>
    <mergeCell ref="T20:AF20"/>
    <mergeCell ref="D21:P21"/>
    <mergeCell ref="T21:AF21"/>
    <mergeCell ref="B32:C32"/>
    <mergeCell ref="D32:F32"/>
    <mergeCell ref="G32:P32"/>
    <mergeCell ref="R32:S32"/>
    <mergeCell ref="T32:V32"/>
    <mergeCell ref="W32:AF32"/>
    <mergeCell ref="B33:C33"/>
    <mergeCell ref="D33:F33"/>
    <mergeCell ref="G33:P33"/>
    <mergeCell ref="R33:S33"/>
    <mergeCell ref="T33:V33"/>
    <mergeCell ref="W33:AF33"/>
    <mergeCell ref="B34:C34"/>
    <mergeCell ref="D34:F34"/>
    <mergeCell ref="G34:P34"/>
    <mergeCell ref="R34:S34"/>
    <mergeCell ref="T34:V34"/>
    <mergeCell ref="W34:AF34"/>
    <mergeCell ref="B35:C35"/>
    <mergeCell ref="D35:F35"/>
    <mergeCell ref="G35:P35"/>
    <mergeCell ref="R35:S35"/>
    <mergeCell ref="T35:V35"/>
    <mergeCell ref="W35:AF35"/>
    <mergeCell ref="B36:C36"/>
    <mergeCell ref="D36:F36"/>
    <mergeCell ref="G36:P36"/>
    <mergeCell ref="R36:S36"/>
    <mergeCell ref="T36:V36"/>
    <mergeCell ref="W36:AF36"/>
    <mergeCell ref="B37:C37"/>
    <mergeCell ref="D37:F37"/>
    <mergeCell ref="G37:P37"/>
    <mergeCell ref="R37:S37"/>
    <mergeCell ref="T37:V37"/>
    <mergeCell ref="W37:AF37"/>
    <mergeCell ref="B38:C38"/>
    <mergeCell ref="D38:F38"/>
    <mergeCell ref="G38:P38"/>
    <mergeCell ref="R38:S38"/>
    <mergeCell ref="T38:V38"/>
    <mergeCell ref="W38:AF38"/>
    <mergeCell ref="B39:C39"/>
    <mergeCell ref="D39:F39"/>
    <mergeCell ref="G39:P39"/>
    <mergeCell ref="R39:S39"/>
    <mergeCell ref="T39:V39"/>
    <mergeCell ref="W39:AF39"/>
    <mergeCell ref="B7:B31"/>
    <mergeCell ref="C7:C8"/>
    <mergeCell ref="C9:C10"/>
    <mergeCell ref="C11:C12"/>
    <mergeCell ref="C13:C14"/>
    <mergeCell ref="C15:C19"/>
    <mergeCell ref="C22:C23"/>
    <mergeCell ref="C24:C25"/>
    <mergeCell ref="C26:C27"/>
    <mergeCell ref="C28:C29"/>
    <mergeCell ref="C30:C31"/>
    <mergeCell ref="D15:D16"/>
    <mergeCell ref="E15:E16"/>
    <mergeCell ref="F15:F16"/>
    <mergeCell ref="G15:G16"/>
    <mergeCell ref="H15:H16"/>
    <mergeCell ref="I15:I16"/>
    <mergeCell ref="J15:J16"/>
    <mergeCell ref="K15:K16"/>
    <mergeCell ref="L15:L16"/>
    <mergeCell ref="M15:M16"/>
    <mergeCell ref="N15:N16"/>
    <mergeCell ref="O15:O16"/>
    <mergeCell ref="P15:P16"/>
    <mergeCell ref="R7:R31"/>
    <mergeCell ref="S7:S8"/>
    <mergeCell ref="S9:S10"/>
    <mergeCell ref="S11:S12"/>
    <mergeCell ref="S13:S14"/>
    <mergeCell ref="S15:S19"/>
    <mergeCell ref="S22:S23"/>
    <mergeCell ref="S24:S25"/>
    <mergeCell ref="S26:S27"/>
    <mergeCell ref="S28:S29"/>
    <mergeCell ref="S30:S31"/>
    <mergeCell ref="T15:T16"/>
    <mergeCell ref="U15:U16"/>
    <mergeCell ref="V15:V16"/>
    <mergeCell ref="W15:W16"/>
    <mergeCell ref="X15:X16"/>
    <mergeCell ref="Y15:Y16"/>
    <mergeCell ref="Z15:Z16"/>
    <mergeCell ref="AA15:AA16"/>
    <mergeCell ref="AB15:AB16"/>
    <mergeCell ref="AC15:AC16"/>
    <mergeCell ref="AD15:AD16"/>
    <mergeCell ref="AE15:AE16"/>
    <mergeCell ref="AF15:AF16"/>
    <mergeCell ref="D7:P8"/>
    <mergeCell ref="D9:P10"/>
    <mergeCell ref="D11:P12"/>
    <mergeCell ref="D13:P14"/>
    <mergeCell ref="D22:P23"/>
    <mergeCell ref="D24:P25"/>
    <mergeCell ref="D26:P27"/>
    <mergeCell ref="D28:P29"/>
    <mergeCell ref="D30:P31"/>
    <mergeCell ref="T22:AF23"/>
    <mergeCell ref="T24:AF25"/>
    <mergeCell ref="T30:AF31"/>
    <mergeCell ref="T26:AF27"/>
    <mergeCell ref="T28:AF29"/>
    <mergeCell ref="T7:AF8"/>
    <mergeCell ref="T9:AF10"/>
    <mergeCell ref="T11:AF12"/>
    <mergeCell ref="T13:AF14"/>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5"/>
  <sheetViews>
    <sheetView topLeftCell="A5" workbookViewId="0">
      <selection activeCell="K11" sqref="K11"/>
    </sheetView>
  </sheetViews>
  <sheetFormatPr defaultColWidth="9" defaultRowHeight="13.5" outlineLevelRow="4"/>
  <cols>
    <col min="2" max="2" width="18" style="34" customWidth="1"/>
  </cols>
  <sheetData>
    <row r="1" s="32" customFormat="1" ht="18.3" customHeight="1" spans="1:49">
      <c r="A1" s="35" t="s">
        <v>4996</v>
      </c>
      <c r="B1" s="36" t="s">
        <v>5195</v>
      </c>
      <c r="C1" s="35" t="s">
        <v>5196</v>
      </c>
      <c r="D1" s="35" t="s">
        <v>5197</v>
      </c>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row>
    <row r="2" s="32" customFormat="1" ht="18.3" customHeight="1" spans="1:49">
      <c r="A2" s="35"/>
      <c r="B2" s="36"/>
      <c r="C2" s="35"/>
      <c r="D2" s="35"/>
      <c r="E2" s="38" t="s">
        <v>5198</v>
      </c>
      <c r="F2" s="38"/>
      <c r="G2" s="38"/>
      <c r="H2" s="38"/>
      <c r="I2" s="38" t="s">
        <v>5199</v>
      </c>
      <c r="J2" s="38"/>
      <c r="K2" s="38"/>
      <c r="L2" s="38"/>
      <c r="M2" s="38" t="s">
        <v>5200</v>
      </c>
      <c r="N2" s="38"/>
      <c r="O2" s="38"/>
      <c r="P2" s="38"/>
      <c r="Q2" s="38" t="s">
        <v>5201</v>
      </c>
      <c r="R2" s="38"/>
      <c r="S2" s="38"/>
      <c r="T2" s="38"/>
      <c r="U2" s="38" t="s">
        <v>5202</v>
      </c>
      <c r="V2" s="38"/>
      <c r="W2" s="38"/>
      <c r="X2" s="38"/>
      <c r="Y2" s="38" t="s">
        <v>5203</v>
      </c>
      <c r="Z2" s="38"/>
      <c r="AA2" s="38"/>
      <c r="AB2" s="38"/>
      <c r="AC2" s="38" t="s">
        <v>5204</v>
      </c>
      <c r="AD2" s="38"/>
      <c r="AE2" s="38"/>
      <c r="AF2" s="38"/>
      <c r="AG2" s="38" t="s">
        <v>5205</v>
      </c>
      <c r="AH2" s="38"/>
      <c r="AI2" s="38"/>
      <c r="AJ2" s="38"/>
      <c r="AK2" s="38" t="s">
        <v>5206</v>
      </c>
      <c r="AL2" s="38"/>
      <c r="AM2" s="38"/>
      <c r="AN2" s="38"/>
      <c r="AO2" s="38" t="s">
        <v>5207</v>
      </c>
      <c r="AP2" s="38"/>
      <c r="AQ2" s="38"/>
      <c r="AR2" s="38"/>
    </row>
    <row r="3" s="32" customFormat="1" ht="14.25" spans="1:49">
      <c r="A3" s="35"/>
      <c r="B3" s="36"/>
      <c r="C3" s="35"/>
      <c r="D3" s="35"/>
      <c r="E3" s="39" t="s">
        <v>5208</v>
      </c>
      <c r="F3" s="39" t="s">
        <v>5209</v>
      </c>
      <c r="G3" s="39" t="s">
        <v>5210</v>
      </c>
      <c r="H3" s="39" t="s">
        <v>5211</v>
      </c>
      <c r="I3" s="39" t="s">
        <v>5212</v>
      </c>
      <c r="J3" s="39" t="s">
        <v>5213</v>
      </c>
      <c r="K3" s="39" t="s">
        <v>5214</v>
      </c>
      <c r="L3" s="39" t="s">
        <v>5215</v>
      </c>
      <c r="M3" s="39" t="s">
        <v>5216</v>
      </c>
      <c r="N3" s="39" t="s">
        <v>5217</v>
      </c>
      <c r="O3" s="39" t="s">
        <v>5218</v>
      </c>
      <c r="P3" s="39" t="s">
        <v>5219</v>
      </c>
      <c r="Q3" s="39" t="s">
        <v>5220</v>
      </c>
      <c r="R3" s="39" t="s">
        <v>5221</v>
      </c>
      <c r="S3" s="39" t="s">
        <v>5222</v>
      </c>
      <c r="T3" s="39" t="s">
        <v>5223</v>
      </c>
      <c r="U3" s="39" t="s">
        <v>5224</v>
      </c>
      <c r="V3" s="39" t="s">
        <v>5225</v>
      </c>
      <c r="W3" s="40" t="s">
        <v>5226</v>
      </c>
      <c r="X3" s="40" t="s">
        <v>5227</v>
      </c>
      <c r="Y3" s="40" t="s">
        <v>5228</v>
      </c>
      <c r="Z3" s="40" t="s">
        <v>5229</v>
      </c>
      <c r="AA3" s="40" t="s">
        <v>5230</v>
      </c>
      <c r="AB3" s="40" t="s">
        <v>5231</v>
      </c>
      <c r="AC3" s="40" t="s">
        <v>5232</v>
      </c>
      <c r="AD3" s="40" t="s">
        <v>5233</v>
      </c>
      <c r="AE3" s="40" t="s">
        <v>5234</v>
      </c>
      <c r="AF3" s="40" t="s">
        <v>5235</v>
      </c>
      <c r="AG3" s="40" t="s">
        <v>5236</v>
      </c>
      <c r="AH3" s="40" t="s">
        <v>5237</v>
      </c>
      <c r="AI3" s="40" t="s">
        <v>5238</v>
      </c>
      <c r="AJ3" s="40" t="s">
        <v>5239</v>
      </c>
      <c r="AK3" s="40" t="s">
        <v>5240</v>
      </c>
      <c r="AL3" s="40" t="s">
        <v>5241</v>
      </c>
      <c r="AM3" s="40" t="s">
        <v>5242</v>
      </c>
      <c r="AN3" s="40" t="s">
        <v>5243</v>
      </c>
      <c r="AO3" s="40" t="s">
        <v>5244</v>
      </c>
      <c r="AP3" s="40" t="s">
        <v>5245</v>
      </c>
      <c r="AQ3" s="40" t="s">
        <v>5246</v>
      </c>
      <c r="AR3" s="40" t="s">
        <v>5247</v>
      </c>
    </row>
    <row r="4" s="33" customFormat="1" ht="39" customHeight="1" spans="1:49">
      <c r="A4" s="41" t="s">
        <v>5165</v>
      </c>
      <c r="B4" s="42" t="s">
        <v>5248</v>
      </c>
      <c r="C4" s="43" t="s">
        <v>5249</v>
      </c>
      <c r="D4" s="44" t="s">
        <v>5134</v>
      </c>
      <c r="E4" s="45" t="s">
        <v>5250</v>
      </c>
      <c r="F4" s="45" t="s">
        <v>5251</v>
      </c>
      <c r="G4" s="45" t="s">
        <v>5251</v>
      </c>
      <c r="H4" s="45" t="s">
        <v>5251</v>
      </c>
      <c r="I4" s="33" t="s">
        <v>5252</v>
      </c>
      <c r="J4" s="46" t="s">
        <v>5253</v>
      </c>
      <c r="K4" s="47"/>
      <c r="L4" s="48" t="s">
        <v>5254</v>
      </c>
      <c r="M4" s="49"/>
      <c r="N4" s="49" t="s">
        <v>5255</v>
      </c>
      <c r="O4" s="49"/>
      <c r="P4" s="49" t="s">
        <v>5256</v>
      </c>
      <c r="Q4" s="49" t="s">
        <v>5257</v>
      </c>
      <c r="R4" s="49"/>
      <c r="S4" s="49"/>
      <c r="T4" s="49" t="s">
        <v>5258</v>
      </c>
      <c r="U4" s="49"/>
      <c r="V4" s="49" t="s">
        <v>5259</v>
      </c>
      <c r="W4" s="49" t="s">
        <v>5260</v>
      </c>
      <c r="X4" s="49"/>
      <c r="Y4" s="49"/>
      <c r="Z4" s="49"/>
      <c r="AA4" s="49" t="s">
        <v>5261</v>
      </c>
      <c r="AB4" s="49" t="s">
        <v>5262</v>
      </c>
      <c r="AC4" s="49"/>
      <c r="AD4" s="49"/>
      <c r="AE4" s="49"/>
      <c r="AF4" s="49"/>
      <c r="AG4" s="49"/>
      <c r="AH4" s="49"/>
      <c r="AI4" s="49"/>
      <c r="AJ4" s="49"/>
      <c r="AK4" s="49"/>
      <c r="AL4" s="49"/>
      <c r="AM4" s="49"/>
      <c r="AN4" s="49"/>
      <c r="AO4" s="49"/>
      <c r="AP4" s="49"/>
      <c r="AQ4" s="49"/>
      <c r="AR4" s="49"/>
      <c r="AS4" s="49"/>
      <c r="AT4" s="49"/>
      <c r="AU4" s="49"/>
      <c r="AV4" s="49"/>
      <c r="AW4" s="49"/>
    </row>
    <row r="5" s="33" customFormat="1" ht="39" customHeight="1" spans="1:49">
      <c r="A5" s="41" t="s">
        <v>5166</v>
      </c>
      <c r="B5" s="42" t="s">
        <v>5263</v>
      </c>
      <c r="C5" s="43" t="s">
        <v>5249</v>
      </c>
      <c r="D5" s="44" t="s">
        <v>5134</v>
      </c>
      <c r="E5" s="45" t="s">
        <v>5250</v>
      </c>
      <c r="F5" s="45" t="s">
        <v>5251</v>
      </c>
      <c r="G5" s="45" t="s">
        <v>5251</v>
      </c>
      <c r="H5" s="45" t="s">
        <v>5251</v>
      </c>
      <c r="I5" s="33" t="s">
        <v>5252</v>
      </c>
      <c r="J5" s="46" t="s">
        <v>5253</v>
      </c>
      <c r="K5" s="47"/>
      <c r="L5" s="48" t="s">
        <v>5254</v>
      </c>
      <c r="M5" s="49"/>
      <c r="N5" s="49" t="s">
        <v>5255</v>
      </c>
      <c r="O5" s="49"/>
      <c r="P5" s="49" t="s">
        <v>5256</v>
      </c>
      <c r="Q5" s="49" t="s">
        <v>5257</v>
      </c>
      <c r="R5" s="49"/>
      <c r="S5" s="49"/>
      <c r="T5" s="49" t="s">
        <v>5258</v>
      </c>
      <c r="U5" s="49"/>
      <c r="V5" s="49" t="s">
        <v>5259</v>
      </c>
      <c r="W5" s="49" t="s">
        <v>5260</v>
      </c>
      <c r="X5" s="49"/>
      <c r="Y5" s="49"/>
      <c r="Z5" s="49"/>
      <c r="AA5" s="49" t="s">
        <v>5261</v>
      </c>
      <c r="AB5" s="49" t="s">
        <v>5262</v>
      </c>
      <c r="AC5" s="49"/>
      <c r="AD5" s="49"/>
      <c r="AE5" s="49"/>
      <c r="AF5" s="49"/>
      <c r="AG5" s="49"/>
      <c r="AH5" s="49"/>
      <c r="AI5" s="49"/>
      <c r="AJ5" s="49"/>
      <c r="AK5" s="49"/>
      <c r="AL5" s="49"/>
      <c r="AM5" s="49"/>
      <c r="AN5" s="49"/>
      <c r="AO5" s="49"/>
      <c r="AP5" s="49"/>
      <c r="AQ5" s="49"/>
      <c r="AR5" s="49"/>
    </row>
  </sheetData>
  <mergeCells count="15">
    <mergeCell ref="E1:AR1"/>
    <mergeCell ref="E2:H2"/>
    <mergeCell ref="I2:L2"/>
    <mergeCell ref="M2:P2"/>
    <mergeCell ref="Q2:T2"/>
    <mergeCell ref="U2:X2"/>
    <mergeCell ref="Y2:AB2"/>
    <mergeCell ref="AC2:AF2"/>
    <mergeCell ref="AG2:AJ2"/>
    <mergeCell ref="AK2:AN2"/>
    <mergeCell ref="AO2:AR2"/>
    <mergeCell ref="A1:A3"/>
    <mergeCell ref="B1:B3"/>
    <mergeCell ref="C1:C3"/>
    <mergeCell ref="D1:D3"/>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Z28"/>
  <sheetViews>
    <sheetView zoomScale="85" zoomScaleNormal="85" workbookViewId="0">
      <selection activeCell="AD34" sqref="AD34"/>
    </sheetView>
  </sheetViews>
  <sheetFormatPr defaultColWidth="9" defaultRowHeight="13.5"/>
  <cols>
    <col min="2" max="2" width="12.875" customWidth="1"/>
  </cols>
  <sheetData>
    <row r="2" ht="16.5" spans="2:26">
      <c r="B2" s="31" t="s">
        <v>5264</v>
      </c>
      <c r="C2" s="31"/>
      <c r="D2" s="31"/>
      <c r="E2" s="31"/>
      <c r="F2" s="31"/>
      <c r="G2" s="31"/>
      <c r="H2" s="31"/>
      <c r="I2" s="31"/>
      <c r="J2" s="31"/>
      <c r="K2" s="31"/>
      <c r="L2" s="31"/>
      <c r="M2" s="31"/>
      <c r="N2" s="31"/>
      <c r="O2" s="31"/>
      <c r="P2" s="31"/>
      <c r="Q2" s="31"/>
      <c r="R2" s="31"/>
      <c r="S2" s="31"/>
      <c r="T2" s="31"/>
      <c r="U2" s="31"/>
      <c r="V2" s="31"/>
      <c r="W2" s="31"/>
      <c r="X2" s="31"/>
      <c r="Y2" s="31"/>
      <c r="Z2" s="31"/>
    </row>
    <row r="28" ht="16.5" spans="2:26">
      <c r="B28" s="31" t="s">
        <v>5265</v>
      </c>
      <c r="C28" s="31"/>
      <c r="D28" s="31"/>
      <c r="E28" s="31"/>
      <c r="F28" s="31"/>
      <c r="G28" s="31"/>
      <c r="H28" s="31"/>
      <c r="I28" s="31"/>
      <c r="J28" s="31"/>
      <c r="K28" s="31"/>
      <c r="L28" s="31"/>
      <c r="M28" s="31"/>
      <c r="N28" s="31"/>
      <c r="O28" s="31"/>
      <c r="P28" s="31"/>
      <c r="Q28" s="31"/>
      <c r="R28" s="31"/>
      <c r="S28" s="31"/>
      <c r="T28" s="31"/>
      <c r="U28" s="31"/>
      <c r="V28" s="31"/>
      <c r="W28" s="31"/>
      <c r="X28" s="31"/>
      <c r="Y28" s="31"/>
      <c r="Z28" s="31"/>
    </row>
  </sheetData>
  <mergeCells count="2">
    <mergeCell ref="B2:Z2"/>
    <mergeCell ref="B28:Z28"/>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03"/>
  <sheetViews>
    <sheetView zoomScale="70" zoomScaleNormal="70" topLeftCell="A103" workbookViewId="0">
      <selection activeCell="A103" sqref="A103:BE203"/>
    </sheetView>
  </sheetViews>
  <sheetFormatPr defaultColWidth="9" defaultRowHeight="13.5"/>
  <sheetData>
    <row r="1" spans="1:56">
      <c r="A1" t="s">
        <v>809</v>
      </c>
      <c r="B1" t="s">
        <v>810</v>
      </c>
      <c r="C1" t="s">
        <v>811</v>
      </c>
      <c r="D1" t="s">
        <v>812</v>
      </c>
      <c r="E1" t="s">
        <v>813</v>
      </c>
      <c r="F1" t="s">
        <v>814</v>
      </c>
      <c r="G1" t="s">
        <v>815</v>
      </c>
      <c r="H1" t="s">
        <v>816</v>
      </c>
      <c r="I1" t="s">
        <v>817</v>
      </c>
      <c r="J1" t="s">
        <v>818</v>
      </c>
      <c r="K1" t="s">
        <v>819</v>
      </c>
      <c r="L1" t="s">
        <v>820</v>
      </c>
      <c r="M1" t="s">
        <v>821</v>
      </c>
      <c r="N1" t="s">
        <v>822</v>
      </c>
      <c r="O1" t="s">
        <v>823</v>
      </c>
      <c r="P1" t="s">
        <v>2790</v>
      </c>
      <c r="Q1" t="s">
        <v>2791</v>
      </c>
      <c r="R1" t="s">
        <v>2792</v>
      </c>
      <c r="S1" t="s">
        <v>2793</v>
      </c>
      <c r="T1" t="s">
        <v>2794</v>
      </c>
      <c r="U1" t="s">
        <v>2795</v>
      </c>
      <c r="V1" t="s">
        <v>2796</v>
      </c>
      <c r="W1" t="s">
        <v>2797</v>
      </c>
      <c r="X1" t="s">
        <v>2798</v>
      </c>
      <c r="Y1" t="s">
        <v>2799</v>
      </c>
      <c r="Z1" t="s">
        <v>2800</v>
      </c>
      <c r="AA1" t="s">
        <v>2801</v>
      </c>
      <c r="AB1" t="s">
        <v>2802</v>
      </c>
      <c r="AC1" t="s">
        <v>2803</v>
      </c>
      <c r="AD1" t="s">
        <v>2804</v>
      </c>
      <c r="AE1" t="s">
        <v>2805</v>
      </c>
      <c r="AF1" t="s">
        <v>834</v>
      </c>
      <c r="AG1" t="s">
        <v>2806</v>
      </c>
      <c r="AH1" t="s">
        <v>2807</v>
      </c>
      <c r="AI1" t="s">
        <v>2808</v>
      </c>
      <c r="AJ1" t="s">
        <v>824</v>
      </c>
      <c r="AK1" t="s">
        <v>825</v>
      </c>
      <c r="AL1" t="s">
        <v>826</v>
      </c>
      <c r="AM1" t="s">
        <v>827</v>
      </c>
      <c r="AN1" t="s">
        <v>828</v>
      </c>
      <c r="AO1" t="s">
        <v>829</v>
      </c>
      <c r="AP1" t="s">
        <v>48</v>
      </c>
      <c r="AQ1" t="s">
        <v>830</v>
      </c>
      <c r="AR1" t="s">
        <v>831</v>
      </c>
      <c r="AS1" t="s">
        <v>832</v>
      </c>
      <c r="AT1" t="s">
        <v>833</v>
      </c>
      <c r="AU1" t="s">
        <v>834</v>
      </c>
      <c r="AV1" t="s">
        <v>835</v>
      </c>
      <c r="AW1" t="s">
        <v>836</v>
      </c>
      <c r="AX1" t="s">
        <v>837</v>
      </c>
      <c r="AY1" t="s">
        <v>838</v>
      </c>
      <c r="AZ1" t="s">
        <v>839</v>
      </c>
      <c r="BA1" t="s">
        <v>840</v>
      </c>
      <c r="BB1" t="s">
        <v>841</v>
      </c>
      <c r="BC1" t="s">
        <v>842</v>
      </c>
      <c r="BD1" t="s">
        <v>843</v>
      </c>
    </row>
    <row r="2" ht="20" spans="1:56">
      <c r="A2" t="str">
        <f>_xlfn.DISPIMG("ID_E0974D9A1FCC43279697EF5DA1D7B2F2",1)</f>
        <v>=DISPIMG("ID_E0974D9A1FCC43279697EF5DA1D7B2F2",1)</v>
      </c>
      <c r="B2" t="s">
        <v>70</v>
      </c>
      <c r="C2" t="s">
        <v>70</v>
      </c>
      <c r="D2" t="s">
        <v>65</v>
      </c>
      <c r="E2" t="s">
        <v>844</v>
      </c>
      <c r="F2" t="s">
        <v>845</v>
      </c>
      <c r="G2" t="s">
        <v>846</v>
      </c>
      <c r="H2" t="s">
        <v>847</v>
      </c>
      <c r="I2" t="s">
        <v>848</v>
      </c>
      <c r="J2" t="s">
        <v>849</v>
      </c>
      <c r="K2" t="s">
        <v>850</v>
      </c>
      <c r="L2" t="s">
        <v>851</v>
      </c>
      <c r="M2">
        <v>16</v>
      </c>
      <c r="N2" t="s">
        <v>852</v>
      </c>
      <c r="O2" t="s">
        <v>853</v>
      </c>
      <c r="P2" t="s">
        <v>2809</v>
      </c>
      <c r="Q2">
        <v>4</v>
      </c>
      <c r="R2" t="s">
        <v>2810</v>
      </c>
      <c r="S2">
        <v>3.784</v>
      </c>
      <c r="T2" t="s">
        <v>2811</v>
      </c>
      <c r="U2" t="s">
        <v>64</v>
      </c>
      <c r="V2" t="s">
        <v>2812</v>
      </c>
      <c r="W2" t="s">
        <v>2813</v>
      </c>
      <c r="X2" t="s">
        <v>2814</v>
      </c>
      <c r="Y2" t="s">
        <v>2815</v>
      </c>
      <c r="Z2" t="s">
        <v>2816</v>
      </c>
      <c r="AA2" t="s">
        <v>2817</v>
      </c>
      <c r="AB2" t="s">
        <v>2816</v>
      </c>
      <c r="AC2" t="s">
        <v>2818</v>
      </c>
      <c r="AD2" t="s">
        <v>2819</v>
      </c>
      <c r="AE2" t="s">
        <v>2820</v>
      </c>
      <c r="AF2" t="s">
        <v>2821</v>
      </c>
      <c r="AG2" t="s">
        <v>2822</v>
      </c>
      <c r="AH2" t="s">
        <v>2823</v>
      </c>
      <c r="AI2">
        <v>1</v>
      </c>
      <c r="AJ2">
        <v>32023</v>
      </c>
      <c r="AK2">
        <v>2880468.8</v>
      </c>
      <c r="AL2">
        <v>89.95</v>
      </c>
      <c r="AM2">
        <v>0.6578</v>
      </c>
      <c r="AN2">
        <v>17.29</v>
      </c>
      <c r="AO2">
        <v>4.8</v>
      </c>
      <c r="AP2">
        <v>48820</v>
      </c>
      <c r="AQ2">
        <v>0.1977</v>
      </c>
      <c r="AR2">
        <v>6330</v>
      </c>
      <c r="AT2" t="s">
        <v>854</v>
      </c>
      <c r="AU2" t="s">
        <v>855</v>
      </c>
      <c r="AV2">
        <v>1687</v>
      </c>
      <c r="AW2">
        <v>1</v>
      </c>
      <c r="AX2">
        <v>12</v>
      </c>
      <c r="AZ2" t="s">
        <v>65</v>
      </c>
      <c r="BA2" t="s">
        <v>65</v>
      </c>
      <c r="BB2" t="s">
        <v>856</v>
      </c>
      <c r="BC2" t="s">
        <v>857</v>
      </c>
      <c r="BD2" t="s">
        <v>858</v>
      </c>
    </row>
    <row r="3" ht="20" spans="1:56">
      <c r="A3" t="str">
        <f>_xlfn.DISPIMG("ID_71FF25F32A744E84959B0B003BC2C8C1",1)</f>
        <v>=DISPIMG("ID_71FF25F32A744E84959B0B003BC2C8C1",1)</v>
      </c>
      <c r="B3" t="s">
        <v>366</v>
      </c>
      <c r="C3" t="s">
        <v>366</v>
      </c>
      <c r="D3" t="s">
        <v>65</v>
      </c>
      <c r="E3" t="s">
        <v>859</v>
      </c>
      <c r="F3" t="s">
        <v>860</v>
      </c>
      <c r="G3" t="s">
        <v>861</v>
      </c>
      <c r="H3" t="s">
        <v>862</v>
      </c>
      <c r="I3" t="s">
        <v>863</v>
      </c>
      <c r="J3" t="s">
        <v>864</v>
      </c>
      <c r="K3" t="s">
        <v>850</v>
      </c>
      <c r="L3" t="s">
        <v>851</v>
      </c>
      <c r="M3">
        <v>131</v>
      </c>
      <c r="N3" t="s">
        <v>852</v>
      </c>
      <c r="O3" t="s">
        <v>865</v>
      </c>
      <c r="P3" t="s">
        <v>2824</v>
      </c>
      <c r="Q3">
        <v>5.8</v>
      </c>
      <c r="R3" t="s">
        <v>2847</v>
      </c>
      <c r="S3">
        <v>5.4868</v>
      </c>
      <c r="T3" t="s">
        <v>2848</v>
      </c>
      <c r="U3" t="s">
        <v>64</v>
      </c>
      <c r="V3" t="s">
        <v>2812</v>
      </c>
      <c r="W3" t="s">
        <v>2827</v>
      </c>
      <c r="X3" t="s">
        <v>2828</v>
      </c>
      <c r="Y3" t="s">
        <v>2829</v>
      </c>
      <c r="Z3" t="s">
        <v>2816</v>
      </c>
      <c r="AA3" t="s">
        <v>2817</v>
      </c>
      <c r="AB3" t="s">
        <v>2816</v>
      </c>
      <c r="AC3" t="s">
        <v>2818</v>
      </c>
      <c r="AD3" t="s">
        <v>2819</v>
      </c>
      <c r="AE3" t="s">
        <v>2830</v>
      </c>
      <c r="AF3" t="s">
        <v>2831</v>
      </c>
      <c r="AG3" t="s">
        <v>2822</v>
      </c>
      <c r="AH3" t="s">
        <v>2823</v>
      </c>
      <c r="AI3">
        <v>1</v>
      </c>
      <c r="AJ3">
        <v>23043</v>
      </c>
      <c r="AK3">
        <v>1842979.2</v>
      </c>
      <c r="AL3">
        <v>99.99</v>
      </c>
      <c r="AM3">
        <v>0.6128</v>
      </c>
      <c r="AN3">
        <v>18.97</v>
      </c>
      <c r="AO3">
        <v>4.7</v>
      </c>
      <c r="AP3">
        <v>15150</v>
      </c>
      <c r="AQ3">
        <v>0</v>
      </c>
      <c r="AR3">
        <v>0</v>
      </c>
      <c r="AT3" t="s">
        <v>854</v>
      </c>
      <c r="AU3" t="s">
        <v>866</v>
      </c>
      <c r="AV3">
        <v>582</v>
      </c>
      <c r="AW3">
        <v>1</v>
      </c>
      <c r="AX3">
        <v>1</v>
      </c>
      <c r="AY3" t="s">
        <v>867</v>
      </c>
      <c r="AZ3" t="s">
        <v>65</v>
      </c>
      <c r="BA3" t="s">
        <v>65</v>
      </c>
      <c r="BB3" t="s">
        <v>856</v>
      </c>
      <c r="BC3" t="s">
        <v>868</v>
      </c>
      <c r="BD3" t="s">
        <v>869</v>
      </c>
    </row>
    <row r="4" ht="20" spans="1:56">
      <c r="A4" t="str">
        <f>_xlfn.DISPIMG("ID_4C62F3F8ADD24D7582300B8B29ADAAD1",1)</f>
        <v>=DISPIMG("ID_4C62F3F8ADD24D7582300B8B29ADAAD1",1)</v>
      </c>
      <c r="B4" t="s">
        <v>129</v>
      </c>
      <c r="C4" t="s">
        <v>129</v>
      </c>
      <c r="D4" t="s">
        <v>65</v>
      </c>
      <c r="E4" t="s">
        <v>870</v>
      </c>
      <c r="F4" t="s">
        <v>871</v>
      </c>
      <c r="G4" t="s">
        <v>872</v>
      </c>
      <c r="H4" t="s">
        <v>873</v>
      </c>
      <c r="I4" t="s">
        <v>874</v>
      </c>
      <c r="J4" t="s">
        <v>864</v>
      </c>
      <c r="K4" t="s">
        <v>850</v>
      </c>
      <c r="L4" t="s">
        <v>851</v>
      </c>
      <c r="M4">
        <v>192</v>
      </c>
      <c r="N4" t="s">
        <v>852</v>
      </c>
      <c r="O4" t="s">
        <v>875</v>
      </c>
      <c r="P4" t="s">
        <v>2832</v>
      </c>
      <c r="Q4">
        <v>10</v>
      </c>
      <c r="R4" t="s">
        <v>2833</v>
      </c>
      <c r="S4">
        <v>9.46</v>
      </c>
      <c r="T4" t="s">
        <v>2834</v>
      </c>
      <c r="U4" t="s">
        <v>2835</v>
      </c>
      <c r="V4" t="s">
        <v>2836</v>
      </c>
      <c r="W4" t="s">
        <v>2837</v>
      </c>
      <c r="X4" t="s">
        <v>2838</v>
      </c>
      <c r="Y4" t="s">
        <v>2815</v>
      </c>
      <c r="Z4" t="s">
        <v>2817</v>
      </c>
      <c r="AA4" t="s">
        <v>2817</v>
      </c>
      <c r="AB4" t="s">
        <v>2816</v>
      </c>
      <c r="AC4" t="s">
        <v>2818</v>
      </c>
      <c r="AD4" t="s">
        <v>2839</v>
      </c>
      <c r="AE4" t="s">
        <v>2840</v>
      </c>
      <c r="AF4" t="s">
        <v>2821</v>
      </c>
      <c r="AG4" t="s">
        <v>2822</v>
      </c>
      <c r="AH4" t="s">
        <v>2823</v>
      </c>
      <c r="AI4">
        <v>1</v>
      </c>
      <c r="AJ4">
        <v>11952</v>
      </c>
      <c r="AK4">
        <v>1314122.4</v>
      </c>
      <c r="AL4">
        <v>109.95</v>
      </c>
      <c r="AM4">
        <v>0.6431</v>
      </c>
      <c r="AN4">
        <v>22.75</v>
      </c>
      <c r="AO4">
        <v>4.6</v>
      </c>
      <c r="AP4">
        <v>59811</v>
      </c>
      <c r="AQ4">
        <v>0.0664</v>
      </c>
      <c r="AR4">
        <v>794</v>
      </c>
      <c r="AT4" t="s">
        <v>876</v>
      </c>
      <c r="AU4" t="s">
        <v>877</v>
      </c>
      <c r="AV4">
        <v>1315</v>
      </c>
      <c r="AW4">
        <v>1</v>
      </c>
      <c r="AX4">
        <v>1</v>
      </c>
      <c r="AY4" t="s">
        <v>867</v>
      </c>
      <c r="AZ4" t="s">
        <v>65</v>
      </c>
      <c r="BA4" t="s">
        <v>65</v>
      </c>
      <c r="BB4" t="s">
        <v>856</v>
      </c>
      <c r="BC4" t="s">
        <v>878</v>
      </c>
      <c r="BD4" t="s">
        <v>879</v>
      </c>
    </row>
    <row r="5" ht="20" spans="1:56">
      <c r="A5" t="str">
        <f>_xlfn.DISPIMG("ID_27679D12F3624D4794A370A5AAD2B62A",1)</f>
        <v>=DISPIMG("ID_27679D12F3624D4794A370A5AAD2B62A",1)</v>
      </c>
      <c r="B5" t="s">
        <v>312</v>
      </c>
      <c r="C5" t="s">
        <v>312</v>
      </c>
      <c r="D5" t="s">
        <v>65</v>
      </c>
      <c r="E5" t="s">
        <v>880</v>
      </c>
      <c r="F5" t="s">
        <v>881</v>
      </c>
      <c r="G5" t="s">
        <v>872</v>
      </c>
      <c r="H5" t="s">
        <v>882</v>
      </c>
      <c r="I5" t="s">
        <v>883</v>
      </c>
      <c r="J5" t="s">
        <v>864</v>
      </c>
      <c r="K5" t="s">
        <v>850</v>
      </c>
      <c r="L5" t="s">
        <v>851</v>
      </c>
      <c r="M5">
        <v>176</v>
      </c>
      <c r="N5" t="s">
        <v>884</v>
      </c>
      <c r="O5" t="s">
        <v>885</v>
      </c>
      <c r="P5" t="s">
        <v>2809</v>
      </c>
      <c r="Q5">
        <v>6</v>
      </c>
      <c r="R5" t="s">
        <v>2841</v>
      </c>
      <c r="S5">
        <v>5.676</v>
      </c>
      <c r="T5" t="s">
        <v>2842</v>
      </c>
      <c r="U5" t="s">
        <v>64</v>
      </c>
      <c r="V5" t="s">
        <v>2812</v>
      </c>
      <c r="W5" t="s">
        <v>2843</v>
      </c>
      <c r="X5" t="s">
        <v>2844</v>
      </c>
      <c r="Y5" t="s">
        <v>2829</v>
      </c>
      <c r="Z5" t="s">
        <v>2816</v>
      </c>
      <c r="AA5" t="s">
        <v>2817</v>
      </c>
      <c r="AB5" t="s">
        <v>2816</v>
      </c>
      <c r="AC5" t="s">
        <v>2845</v>
      </c>
      <c r="AD5" t="s">
        <v>2846</v>
      </c>
      <c r="AE5" t="s">
        <v>2840</v>
      </c>
      <c r="AF5" t="s">
        <v>2831</v>
      </c>
      <c r="AG5" t="s">
        <v>2822</v>
      </c>
      <c r="AH5" t="s">
        <v>2823</v>
      </c>
      <c r="AI5">
        <v>1</v>
      </c>
      <c r="AJ5">
        <v>9323</v>
      </c>
      <c r="AK5">
        <v>1025063.8</v>
      </c>
      <c r="AL5">
        <v>109.95</v>
      </c>
      <c r="AM5">
        <v>0.6698</v>
      </c>
      <c r="AN5">
        <v>19.81</v>
      </c>
      <c r="AO5">
        <v>4.7</v>
      </c>
      <c r="AP5">
        <v>13752</v>
      </c>
      <c r="AQ5">
        <v>0.0452</v>
      </c>
      <c r="AR5">
        <v>421</v>
      </c>
      <c r="AT5" t="s">
        <v>876</v>
      </c>
      <c r="AU5" t="s">
        <v>886</v>
      </c>
      <c r="AV5">
        <v>661</v>
      </c>
      <c r="AW5">
        <v>1</v>
      </c>
      <c r="AX5">
        <v>5</v>
      </c>
      <c r="AY5" t="s">
        <v>867</v>
      </c>
      <c r="AZ5" t="s">
        <v>65</v>
      </c>
      <c r="BA5" t="s">
        <v>65</v>
      </c>
      <c r="BB5" t="s">
        <v>856</v>
      </c>
      <c r="BC5" t="s">
        <v>887</v>
      </c>
      <c r="BD5" t="s">
        <v>888</v>
      </c>
    </row>
    <row r="6" ht="20" spans="1:56">
      <c r="A6" t="str">
        <f>_xlfn.DISPIMG("ID_C156E7C83B994759A5327CB523DCF8AC",1)</f>
        <v>=DISPIMG("ID_C156E7C83B994759A5327CB523DCF8AC",1)</v>
      </c>
      <c r="B6" t="s">
        <v>72</v>
      </c>
      <c r="C6" t="s">
        <v>72</v>
      </c>
      <c r="D6" t="s">
        <v>65</v>
      </c>
      <c r="E6" t="s">
        <v>889</v>
      </c>
      <c r="F6" t="s">
        <v>890</v>
      </c>
      <c r="G6" t="s">
        <v>861</v>
      </c>
      <c r="H6" t="s">
        <v>891</v>
      </c>
      <c r="I6" t="s">
        <v>892</v>
      </c>
      <c r="J6" t="s">
        <v>893</v>
      </c>
      <c r="K6" t="s">
        <v>894</v>
      </c>
      <c r="L6" t="s">
        <v>851</v>
      </c>
      <c r="M6">
        <v>193</v>
      </c>
      <c r="N6" t="s">
        <v>895</v>
      </c>
      <c r="O6" t="s">
        <v>896</v>
      </c>
      <c r="P6" t="s">
        <v>2809</v>
      </c>
      <c r="Q6">
        <v>5.8</v>
      </c>
      <c r="R6" t="s">
        <v>2847</v>
      </c>
      <c r="S6">
        <v>5.4868</v>
      </c>
      <c r="T6" t="s">
        <v>2848</v>
      </c>
      <c r="U6" t="s">
        <v>64</v>
      </c>
      <c r="V6" t="s">
        <v>2812</v>
      </c>
      <c r="W6" t="s">
        <v>2849</v>
      </c>
      <c r="X6" t="s">
        <v>2844</v>
      </c>
      <c r="Y6" t="s">
        <v>2815</v>
      </c>
      <c r="Z6" t="s">
        <v>2817</v>
      </c>
      <c r="AA6" t="s">
        <v>2817</v>
      </c>
      <c r="AB6" t="s">
        <v>2816</v>
      </c>
      <c r="AC6" t="s">
        <v>2818</v>
      </c>
      <c r="AD6" t="s">
        <v>2850</v>
      </c>
      <c r="AE6" t="s">
        <v>2840</v>
      </c>
      <c r="AF6" t="s">
        <v>2851</v>
      </c>
      <c r="AG6" t="s">
        <v>2822</v>
      </c>
      <c r="AH6" t="s">
        <v>2823</v>
      </c>
      <c r="AI6">
        <v>1</v>
      </c>
      <c r="AJ6">
        <v>20869</v>
      </c>
      <c r="AK6">
        <v>2294964</v>
      </c>
      <c r="AL6">
        <v>109.97</v>
      </c>
      <c r="AM6">
        <v>0.666</v>
      </c>
      <c r="AN6">
        <v>20.23</v>
      </c>
      <c r="AO6">
        <v>4.7</v>
      </c>
      <c r="AP6">
        <v>12358</v>
      </c>
      <c r="AQ6">
        <v>0</v>
      </c>
      <c r="AR6">
        <v>0</v>
      </c>
      <c r="AT6" t="s">
        <v>854</v>
      </c>
      <c r="AU6" t="s">
        <v>897</v>
      </c>
      <c r="AV6">
        <v>1035</v>
      </c>
      <c r="AW6">
        <v>1</v>
      </c>
      <c r="AX6">
        <v>3</v>
      </c>
      <c r="AY6" t="s">
        <v>867</v>
      </c>
      <c r="AZ6" t="s">
        <v>65</v>
      </c>
      <c r="BA6" t="s">
        <v>65</v>
      </c>
      <c r="BB6" t="s">
        <v>856</v>
      </c>
      <c r="BC6" t="s">
        <v>898</v>
      </c>
      <c r="BD6" t="s">
        <v>899</v>
      </c>
    </row>
    <row r="7" ht="20" spans="1:56">
      <c r="A7" t="str">
        <f>_xlfn.DISPIMG("ID_8F917ED4503546348C30EDAA7D45FADF",1)</f>
        <v>=DISPIMG("ID_8F917ED4503546348C30EDAA7D45FADF",1)</v>
      </c>
      <c r="B7" t="s">
        <v>200</v>
      </c>
      <c r="C7" t="s">
        <v>200</v>
      </c>
      <c r="D7" t="s">
        <v>65</v>
      </c>
      <c r="E7" t="s">
        <v>900</v>
      </c>
      <c r="F7" t="s">
        <v>901</v>
      </c>
      <c r="G7" t="s">
        <v>872</v>
      </c>
      <c r="H7" t="s">
        <v>902</v>
      </c>
      <c r="I7" t="s">
        <v>903</v>
      </c>
      <c r="J7" t="s">
        <v>893</v>
      </c>
      <c r="K7" t="s">
        <v>850</v>
      </c>
      <c r="L7" t="s">
        <v>851</v>
      </c>
      <c r="M7">
        <v>277</v>
      </c>
      <c r="N7" t="s">
        <v>904</v>
      </c>
      <c r="O7" t="s">
        <v>905</v>
      </c>
      <c r="P7" t="s">
        <v>2852</v>
      </c>
      <c r="Q7">
        <v>4</v>
      </c>
      <c r="R7" t="s">
        <v>2810</v>
      </c>
      <c r="S7">
        <v>3.784</v>
      </c>
      <c r="T7" t="s">
        <v>2811</v>
      </c>
      <c r="U7" t="s">
        <v>64</v>
      </c>
      <c r="V7" t="s">
        <v>2812</v>
      </c>
      <c r="W7" t="s">
        <v>2843</v>
      </c>
      <c r="X7" t="s">
        <v>2853</v>
      </c>
      <c r="Y7" t="s">
        <v>2815</v>
      </c>
      <c r="Z7" t="s">
        <v>2816</v>
      </c>
      <c r="AA7" t="s">
        <v>2817</v>
      </c>
      <c r="AB7" t="s">
        <v>2817</v>
      </c>
      <c r="AC7" t="s">
        <v>2854</v>
      </c>
      <c r="AD7" t="s">
        <v>2850</v>
      </c>
      <c r="AE7" t="s">
        <v>2820</v>
      </c>
      <c r="AF7" t="s">
        <v>2851</v>
      </c>
      <c r="AG7" t="s">
        <v>2822</v>
      </c>
      <c r="AH7" t="s">
        <v>2823</v>
      </c>
      <c r="AI7">
        <v>1</v>
      </c>
      <c r="AJ7">
        <v>21741</v>
      </c>
      <c r="AK7">
        <v>1956472.5</v>
      </c>
      <c r="AL7">
        <v>89.99</v>
      </c>
      <c r="AM7">
        <v>0.6672</v>
      </c>
      <c r="AN7">
        <v>16.45</v>
      </c>
      <c r="AO7">
        <v>4.7</v>
      </c>
      <c r="AP7">
        <v>18755</v>
      </c>
      <c r="AQ7">
        <v>0.0319</v>
      </c>
      <c r="AR7">
        <v>693</v>
      </c>
      <c r="AT7" t="s">
        <v>876</v>
      </c>
      <c r="AU7" t="s">
        <v>906</v>
      </c>
      <c r="AV7">
        <v>988</v>
      </c>
      <c r="AW7">
        <v>1</v>
      </c>
      <c r="AX7">
        <v>4</v>
      </c>
      <c r="AY7" t="s">
        <v>867</v>
      </c>
      <c r="AZ7" t="s">
        <v>65</v>
      </c>
      <c r="BA7" t="s">
        <v>65</v>
      </c>
      <c r="BB7" t="s">
        <v>856</v>
      </c>
      <c r="BC7" t="s">
        <v>907</v>
      </c>
      <c r="BD7" t="s">
        <v>908</v>
      </c>
    </row>
    <row r="8" ht="20" spans="1:56">
      <c r="A8" t="str">
        <f>_xlfn.DISPIMG("ID_6893492369324F0F99BB94004415008C",1)</f>
        <v>=DISPIMG("ID_6893492369324F0F99BB94004415008C",1)</v>
      </c>
      <c r="B8" t="s">
        <v>772</v>
      </c>
      <c r="C8" t="s">
        <v>772</v>
      </c>
      <c r="D8" t="s">
        <v>65</v>
      </c>
      <c r="E8" t="s">
        <v>909</v>
      </c>
      <c r="F8" t="s">
        <v>910</v>
      </c>
      <c r="G8" t="s">
        <v>846</v>
      </c>
      <c r="H8" t="s">
        <v>911</v>
      </c>
      <c r="I8" t="s">
        <v>912</v>
      </c>
      <c r="J8" t="s">
        <v>864</v>
      </c>
      <c r="K8" t="s">
        <v>850</v>
      </c>
      <c r="L8" t="s">
        <v>851</v>
      </c>
      <c r="M8">
        <v>320</v>
      </c>
      <c r="N8" t="s">
        <v>852</v>
      </c>
      <c r="O8" t="s">
        <v>913</v>
      </c>
      <c r="P8" t="s">
        <v>2809</v>
      </c>
      <c r="Q8">
        <v>10</v>
      </c>
      <c r="R8" t="s">
        <v>2833</v>
      </c>
      <c r="S8">
        <v>9.46</v>
      </c>
      <c r="T8" t="s">
        <v>2834</v>
      </c>
      <c r="U8" t="s">
        <v>64</v>
      </c>
      <c r="V8" t="s">
        <v>2855</v>
      </c>
      <c r="W8" t="s">
        <v>2843</v>
      </c>
      <c r="X8" t="s">
        <v>2856</v>
      </c>
      <c r="Y8" t="s">
        <v>2829</v>
      </c>
      <c r="Z8" t="s">
        <v>2816</v>
      </c>
      <c r="AA8" t="s">
        <v>2817</v>
      </c>
      <c r="AB8" t="s">
        <v>2816</v>
      </c>
      <c r="AC8" t="s">
        <v>2845</v>
      </c>
      <c r="AD8" t="s">
        <v>2850</v>
      </c>
      <c r="AE8" t="s">
        <v>2857</v>
      </c>
      <c r="AF8" t="s">
        <v>2831</v>
      </c>
      <c r="AG8" t="s">
        <v>2822</v>
      </c>
      <c r="AH8" t="s">
        <v>2823</v>
      </c>
      <c r="AI8">
        <v>1</v>
      </c>
      <c r="AJ8">
        <v>11474</v>
      </c>
      <c r="AK8">
        <v>2294685.2</v>
      </c>
      <c r="AL8">
        <v>225</v>
      </c>
      <c r="AM8">
        <v>0.7194</v>
      </c>
      <c r="AN8">
        <v>26.11</v>
      </c>
      <c r="AO8">
        <v>4.8</v>
      </c>
      <c r="AP8">
        <v>5424</v>
      </c>
      <c r="AQ8">
        <v>0.0295</v>
      </c>
      <c r="AR8">
        <v>338</v>
      </c>
      <c r="AT8" t="s">
        <v>854</v>
      </c>
      <c r="AU8" t="s">
        <v>914</v>
      </c>
      <c r="AV8">
        <v>605</v>
      </c>
      <c r="AW8">
        <v>1</v>
      </c>
      <c r="AX8">
        <v>12</v>
      </c>
      <c r="AY8" t="s">
        <v>867</v>
      </c>
      <c r="AZ8" t="s">
        <v>65</v>
      </c>
      <c r="BA8" t="s">
        <v>65</v>
      </c>
      <c r="BB8" t="s">
        <v>856</v>
      </c>
      <c r="BC8" t="s">
        <v>915</v>
      </c>
      <c r="BD8" t="s">
        <v>916</v>
      </c>
    </row>
    <row r="9" ht="20" spans="1:56">
      <c r="A9" t="str">
        <f>_xlfn.DISPIMG("ID_A4F2CA3BA9DE447E882F7F047A09CE2C",1)</f>
        <v>=DISPIMG("ID_A4F2CA3BA9DE447E882F7F047A09CE2C",1)</v>
      </c>
      <c r="B9" t="s">
        <v>738</v>
      </c>
      <c r="C9" t="s">
        <v>738</v>
      </c>
      <c r="D9" t="s">
        <v>65</v>
      </c>
      <c r="E9" t="s">
        <v>929</v>
      </c>
      <c r="F9" t="s">
        <v>930</v>
      </c>
      <c r="G9" t="s">
        <v>931</v>
      </c>
      <c r="H9" t="s">
        <v>932</v>
      </c>
      <c r="I9" t="s">
        <v>933</v>
      </c>
      <c r="J9" t="s">
        <v>934</v>
      </c>
      <c r="K9" t="s">
        <v>850</v>
      </c>
      <c r="L9" t="s">
        <v>851</v>
      </c>
      <c r="M9">
        <v>494</v>
      </c>
      <c r="N9" t="s">
        <v>852</v>
      </c>
      <c r="O9" t="s">
        <v>935</v>
      </c>
      <c r="P9" t="s">
        <v>2809</v>
      </c>
      <c r="Q9">
        <v>2.6</v>
      </c>
      <c r="R9" t="s">
        <v>2859</v>
      </c>
      <c r="S9">
        <v>2.4596</v>
      </c>
      <c r="T9" t="s">
        <v>2860</v>
      </c>
      <c r="U9" t="s">
        <v>64</v>
      </c>
      <c r="V9" t="s">
        <v>2812</v>
      </c>
      <c r="W9" t="s">
        <v>2861</v>
      </c>
      <c r="X9" t="s">
        <v>2862</v>
      </c>
      <c r="Y9" t="s">
        <v>2815</v>
      </c>
      <c r="Z9" t="s">
        <v>2816</v>
      </c>
      <c r="AA9" t="s">
        <v>2816</v>
      </c>
      <c r="AB9" t="s">
        <v>2816</v>
      </c>
      <c r="AC9" t="s">
        <v>2863</v>
      </c>
      <c r="AD9" t="s">
        <v>2819</v>
      </c>
      <c r="AE9" t="s">
        <v>2864</v>
      </c>
      <c r="AF9" t="s">
        <v>2821</v>
      </c>
      <c r="AG9" t="s">
        <v>2865</v>
      </c>
      <c r="AH9" t="s">
        <v>2823</v>
      </c>
      <c r="AI9">
        <v>1</v>
      </c>
      <c r="AJ9">
        <v>5301</v>
      </c>
      <c r="AK9">
        <v>211987</v>
      </c>
      <c r="AL9">
        <v>39.99</v>
      </c>
      <c r="AM9">
        <v>0.5017</v>
      </c>
      <c r="AN9">
        <v>13.93</v>
      </c>
      <c r="AO9">
        <v>4.5</v>
      </c>
      <c r="AP9">
        <v>29723</v>
      </c>
      <c r="AQ9">
        <v>0.0681</v>
      </c>
      <c r="AR9">
        <v>361</v>
      </c>
      <c r="AT9" t="s">
        <v>876</v>
      </c>
      <c r="AU9" t="s">
        <v>936</v>
      </c>
      <c r="AV9">
        <v>1236</v>
      </c>
      <c r="AW9">
        <v>1</v>
      </c>
      <c r="AX9">
        <v>2</v>
      </c>
      <c r="AY9" t="s">
        <v>867</v>
      </c>
      <c r="AZ9" t="s">
        <v>65</v>
      </c>
      <c r="BA9" t="s">
        <v>65</v>
      </c>
      <c r="BB9" t="s">
        <v>856</v>
      </c>
      <c r="BC9" t="s">
        <v>937</v>
      </c>
      <c r="BD9" t="s">
        <v>938</v>
      </c>
    </row>
    <row r="10" ht="20" spans="1:56">
      <c r="A10" t="str">
        <f>_xlfn.DISPIMG("ID_57D3D300B19F47BF96510083017D4F61",1)</f>
        <v>=DISPIMG("ID_57D3D300B19F47BF96510083017D4F61",1)</v>
      </c>
      <c r="B10" t="s">
        <v>951</v>
      </c>
      <c r="C10" t="s">
        <v>951</v>
      </c>
      <c r="D10" t="s">
        <v>65</v>
      </c>
      <c r="E10" t="s">
        <v>952</v>
      </c>
      <c r="F10" t="s">
        <v>953</v>
      </c>
      <c r="G10" t="s">
        <v>954</v>
      </c>
      <c r="H10" t="s">
        <v>955</v>
      </c>
      <c r="I10" t="s">
        <v>956</v>
      </c>
      <c r="J10" t="s">
        <v>934</v>
      </c>
      <c r="K10" t="s">
        <v>850</v>
      </c>
      <c r="L10" t="s">
        <v>851</v>
      </c>
      <c r="M10">
        <v>603</v>
      </c>
      <c r="N10" t="s">
        <v>852</v>
      </c>
      <c r="O10" t="s">
        <v>957</v>
      </c>
      <c r="P10" t="s">
        <v>2809</v>
      </c>
      <c r="Q10">
        <v>6</v>
      </c>
      <c r="R10" t="s">
        <v>2841</v>
      </c>
      <c r="S10">
        <v>5.676</v>
      </c>
      <c r="T10" t="s">
        <v>2842</v>
      </c>
      <c r="U10" t="s">
        <v>64</v>
      </c>
      <c r="V10" t="s">
        <v>2812</v>
      </c>
      <c r="W10" t="s">
        <v>2849</v>
      </c>
      <c r="X10" t="s">
        <v>2828</v>
      </c>
      <c r="Y10" t="s">
        <v>2815</v>
      </c>
      <c r="Z10" t="s">
        <v>2816</v>
      </c>
      <c r="AA10" t="s">
        <v>2817</v>
      </c>
      <c r="AB10" t="s">
        <v>2816</v>
      </c>
      <c r="AC10" t="s">
        <v>2818</v>
      </c>
      <c r="AD10" t="s">
        <v>2819</v>
      </c>
      <c r="AE10" t="s">
        <v>2866</v>
      </c>
      <c r="AF10" t="s">
        <v>2867</v>
      </c>
      <c r="AG10" t="s">
        <v>2822</v>
      </c>
      <c r="AH10" t="s">
        <v>2868</v>
      </c>
      <c r="AI10">
        <v>1</v>
      </c>
      <c r="AJ10">
        <v>8734</v>
      </c>
      <c r="AK10">
        <v>521681.8</v>
      </c>
      <c r="AL10">
        <v>59.77</v>
      </c>
      <c r="AM10">
        <v>0.5535</v>
      </c>
      <c r="AN10">
        <v>17.71</v>
      </c>
      <c r="AO10">
        <v>4.6</v>
      </c>
      <c r="AP10">
        <v>875</v>
      </c>
      <c r="AQ10">
        <v>0.0071</v>
      </c>
      <c r="AR10">
        <v>62</v>
      </c>
      <c r="AT10" t="s">
        <v>854</v>
      </c>
      <c r="AU10" t="s">
        <v>958</v>
      </c>
      <c r="AV10">
        <v>483</v>
      </c>
      <c r="AW10">
        <v>1</v>
      </c>
      <c r="AX10">
        <v>7</v>
      </c>
      <c r="AY10" t="s">
        <v>867</v>
      </c>
      <c r="AZ10" t="s">
        <v>65</v>
      </c>
      <c r="BA10" t="s">
        <v>65</v>
      </c>
      <c r="BB10" t="s">
        <v>856</v>
      </c>
      <c r="BC10" t="s">
        <v>959</v>
      </c>
      <c r="BD10" t="s">
        <v>960</v>
      </c>
    </row>
    <row r="11" ht="20" spans="1:56">
      <c r="A11" t="str">
        <f>_xlfn.DISPIMG("ID_F3B5588D37C54F9EBCEAA5C85D490498",1)</f>
        <v>=DISPIMG("ID_F3B5588D37C54F9EBCEAA5C85D490498",1)</v>
      </c>
      <c r="B11" t="s">
        <v>304</v>
      </c>
      <c r="C11" t="s">
        <v>304</v>
      </c>
      <c r="D11" t="s">
        <v>65</v>
      </c>
      <c r="E11" t="s">
        <v>961</v>
      </c>
      <c r="F11" t="s">
        <v>962</v>
      </c>
      <c r="G11" t="s">
        <v>846</v>
      </c>
      <c r="H11" t="s">
        <v>963</v>
      </c>
      <c r="I11" t="s">
        <v>964</v>
      </c>
      <c r="J11" t="s">
        <v>864</v>
      </c>
      <c r="K11" t="s">
        <v>850</v>
      </c>
      <c r="L11" t="s">
        <v>851</v>
      </c>
      <c r="M11">
        <v>958</v>
      </c>
      <c r="N11" t="s">
        <v>852</v>
      </c>
      <c r="O11" t="s">
        <v>965</v>
      </c>
      <c r="P11" t="s">
        <v>2809</v>
      </c>
      <c r="Q11">
        <v>8</v>
      </c>
      <c r="R11" t="s">
        <v>2869</v>
      </c>
      <c r="S11">
        <v>7.568</v>
      </c>
      <c r="T11" t="s">
        <v>2870</v>
      </c>
      <c r="U11" t="s">
        <v>64</v>
      </c>
      <c r="V11" t="s">
        <v>2855</v>
      </c>
      <c r="W11" t="s">
        <v>2843</v>
      </c>
      <c r="X11" t="s">
        <v>2856</v>
      </c>
      <c r="Y11" t="s">
        <v>2829</v>
      </c>
      <c r="Z11" t="s">
        <v>2816</v>
      </c>
      <c r="AA11" t="s">
        <v>2817</v>
      </c>
      <c r="AB11" t="s">
        <v>2816</v>
      </c>
      <c r="AC11" t="s">
        <v>2818</v>
      </c>
      <c r="AD11" t="s">
        <v>2850</v>
      </c>
      <c r="AE11" t="s">
        <v>2871</v>
      </c>
      <c r="AF11" t="s">
        <v>2851</v>
      </c>
      <c r="AG11" t="s">
        <v>2822</v>
      </c>
      <c r="AH11" t="s">
        <v>2823</v>
      </c>
      <c r="AI11">
        <v>1</v>
      </c>
      <c r="AJ11">
        <v>6319</v>
      </c>
      <c r="AK11">
        <v>1263484</v>
      </c>
      <c r="AL11">
        <v>199.95</v>
      </c>
      <c r="AM11">
        <v>0.7341</v>
      </c>
      <c r="AN11">
        <v>23.17</v>
      </c>
      <c r="AO11">
        <v>4.8</v>
      </c>
      <c r="AP11">
        <v>18050</v>
      </c>
      <c r="AQ11">
        <v>0.0745</v>
      </c>
      <c r="AR11">
        <v>471</v>
      </c>
      <c r="AT11" t="s">
        <v>876</v>
      </c>
      <c r="AU11" t="s">
        <v>966</v>
      </c>
      <c r="AV11">
        <v>937</v>
      </c>
      <c r="AW11">
        <v>1</v>
      </c>
      <c r="AX11">
        <v>10</v>
      </c>
      <c r="AY11" t="s">
        <v>867</v>
      </c>
      <c r="AZ11" t="s">
        <v>65</v>
      </c>
      <c r="BA11" t="s">
        <v>65</v>
      </c>
      <c r="BB11" t="s">
        <v>856</v>
      </c>
      <c r="BC11" t="s">
        <v>967</v>
      </c>
      <c r="BD11" t="s">
        <v>968</v>
      </c>
    </row>
    <row r="12" ht="20" spans="1:56">
      <c r="A12" t="str">
        <f>_xlfn.DISPIMG("ID_D867FF3B6F984EF9B9A521B60372147C",1)</f>
        <v>=DISPIMG("ID_D867FF3B6F984EF9B9A521B60372147C",1)</v>
      </c>
      <c r="B12" t="s">
        <v>193</v>
      </c>
      <c r="C12" t="s">
        <v>193</v>
      </c>
      <c r="D12" t="s">
        <v>65</v>
      </c>
      <c r="E12" t="s">
        <v>969</v>
      </c>
      <c r="F12" t="s">
        <v>970</v>
      </c>
      <c r="G12" t="s">
        <v>971</v>
      </c>
      <c r="H12" t="s">
        <v>972</v>
      </c>
      <c r="I12" t="s">
        <v>973</v>
      </c>
      <c r="J12" t="s">
        <v>974</v>
      </c>
      <c r="K12" t="s">
        <v>850</v>
      </c>
      <c r="L12" t="s">
        <v>851</v>
      </c>
      <c r="M12">
        <v>1189</v>
      </c>
      <c r="N12" t="s">
        <v>852</v>
      </c>
      <c r="O12" t="s">
        <v>975</v>
      </c>
      <c r="P12" t="s">
        <v>2809</v>
      </c>
      <c r="Q12">
        <v>7.25</v>
      </c>
      <c r="R12" t="s">
        <v>2872</v>
      </c>
      <c r="S12">
        <v>6.8585</v>
      </c>
      <c r="T12" t="s">
        <v>2873</v>
      </c>
      <c r="U12" t="s">
        <v>64</v>
      </c>
      <c r="V12" t="s">
        <v>2812</v>
      </c>
      <c r="W12" t="s">
        <v>2837</v>
      </c>
      <c r="X12" t="s">
        <v>2874</v>
      </c>
      <c r="Y12" t="s">
        <v>2815</v>
      </c>
      <c r="Z12" t="s">
        <v>2816</v>
      </c>
      <c r="AA12" t="s">
        <v>2817</v>
      </c>
      <c r="AB12" t="s">
        <v>2816</v>
      </c>
      <c r="AC12" t="s">
        <v>2818</v>
      </c>
      <c r="AD12" t="s">
        <v>2819</v>
      </c>
      <c r="AE12" t="s">
        <v>2820</v>
      </c>
      <c r="AF12" t="s">
        <v>2821</v>
      </c>
      <c r="AG12" t="s">
        <v>2865</v>
      </c>
      <c r="AH12" t="s">
        <v>2823</v>
      </c>
      <c r="AI12">
        <v>1</v>
      </c>
      <c r="AJ12">
        <v>5498</v>
      </c>
      <c r="AK12">
        <v>489816.8</v>
      </c>
      <c r="AL12">
        <v>89.09</v>
      </c>
      <c r="AM12">
        <v>0.6229</v>
      </c>
      <c r="AN12">
        <v>20.23</v>
      </c>
      <c r="AO12">
        <v>4.5</v>
      </c>
      <c r="AP12">
        <v>8480</v>
      </c>
      <c r="AQ12">
        <v>0.0349</v>
      </c>
      <c r="AR12">
        <v>192</v>
      </c>
      <c r="AT12" t="s">
        <v>947</v>
      </c>
      <c r="AU12" t="s">
        <v>976</v>
      </c>
      <c r="AV12">
        <v>2009</v>
      </c>
      <c r="AW12">
        <v>1</v>
      </c>
      <c r="AX12">
        <v>5</v>
      </c>
      <c r="AY12" t="s">
        <v>867</v>
      </c>
      <c r="AZ12" t="s">
        <v>65</v>
      </c>
      <c r="BA12" t="s">
        <v>65</v>
      </c>
      <c r="BB12" t="s">
        <v>856</v>
      </c>
      <c r="BC12" t="s">
        <v>977</v>
      </c>
      <c r="BD12" t="s">
        <v>978</v>
      </c>
    </row>
    <row r="13" ht="20" spans="1:56">
      <c r="A13" t="str">
        <f>_xlfn.DISPIMG("ID_5081BD8DF7104B418782487A028CDCFD",1)</f>
        <v>=DISPIMG("ID_5081BD8DF7104B418782487A028CDCFD",1)</v>
      </c>
      <c r="B13" t="s">
        <v>105</v>
      </c>
      <c r="C13" t="s">
        <v>105</v>
      </c>
      <c r="D13" t="s">
        <v>65</v>
      </c>
      <c r="E13" t="s">
        <v>979</v>
      </c>
      <c r="F13" t="s">
        <v>980</v>
      </c>
      <c r="G13" t="s">
        <v>846</v>
      </c>
      <c r="H13" t="s">
        <v>981</v>
      </c>
      <c r="I13" t="s">
        <v>982</v>
      </c>
      <c r="J13" t="s">
        <v>65</v>
      </c>
      <c r="K13" t="s">
        <v>850</v>
      </c>
      <c r="L13" t="s">
        <v>851</v>
      </c>
      <c r="M13">
        <v>1009</v>
      </c>
      <c r="N13" t="s">
        <v>852</v>
      </c>
      <c r="O13" t="s">
        <v>965</v>
      </c>
      <c r="P13" t="s">
        <v>2832</v>
      </c>
      <c r="Q13">
        <v>17</v>
      </c>
      <c r="R13" t="s">
        <v>2875</v>
      </c>
      <c r="S13">
        <v>16.082</v>
      </c>
      <c r="T13" t="s">
        <v>2876</v>
      </c>
      <c r="U13" t="s">
        <v>2877</v>
      </c>
      <c r="V13" t="s">
        <v>2812</v>
      </c>
      <c r="W13" t="s">
        <v>2878</v>
      </c>
      <c r="X13" t="s">
        <v>2879</v>
      </c>
      <c r="Y13" t="s">
        <v>2829</v>
      </c>
      <c r="Z13" t="s">
        <v>2817</v>
      </c>
      <c r="AA13" t="s">
        <v>2817</v>
      </c>
      <c r="AB13" t="s">
        <v>2816</v>
      </c>
      <c r="AC13" t="s">
        <v>2818</v>
      </c>
      <c r="AD13" t="s">
        <v>2850</v>
      </c>
      <c r="AE13" t="s">
        <v>2880</v>
      </c>
      <c r="AF13" t="s">
        <v>2821</v>
      </c>
      <c r="AG13" t="s">
        <v>2822</v>
      </c>
      <c r="AH13" t="s">
        <v>2823</v>
      </c>
      <c r="AI13">
        <v>1</v>
      </c>
      <c r="AJ13">
        <v>9972</v>
      </c>
      <c r="AK13">
        <v>1994300.4</v>
      </c>
      <c r="AL13">
        <v>187</v>
      </c>
      <c r="AM13">
        <v>0.7362</v>
      </c>
      <c r="AN13">
        <v>22.75</v>
      </c>
      <c r="AO13">
        <v>4.6</v>
      </c>
      <c r="AP13">
        <v>24097</v>
      </c>
      <c r="AQ13">
        <v>0.0355</v>
      </c>
      <c r="AR13">
        <v>354</v>
      </c>
      <c r="AT13" t="s">
        <v>854</v>
      </c>
      <c r="AU13" t="s">
        <v>983</v>
      </c>
      <c r="AV13">
        <v>1341</v>
      </c>
      <c r="AW13">
        <v>1</v>
      </c>
      <c r="AX13">
        <v>16</v>
      </c>
      <c r="AY13" t="s">
        <v>65</v>
      </c>
      <c r="AZ13" t="s">
        <v>65</v>
      </c>
      <c r="BA13" t="s">
        <v>65</v>
      </c>
      <c r="BB13" t="s">
        <v>856</v>
      </c>
      <c r="BC13" t="s">
        <v>984</v>
      </c>
      <c r="BD13" t="s">
        <v>985</v>
      </c>
    </row>
    <row r="14" ht="20" spans="1:56">
      <c r="A14" t="str">
        <f>_xlfn.DISPIMG("ID_D3ECA348966449D08D28C7515248DDFA",1)</f>
        <v>=DISPIMG("ID_D3ECA348966449D08D28C7515248DDFA",1)</v>
      </c>
      <c r="B14" t="s">
        <v>986</v>
      </c>
      <c r="C14" t="s">
        <v>987</v>
      </c>
      <c r="D14" t="s">
        <v>988</v>
      </c>
      <c r="E14" t="s">
        <v>989</v>
      </c>
      <c r="F14" t="s">
        <v>990</v>
      </c>
      <c r="G14" t="s">
        <v>991</v>
      </c>
      <c r="H14" t="s">
        <v>992</v>
      </c>
      <c r="I14" t="s">
        <v>993</v>
      </c>
      <c r="J14" t="s">
        <v>934</v>
      </c>
      <c r="K14" t="s">
        <v>850</v>
      </c>
      <c r="L14" t="s">
        <v>851</v>
      </c>
      <c r="M14">
        <v>1488</v>
      </c>
      <c r="N14" t="s">
        <v>852</v>
      </c>
      <c r="O14" t="s">
        <v>994</v>
      </c>
      <c r="P14" t="s">
        <v>2881</v>
      </c>
      <c r="Q14">
        <v>4</v>
      </c>
      <c r="R14" t="s">
        <v>2810</v>
      </c>
      <c r="S14">
        <v>3.784</v>
      </c>
      <c r="T14" t="s">
        <v>2811</v>
      </c>
      <c r="U14" t="s">
        <v>64</v>
      </c>
      <c r="V14" t="s">
        <v>2812</v>
      </c>
      <c r="W14" t="s">
        <v>2827</v>
      </c>
      <c r="X14" t="s">
        <v>2814</v>
      </c>
      <c r="Y14" t="s">
        <v>2829</v>
      </c>
      <c r="Z14" t="s">
        <v>2816</v>
      </c>
      <c r="AA14" t="s">
        <v>2817</v>
      </c>
      <c r="AB14" t="s">
        <v>2816</v>
      </c>
      <c r="AC14" t="s">
        <v>2818</v>
      </c>
      <c r="AD14" t="s">
        <v>2819</v>
      </c>
      <c r="AE14" t="s">
        <v>2882</v>
      </c>
      <c r="AF14" t="s">
        <v>2883</v>
      </c>
      <c r="AG14" t="s">
        <v>2865</v>
      </c>
      <c r="AH14" t="s">
        <v>2884</v>
      </c>
      <c r="AI14">
        <v>1</v>
      </c>
      <c r="AJ14">
        <v>4279</v>
      </c>
      <c r="AK14">
        <v>342277.2</v>
      </c>
      <c r="AL14">
        <v>67.99</v>
      </c>
      <c r="AM14">
        <v>0.6391</v>
      </c>
      <c r="AN14">
        <v>16.87</v>
      </c>
      <c r="AO14">
        <v>4.4</v>
      </c>
      <c r="AP14">
        <v>382</v>
      </c>
      <c r="AQ14">
        <v>0.0327</v>
      </c>
      <c r="AR14">
        <v>140</v>
      </c>
      <c r="AT14" t="s">
        <v>876</v>
      </c>
      <c r="AU14" t="s">
        <v>995</v>
      </c>
      <c r="AV14">
        <v>291</v>
      </c>
      <c r="AW14">
        <v>5</v>
      </c>
      <c r="AX14">
        <v>2</v>
      </c>
      <c r="AY14" t="s">
        <v>996</v>
      </c>
      <c r="AZ14" t="s">
        <v>65</v>
      </c>
      <c r="BA14" t="s">
        <v>65</v>
      </c>
      <c r="BB14" t="s">
        <v>997</v>
      </c>
      <c r="BC14" t="s">
        <v>907</v>
      </c>
      <c r="BD14" t="s">
        <v>998</v>
      </c>
    </row>
    <row r="15" ht="20" spans="1:56">
      <c r="A15" t="str">
        <f>_xlfn.DISPIMG("ID_8F526F5171E649F6861FFFB079CAC276",1)</f>
        <v>=DISPIMG("ID_8F526F5171E649F6861FFFB079CAC276",1)</v>
      </c>
      <c r="B15" t="s">
        <v>187</v>
      </c>
      <c r="C15" t="s">
        <v>187</v>
      </c>
      <c r="D15" t="s">
        <v>65</v>
      </c>
      <c r="E15" t="s">
        <v>999</v>
      </c>
      <c r="F15" t="s">
        <v>1000</v>
      </c>
      <c r="G15" t="s">
        <v>846</v>
      </c>
      <c r="H15" t="s">
        <v>1001</v>
      </c>
      <c r="I15" t="s">
        <v>1002</v>
      </c>
      <c r="J15" t="s">
        <v>1003</v>
      </c>
      <c r="K15" t="s">
        <v>850</v>
      </c>
      <c r="L15" t="s">
        <v>851</v>
      </c>
      <c r="M15">
        <v>1041</v>
      </c>
      <c r="N15" t="s">
        <v>852</v>
      </c>
      <c r="O15" t="s">
        <v>975</v>
      </c>
      <c r="P15" t="s">
        <v>2824</v>
      </c>
      <c r="Q15">
        <v>5.5</v>
      </c>
      <c r="R15" t="s">
        <v>2885</v>
      </c>
      <c r="S15">
        <v>5.203</v>
      </c>
      <c r="T15" t="s">
        <v>2886</v>
      </c>
      <c r="U15" t="s">
        <v>64</v>
      </c>
      <c r="V15" t="s">
        <v>2812</v>
      </c>
      <c r="W15" t="s">
        <v>2837</v>
      </c>
      <c r="X15" t="s">
        <v>2879</v>
      </c>
      <c r="Y15" t="s">
        <v>2829</v>
      </c>
      <c r="Z15" t="s">
        <v>2816</v>
      </c>
      <c r="AA15" t="s">
        <v>2817</v>
      </c>
      <c r="AB15" t="s">
        <v>2816</v>
      </c>
      <c r="AC15" t="s">
        <v>2818</v>
      </c>
      <c r="AD15" t="s">
        <v>2819</v>
      </c>
      <c r="AE15" t="s">
        <v>2887</v>
      </c>
      <c r="AF15" t="s">
        <v>2821</v>
      </c>
      <c r="AG15" t="s">
        <v>2822</v>
      </c>
      <c r="AH15" t="s">
        <v>2823</v>
      </c>
      <c r="AI15">
        <v>1</v>
      </c>
      <c r="AJ15">
        <v>7579</v>
      </c>
      <c r="AK15">
        <v>1136774.2</v>
      </c>
      <c r="AL15">
        <v>149.99</v>
      </c>
      <c r="AM15">
        <v>0.7179</v>
      </c>
      <c r="AN15">
        <v>19.81</v>
      </c>
      <c r="AO15">
        <v>4.7</v>
      </c>
      <c r="AP15">
        <v>16093</v>
      </c>
      <c r="AQ15">
        <v>0.0289</v>
      </c>
      <c r="AR15">
        <v>219</v>
      </c>
      <c r="AT15" t="s">
        <v>854</v>
      </c>
      <c r="AU15" t="s">
        <v>1004</v>
      </c>
      <c r="AV15">
        <v>1361</v>
      </c>
      <c r="AW15">
        <v>1</v>
      </c>
      <c r="AX15">
        <v>8</v>
      </c>
      <c r="AY15" t="s">
        <v>65</v>
      </c>
      <c r="AZ15" t="s">
        <v>65</v>
      </c>
      <c r="BA15" t="s">
        <v>65</v>
      </c>
      <c r="BB15" t="s">
        <v>856</v>
      </c>
      <c r="BC15" t="s">
        <v>1005</v>
      </c>
      <c r="BD15" t="s">
        <v>1006</v>
      </c>
    </row>
    <row r="16" ht="20" spans="1:56">
      <c r="A16" t="str">
        <f>_xlfn.DISPIMG("ID_EFD05E987FC244FC8974B30F1238A284",1)</f>
        <v>=DISPIMG("ID_EFD05E987FC244FC8974B30F1238A284",1)</v>
      </c>
      <c r="B16" t="s">
        <v>1007</v>
      </c>
      <c r="C16" t="s">
        <v>1007</v>
      </c>
      <c r="D16" t="s">
        <v>65</v>
      </c>
      <c r="E16" t="s">
        <v>1008</v>
      </c>
      <c r="F16" t="s">
        <v>1009</v>
      </c>
      <c r="G16" t="s">
        <v>861</v>
      </c>
      <c r="H16" t="s">
        <v>1010</v>
      </c>
      <c r="I16" t="s">
        <v>1011</v>
      </c>
      <c r="J16" t="s">
        <v>1012</v>
      </c>
      <c r="K16" t="s">
        <v>850</v>
      </c>
      <c r="L16" t="s">
        <v>851</v>
      </c>
      <c r="M16">
        <v>1367</v>
      </c>
      <c r="N16" t="s">
        <v>852</v>
      </c>
      <c r="O16" t="s">
        <v>1013</v>
      </c>
      <c r="P16" t="s">
        <v>2809</v>
      </c>
      <c r="Q16">
        <v>10</v>
      </c>
      <c r="R16" t="s">
        <v>2833</v>
      </c>
      <c r="S16">
        <v>9.46</v>
      </c>
      <c r="T16" t="s">
        <v>2834</v>
      </c>
      <c r="U16" t="s">
        <v>64</v>
      </c>
      <c r="V16" t="s">
        <v>2836</v>
      </c>
      <c r="W16" t="s">
        <v>2888</v>
      </c>
      <c r="X16" t="s">
        <v>2874</v>
      </c>
      <c r="Y16" t="s">
        <v>2829</v>
      </c>
      <c r="Z16" t="s">
        <v>2817</v>
      </c>
      <c r="AA16" t="s">
        <v>2817</v>
      </c>
      <c r="AB16" t="s">
        <v>2817</v>
      </c>
      <c r="AC16" t="s">
        <v>2854</v>
      </c>
      <c r="AD16" t="s">
        <v>2889</v>
      </c>
      <c r="AE16" t="s">
        <v>2840</v>
      </c>
      <c r="AF16" t="s">
        <v>2883</v>
      </c>
      <c r="AG16" t="s">
        <v>2822</v>
      </c>
      <c r="AH16" t="s">
        <v>2823</v>
      </c>
      <c r="AI16">
        <v>1</v>
      </c>
      <c r="AJ16">
        <v>1372</v>
      </c>
      <c r="AK16">
        <v>150892.56</v>
      </c>
      <c r="AL16">
        <v>109.98</v>
      </c>
      <c r="AM16">
        <v>0.6431</v>
      </c>
      <c r="AN16">
        <v>22.75</v>
      </c>
      <c r="AO16">
        <v>4.7</v>
      </c>
      <c r="AP16">
        <v>4736</v>
      </c>
      <c r="AQ16">
        <v>0</v>
      </c>
      <c r="AR16">
        <v>3055</v>
      </c>
      <c r="AT16" t="s">
        <v>947</v>
      </c>
      <c r="AU16" t="s">
        <v>1014</v>
      </c>
      <c r="AV16">
        <v>251</v>
      </c>
      <c r="AW16">
        <v>1</v>
      </c>
      <c r="AX16">
        <v>1</v>
      </c>
      <c r="AY16" t="s">
        <v>867</v>
      </c>
      <c r="AZ16" t="s">
        <v>65</v>
      </c>
      <c r="BA16" t="s">
        <v>65</v>
      </c>
      <c r="BB16" t="s">
        <v>856</v>
      </c>
      <c r="BC16" t="s">
        <v>1015</v>
      </c>
      <c r="BD16" t="s">
        <v>1016</v>
      </c>
    </row>
    <row r="17" ht="20" spans="1:56">
      <c r="A17" t="str">
        <f>_xlfn.DISPIMG("ID_5446CDB133D04700B667BAED4B259405",1)</f>
        <v>=DISPIMG("ID_5446CDB133D04700B667BAED4B259405",1)</v>
      </c>
      <c r="B17" t="s">
        <v>439</v>
      </c>
      <c r="C17" t="s">
        <v>439</v>
      </c>
      <c r="D17" t="s">
        <v>65</v>
      </c>
      <c r="E17" t="s">
        <v>1017</v>
      </c>
      <c r="F17" t="s">
        <v>1018</v>
      </c>
      <c r="G17" t="s">
        <v>872</v>
      </c>
      <c r="H17" t="s">
        <v>1019</v>
      </c>
      <c r="I17" t="s">
        <v>1020</v>
      </c>
      <c r="J17" t="s">
        <v>974</v>
      </c>
      <c r="K17" t="s">
        <v>850</v>
      </c>
      <c r="L17" t="s">
        <v>851</v>
      </c>
      <c r="M17">
        <v>1263</v>
      </c>
      <c r="N17" t="s">
        <v>852</v>
      </c>
      <c r="O17" t="s">
        <v>1021</v>
      </c>
      <c r="P17" t="s">
        <v>2832</v>
      </c>
      <c r="Q17">
        <v>6</v>
      </c>
      <c r="R17" t="s">
        <v>2841</v>
      </c>
      <c r="S17">
        <v>5.676</v>
      </c>
      <c r="T17" t="s">
        <v>2842</v>
      </c>
      <c r="U17" t="s">
        <v>64</v>
      </c>
      <c r="V17" t="s">
        <v>2812</v>
      </c>
      <c r="W17" t="s">
        <v>2843</v>
      </c>
      <c r="X17" t="s">
        <v>2844</v>
      </c>
      <c r="Y17" t="s">
        <v>2829</v>
      </c>
      <c r="Z17" t="s">
        <v>2817</v>
      </c>
      <c r="AA17" t="s">
        <v>2817</v>
      </c>
      <c r="AB17" t="s">
        <v>2816</v>
      </c>
      <c r="AC17" t="s">
        <v>2818</v>
      </c>
      <c r="AD17" t="s">
        <v>2850</v>
      </c>
      <c r="AE17" t="s">
        <v>2890</v>
      </c>
      <c r="AF17" t="s">
        <v>2831</v>
      </c>
      <c r="AG17" t="s">
        <v>2865</v>
      </c>
      <c r="AH17" t="s">
        <v>2823</v>
      </c>
      <c r="AI17">
        <v>1</v>
      </c>
      <c r="AJ17">
        <v>5320</v>
      </c>
      <c r="AK17">
        <v>850934</v>
      </c>
      <c r="AL17">
        <v>159.95</v>
      </c>
      <c r="AM17">
        <v>0.7262</v>
      </c>
      <c r="AN17">
        <v>19.81</v>
      </c>
      <c r="AO17">
        <v>4.5</v>
      </c>
      <c r="AP17">
        <v>18506</v>
      </c>
      <c r="AQ17">
        <v>0.0596</v>
      </c>
      <c r="AR17">
        <v>317</v>
      </c>
      <c r="AT17" t="s">
        <v>876</v>
      </c>
      <c r="AU17" t="s">
        <v>886</v>
      </c>
      <c r="AV17">
        <v>661</v>
      </c>
      <c r="AW17">
        <v>1</v>
      </c>
      <c r="AX17">
        <v>4</v>
      </c>
      <c r="AY17" t="s">
        <v>867</v>
      </c>
      <c r="AZ17" t="s">
        <v>65</v>
      </c>
      <c r="BA17" t="s">
        <v>65</v>
      </c>
      <c r="BB17" t="s">
        <v>856</v>
      </c>
      <c r="BC17" t="s">
        <v>1022</v>
      </c>
      <c r="BD17" t="s">
        <v>1023</v>
      </c>
    </row>
    <row r="18" ht="20" spans="1:56">
      <c r="A18" t="str">
        <f>_xlfn.DISPIMG("ID_BF719436269342C39120D5BF56B8BEC7",1)</f>
        <v>=DISPIMG("ID_BF719436269342C39120D5BF56B8BEC7",1)</v>
      </c>
      <c r="B18" t="s">
        <v>291</v>
      </c>
      <c r="C18" t="s">
        <v>291</v>
      </c>
      <c r="D18" t="s">
        <v>65</v>
      </c>
      <c r="E18" t="s">
        <v>1024</v>
      </c>
      <c r="F18" t="s">
        <v>1025</v>
      </c>
      <c r="G18" t="s">
        <v>1026</v>
      </c>
      <c r="H18" t="s">
        <v>1027</v>
      </c>
      <c r="I18" t="s">
        <v>1028</v>
      </c>
      <c r="J18" t="s">
        <v>893</v>
      </c>
      <c r="K18" t="s">
        <v>850</v>
      </c>
      <c r="L18" t="s">
        <v>851</v>
      </c>
      <c r="M18">
        <v>1974</v>
      </c>
      <c r="N18" t="s">
        <v>1029</v>
      </c>
      <c r="O18" t="s">
        <v>1030</v>
      </c>
      <c r="P18" t="s">
        <v>2852</v>
      </c>
      <c r="Q18">
        <v>26</v>
      </c>
      <c r="R18" t="s">
        <v>2891</v>
      </c>
      <c r="S18">
        <v>24.596</v>
      </c>
      <c r="T18" t="s">
        <v>2892</v>
      </c>
      <c r="U18" t="s">
        <v>2877</v>
      </c>
      <c r="V18" t="s">
        <v>2893</v>
      </c>
      <c r="W18" t="s">
        <v>2894</v>
      </c>
      <c r="X18" t="s">
        <v>2874</v>
      </c>
      <c r="Y18" t="s">
        <v>2895</v>
      </c>
      <c r="Z18" t="s">
        <v>2817</v>
      </c>
      <c r="AA18" t="s">
        <v>2817</v>
      </c>
      <c r="AB18" t="s">
        <v>2816</v>
      </c>
      <c r="AC18" t="s">
        <v>2845</v>
      </c>
      <c r="AD18" t="s">
        <v>2896</v>
      </c>
      <c r="AE18" t="s">
        <v>2857</v>
      </c>
      <c r="AF18" t="s">
        <v>2831</v>
      </c>
      <c r="AG18" t="s">
        <v>2822</v>
      </c>
      <c r="AH18" t="s">
        <v>2823</v>
      </c>
      <c r="AI18">
        <v>1</v>
      </c>
      <c r="AJ18">
        <v>2970</v>
      </c>
      <c r="AK18">
        <v>858330</v>
      </c>
      <c r="AL18">
        <v>289</v>
      </c>
      <c r="AM18">
        <v>0.7451</v>
      </c>
      <c r="AN18">
        <v>30.31</v>
      </c>
      <c r="AO18">
        <v>4.6</v>
      </c>
      <c r="AP18">
        <v>2118</v>
      </c>
      <c r="AQ18">
        <v>0.0572</v>
      </c>
      <c r="AR18">
        <v>170</v>
      </c>
      <c r="AT18" t="s">
        <v>854</v>
      </c>
      <c r="AU18" t="s">
        <v>1031</v>
      </c>
      <c r="AV18">
        <v>609</v>
      </c>
      <c r="AW18">
        <v>1</v>
      </c>
      <c r="AX18">
        <v>14</v>
      </c>
      <c r="AY18" t="s">
        <v>1032</v>
      </c>
      <c r="AZ18" t="s">
        <v>65</v>
      </c>
      <c r="BA18" t="s">
        <v>1033</v>
      </c>
      <c r="BB18" t="s">
        <v>856</v>
      </c>
      <c r="BC18" t="s">
        <v>1034</v>
      </c>
      <c r="BD18" t="s">
        <v>1035</v>
      </c>
    </row>
    <row r="19" ht="20" spans="1:56">
      <c r="A19" t="str">
        <f>_xlfn.DISPIMG("ID_BA29F564E8A7433287A2991E08F24C7A",1)</f>
        <v>=DISPIMG("ID_BA29F564E8A7433287A2991E08F24C7A",1)</v>
      </c>
      <c r="B19" t="s">
        <v>103</v>
      </c>
      <c r="C19" t="s">
        <v>103</v>
      </c>
      <c r="D19" t="s">
        <v>65</v>
      </c>
      <c r="E19" t="s">
        <v>1047</v>
      </c>
      <c r="F19" t="s">
        <v>1048</v>
      </c>
      <c r="G19" t="s">
        <v>861</v>
      </c>
      <c r="H19" t="s">
        <v>1049</v>
      </c>
      <c r="I19" t="s">
        <v>1050</v>
      </c>
      <c r="J19" t="s">
        <v>1012</v>
      </c>
      <c r="K19" t="s">
        <v>850</v>
      </c>
      <c r="L19" t="s">
        <v>851</v>
      </c>
      <c r="M19">
        <v>1787</v>
      </c>
      <c r="N19" t="s">
        <v>1051</v>
      </c>
      <c r="O19" t="s">
        <v>1052</v>
      </c>
      <c r="P19" t="s">
        <v>2852</v>
      </c>
      <c r="Q19">
        <v>26.4</v>
      </c>
      <c r="R19" t="s">
        <v>2897</v>
      </c>
      <c r="S19">
        <v>24.9744</v>
      </c>
      <c r="T19" t="s">
        <v>2898</v>
      </c>
      <c r="U19" t="s">
        <v>64</v>
      </c>
      <c r="V19" t="s">
        <v>2836</v>
      </c>
      <c r="W19" t="s">
        <v>2849</v>
      </c>
      <c r="X19" t="s">
        <v>2874</v>
      </c>
      <c r="Y19" t="s">
        <v>2829</v>
      </c>
      <c r="Z19" t="s">
        <v>2817</v>
      </c>
      <c r="AA19" t="s">
        <v>2817</v>
      </c>
      <c r="AB19" t="s">
        <v>2817</v>
      </c>
      <c r="AC19" t="s">
        <v>2899</v>
      </c>
      <c r="AD19" t="s">
        <v>2896</v>
      </c>
      <c r="AE19" t="s">
        <v>2890</v>
      </c>
      <c r="AF19" t="s">
        <v>2900</v>
      </c>
      <c r="AG19" t="s">
        <v>2865</v>
      </c>
      <c r="AH19" t="s">
        <v>2823</v>
      </c>
      <c r="AI19">
        <v>1</v>
      </c>
      <c r="AJ19">
        <v>4224</v>
      </c>
      <c r="AK19">
        <v>675797.8</v>
      </c>
      <c r="AL19">
        <v>159.99</v>
      </c>
      <c r="AM19">
        <v>0.6684</v>
      </c>
      <c r="AN19">
        <v>29.05</v>
      </c>
      <c r="AO19">
        <v>4.5</v>
      </c>
      <c r="AP19">
        <v>2434</v>
      </c>
      <c r="AQ19">
        <v>0</v>
      </c>
      <c r="AR19">
        <v>0</v>
      </c>
      <c r="AS19">
        <v>427</v>
      </c>
      <c r="AT19" t="s">
        <v>947</v>
      </c>
      <c r="AU19" t="s">
        <v>1053</v>
      </c>
      <c r="AV19">
        <v>755</v>
      </c>
      <c r="AW19">
        <v>1</v>
      </c>
      <c r="AX19">
        <v>1</v>
      </c>
      <c r="AY19" t="s">
        <v>867</v>
      </c>
      <c r="AZ19" t="s">
        <v>65</v>
      </c>
      <c r="BA19" t="s">
        <v>65</v>
      </c>
      <c r="BB19" t="s">
        <v>856</v>
      </c>
      <c r="BC19" t="s">
        <v>1054</v>
      </c>
      <c r="BD19" t="s">
        <v>1055</v>
      </c>
    </row>
    <row r="20" ht="20" spans="1:56">
      <c r="A20" t="str">
        <f>_xlfn.DISPIMG("ID_3F732B098A8F4924ADB7473A50C75507",1)</f>
        <v>=DISPIMG("ID_3F732B098A8F4924ADB7473A50C75507",1)</v>
      </c>
      <c r="B20" t="s">
        <v>1056</v>
      </c>
      <c r="C20" t="s">
        <v>1056</v>
      </c>
      <c r="D20" t="s">
        <v>65</v>
      </c>
      <c r="E20" t="s">
        <v>1057</v>
      </c>
      <c r="F20" t="s">
        <v>1058</v>
      </c>
      <c r="G20" t="s">
        <v>1059</v>
      </c>
      <c r="H20" t="s">
        <v>1060</v>
      </c>
      <c r="I20" t="s">
        <v>1061</v>
      </c>
      <c r="J20" t="s">
        <v>974</v>
      </c>
      <c r="K20" t="s">
        <v>850</v>
      </c>
      <c r="L20" t="s">
        <v>851</v>
      </c>
      <c r="M20">
        <v>2031</v>
      </c>
      <c r="N20" t="s">
        <v>852</v>
      </c>
      <c r="O20" t="s">
        <v>1062</v>
      </c>
      <c r="P20" t="s">
        <v>2852</v>
      </c>
      <c r="Q20">
        <v>8</v>
      </c>
      <c r="R20" t="s">
        <v>2869</v>
      </c>
      <c r="S20">
        <v>7.568</v>
      </c>
      <c r="T20" t="s">
        <v>2870</v>
      </c>
      <c r="U20" t="s">
        <v>64</v>
      </c>
      <c r="V20" t="s">
        <v>2812</v>
      </c>
      <c r="W20" t="s">
        <v>2813</v>
      </c>
      <c r="X20" t="s">
        <v>2844</v>
      </c>
      <c r="Y20" t="s">
        <v>2815</v>
      </c>
      <c r="Z20" t="s">
        <v>2817</v>
      </c>
      <c r="AA20" t="s">
        <v>2817</v>
      </c>
      <c r="AB20" t="s">
        <v>2816</v>
      </c>
      <c r="AC20" t="s">
        <v>2818</v>
      </c>
      <c r="AD20" t="s">
        <v>2850</v>
      </c>
      <c r="AE20" t="s">
        <v>2830</v>
      </c>
      <c r="AF20" t="s">
        <v>2851</v>
      </c>
      <c r="AG20" t="s">
        <v>2822</v>
      </c>
      <c r="AH20" t="s">
        <v>2823</v>
      </c>
      <c r="AI20">
        <v>1</v>
      </c>
      <c r="AJ20">
        <v>2980</v>
      </c>
      <c r="AK20">
        <v>297970.2</v>
      </c>
      <c r="AL20">
        <v>99.99</v>
      </c>
      <c r="AM20">
        <v>0.6435</v>
      </c>
      <c r="AN20">
        <v>20.65</v>
      </c>
      <c r="AO20">
        <v>4.6</v>
      </c>
      <c r="AP20">
        <v>7320</v>
      </c>
      <c r="AQ20">
        <v>0.0725</v>
      </c>
      <c r="AR20">
        <v>216</v>
      </c>
      <c r="AT20" t="s">
        <v>854</v>
      </c>
      <c r="AU20" t="s">
        <v>1063</v>
      </c>
      <c r="AV20">
        <v>949</v>
      </c>
      <c r="AW20">
        <v>1</v>
      </c>
      <c r="AX20">
        <v>3</v>
      </c>
      <c r="AY20" t="s">
        <v>867</v>
      </c>
      <c r="AZ20" t="s">
        <v>65</v>
      </c>
      <c r="BA20" t="s">
        <v>65</v>
      </c>
      <c r="BB20" t="s">
        <v>856</v>
      </c>
      <c r="BC20" t="s">
        <v>1064</v>
      </c>
      <c r="BD20" t="s">
        <v>1065</v>
      </c>
    </row>
    <row r="21" ht="20" spans="1:56">
      <c r="A21" t="str">
        <f>_xlfn.DISPIMG("ID_6D805549D46F4147BB727A2EE17E2C42",1)</f>
        <v>=DISPIMG("ID_6D805549D46F4147BB727A2EE17E2C42",1)</v>
      </c>
      <c r="B21" t="s">
        <v>1066</v>
      </c>
      <c r="C21" t="s">
        <v>1066</v>
      </c>
      <c r="D21" t="s">
        <v>65</v>
      </c>
      <c r="E21" t="s">
        <v>1067</v>
      </c>
      <c r="F21" t="s">
        <v>1068</v>
      </c>
      <c r="G21" t="s">
        <v>1069</v>
      </c>
      <c r="H21" t="s">
        <v>1070</v>
      </c>
      <c r="I21" t="s">
        <v>1071</v>
      </c>
      <c r="J21" t="s">
        <v>864</v>
      </c>
      <c r="K21" t="s">
        <v>850</v>
      </c>
      <c r="L21" t="s">
        <v>851</v>
      </c>
      <c r="M21">
        <v>2398</v>
      </c>
      <c r="N21" t="s">
        <v>852</v>
      </c>
      <c r="O21" t="s">
        <v>1072</v>
      </c>
      <c r="P21" t="s">
        <v>2809</v>
      </c>
      <c r="Q21">
        <v>2.1</v>
      </c>
      <c r="R21" t="s">
        <v>2901</v>
      </c>
      <c r="S21">
        <v>1.9866</v>
      </c>
      <c r="T21" t="s">
        <v>2902</v>
      </c>
      <c r="U21" t="s">
        <v>64</v>
      </c>
      <c r="V21" t="s">
        <v>2812</v>
      </c>
      <c r="W21" t="s">
        <v>2843</v>
      </c>
      <c r="X21" t="s">
        <v>2862</v>
      </c>
      <c r="Y21" t="s">
        <v>2903</v>
      </c>
      <c r="Z21" t="s">
        <v>2816</v>
      </c>
      <c r="AA21" t="s">
        <v>2816</v>
      </c>
      <c r="AB21" t="s">
        <v>2816</v>
      </c>
      <c r="AC21" t="s">
        <v>2845</v>
      </c>
      <c r="AD21" t="s">
        <v>2819</v>
      </c>
      <c r="AE21" t="s">
        <v>2864</v>
      </c>
      <c r="AF21" t="s">
        <v>2821</v>
      </c>
      <c r="AG21" t="s">
        <v>2865</v>
      </c>
      <c r="AH21" t="s">
        <v>2823</v>
      </c>
      <c r="AI21">
        <v>1</v>
      </c>
      <c r="AJ21">
        <v>1574</v>
      </c>
      <c r="AK21">
        <v>62409.1</v>
      </c>
      <c r="AL21">
        <v>39.65</v>
      </c>
      <c r="AM21">
        <v>0.5093</v>
      </c>
      <c r="AN21">
        <v>13.51</v>
      </c>
      <c r="AO21">
        <v>4.5</v>
      </c>
      <c r="AP21">
        <v>5147</v>
      </c>
      <c r="AQ21">
        <v>0.2255</v>
      </c>
      <c r="AR21">
        <v>355</v>
      </c>
      <c r="AT21" t="s">
        <v>876</v>
      </c>
      <c r="AU21" t="s">
        <v>1073</v>
      </c>
      <c r="AV21">
        <v>1204</v>
      </c>
      <c r="AW21">
        <v>1</v>
      </c>
      <c r="AX21">
        <v>5</v>
      </c>
      <c r="AY21" t="s">
        <v>867</v>
      </c>
      <c r="AZ21" t="s">
        <v>65</v>
      </c>
      <c r="BA21" t="s">
        <v>65</v>
      </c>
      <c r="BB21" t="s">
        <v>856</v>
      </c>
      <c r="BC21" t="s">
        <v>1074</v>
      </c>
      <c r="BD21" t="s">
        <v>1075</v>
      </c>
    </row>
    <row r="22" ht="20" spans="1:56">
      <c r="A22" t="str">
        <f>_xlfn.DISPIMG("ID_2586E579DE7440F294699E86D562FB05",1)</f>
        <v>=DISPIMG("ID_2586E579DE7440F294699E86D562FB05",1)</v>
      </c>
      <c r="B22" t="s">
        <v>550</v>
      </c>
      <c r="C22" t="s">
        <v>550</v>
      </c>
      <c r="D22" t="s">
        <v>65</v>
      </c>
      <c r="E22" t="s">
        <v>1076</v>
      </c>
      <c r="F22" t="s">
        <v>1077</v>
      </c>
      <c r="G22" t="s">
        <v>1059</v>
      </c>
      <c r="H22" t="s">
        <v>1078</v>
      </c>
      <c r="I22" t="s">
        <v>1079</v>
      </c>
      <c r="J22" t="s">
        <v>974</v>
      </c>
      <c r="K22" t="s">
        <v>850</v>
      </c>
      <c r="L22" t="s">
        <v>851</v>
      </c>
      <c r="M22">
        <v>2256</v>
      </c>
      <c r="N22" t="s">
        <v>852</v>
      </c>
      <c r="O22" t="s">
        <v>1062</v>
      </c>
      <c r="P22" t="s">
        <v>2809</v>
      </c>
      <c r="Q22">
        <v>10</v>
      </c>
      <c r="R22" t="s">
        <v>2833</v>
      </c>
      <c r="S22">
        <v>9.46</v>
      </c>
      <c r="T22" t="s">
        <v>2834</v>
      </c>
      <c r="U22" t="s">
        <v>64</v>
      </c>
      <c r="V22" t="s">
        <v>2904</v>
      </c>
      <c r="W22" t="s">
        <v>2905</v>
      </c>
      <c r="X22" t="s">
        <v>2844</v>
      </c>
      <c r="Y22" t="s">
        <v>2903</v>
      </c>
      <c r="Z22" t="s">
        <v>2816</v>
      </c>
      <c r="AA22" t="s">
        <v>2817</v>
      </c>
      <c r="AB22" t="s">
        <v>2816</v>
      </c>
      <c r="AC22" t="s">
        <v>2818</v>
      </c>
      <c r="AD22" t="s">
        <v>2889</v>
      </c>
      <c r="AE22" t="s">
        <v>2906</v>
      </c>
      <c r="AF22" t="s">
        <v>2851</v>
      </c>
      <c r="AG22" t="s">
        <v>2865</v>
      </c>
      <c r="AH22" t="s">
        <v>2823</v>
      </c>
      <c r="AI22">
        <v>1</v>
      </c>
      <c r="AJ22">
        <v>3245</v>
      </c>
      <c r="AK22">
        <v>389367.53</v>
      </c>
      <c r="AL22">
        <v>119.99</v>
      </c>
      <c r="AM22">
        <v>0.6744</v>
      </c>
      <c r="AN22">
        <v>21.07</v>
      </c>
      <c r="AO22">
        <v>4.3</v>
      </c>
      <c r="AP22">
        <v>10832</v>
      </c>
      <c r="AQ22">
        <v>0.0961</v>
      </c>
      <c r="AR22">
        <v>312</v>
      </c>
      <c r="AS22">
        <v>26</v>
      </c>
      <c r="AT22" t="s">
        <v>854</v>
      </c>
      <c r="AU22" t="s">
        <v>1063</v>
      </c>
      <c r="AV22">
        <v>949</v>
      </c>
      <c r="AW22">
        <v>1</v>
      </c>
      <c r="AX22">
        <v>8</v>
      </c>
      <c r="AY22" t="s">
        <v>867</v>
      </c>
      <c r="AZ22" t="s">
        <v>65</v>
      </c>
      <c r="BA22" t="s">
        <v>65</v>
      </c>
      <c r="BB22" t="s">
        <v>856</v>
      </c>
      <c r="BC22" t="s">
        <v>1080</v>
      </c>
      <c r="BD22" t="s">
        <v>1081</v>
      </c>
    </row>
    <row r="23" ht="20" spans="1:56">
      <c r="A23" t="str">
        <f>_xlfn.DISPIMG("ID_BF11A2B6EF6748E79B80B28F745B707C",1)</f>
        <v>=DISPIMG("ID_BF11A2B6EF6748E79B80B28F745B707C",1)</v>
      </c>
      <c r="B23" t="s">
        <v>1082</v>
      </c>
      <c r="C23" t="s">
        <v>1082</v>
      </c>
      <c r="D23" t="s">
        <v>65</v>
      </c>
      <c r="E23" t="s">
        <v>1083</v>
      </c>
      <c r="F23" t="s">
        <v>1084</v>
      </c>
      <c r="G23" t="s">
        <v>846</v>
      </c>
      <c r="H23" t="s">
        <v>1085</v>
      </c>
      <c r="I23" t="s">
        <v>1086</v>
      </c>
      <c r="J23" t="s">
        <v>974</v>
      </c>
      <c r="K23" t="s">
        <v>850</v>
      </c>
      <c r="L23" t="s">
        <v>851</v>
      </c>
      <c r="M23">
        <v>2635</v>
      </c>
      <c r="N23" t="s">
        <v>852</v>
      </c>
      <c r="O23" t="s">
        <v>1087</v>
      </c>
      <c r="P23" t="s">
        <v>2832</v>
      </c>
      <c r="Q23">
        <v>8</v>
      </c>
      <c r="R23" t="s">
        <v>2869</v>
      </c>
      <c r="S23">
        <v>7.568</v>
      </c>
      <c r="T23" t="s">
        <v>2870</v>
      </c>
      <c r="U23" t="s">
        <v>2907</v>
      </c>
      <c r="V23" t="s">
        <v>2812</v>
      </c>
      <c r="W23" t="s">
        <v>2849</v>
      </c>
      <c r="X23" t="s">
        <v>2908</v>
      </c>
      <c r="Y23" t="s">
        <v>2815</v>
      </c>
      <c r="Z23" t="s">
        <v>2816</v>
      </c>
      <c r="AA23" t="s">
        <v>2817</v>
      </c>
      <c r="AB23" t="s">
        <v>2816</v>
      </c>
      <c r="AC23" t="s">
        <v>2845</v>
      </c>
      <c r="AD23" t="s">
        <v>2909</v>
      </c>
      <c r="AE23" t="s">
        <v>2857</v>
      </c>
      <c r="AF23" t="s">
        <v>2821</v>
      </c>
      <c r="AG23" t="s">
        <v>2822</v>
      </c>
      <c r="AH23" t="s">
        <v>2823</v>
      </c>
      <c r="AI23">
        <v>1</v>
      </c>
      <c r="AJ23">
        <v>3280</v>
      </c>
      <c r="AK23">
        <v>721436</v>
      </c>
      <c r="AL23">
        <v>219.95</v>
      </c>
      <c r="AM23">
        <v>0.716</v>
      </c>
      <c r="AN23">
        <v>29.47</v>
      </c>
      <c r="AO23">
        <v>4.8</v>
      </c>
      <c r="AP23">
        <v>33409</v>
      </c>
      <c r="AQ23">
        <v>0.0518</v>
      </c>
      <c r="AR23">
        <v>170</v>
      </c>
      <c r="AT23" t="s">
        <v>876</v>
      </c>
      <c r="AU23" t="s">
        <v>1088</v>
      </c>
      <c r="AV23">
        <v>1340</v>
      </c>
      <c r="AW23">
        <v>1</v>
      </c>
      <c r="AX23">
        <v>9</v>
      </c>
      <c r="AY23" t="s">
        <v>867</v>
      </c>
      <c r="AZ23" t="s">
        <v>65</v>
      </c>
      <c r="BA23" t="s">
        <v>65</v>
      </c>
      <c r="BB23" t="s">
        <v>856</v>
      </c>
      <c r="BC23" t="s">
        <v>1089</v>
      </c>
      <c r="BD23" t="s">
        <v>1090</v>
      </c>
    </row>
    <row r="24" ht="20" spans="1:56">
      <c r="A24" t="str">
        <f>_xlfn.DISPIMG("ID_EB1704935DA846C3A75C121E51387F9F",1)</f>
        <v>=DISPIMG("ID_EB1704935DA846C3A75C121E51387F9F",1)</v>
      </c>
      <c r="B24" t="s">
        <v>1091</v>
      </c>
      <c r="C24" t="s">
        <v>1091</v>
      </c>
      <c r="D24" t="s">
        <v>65</v>
      </c>
      <c r="E24" t="s">
        <v>1092</v>
      </c>
      <c r="F24" t="s">
        <v>1093</v>
      </c>
      <c r="G24" t="s">
        <v>1094</v>
      </c>
      <c r="H24" t="s">
        <v>1095</v>
      </c>
      <c r="I24" t="s">
        <v>1096</v>
      </c>
      <c r="J24" t="s">
        <v>974</v>
      </c>
      <c r="K24" t="s">
        <v>850</v>
      </c>
      <c r="L24" t="s">
        <v>851</v>
      </c>
      <c r="M24">
        <v>2469</v>
      </c>
      <c r="N24" t="s">
        <v>852</v>
      </c>
      <c r="O24" t="s">
        <v>1097</v>
      </c>
      <c r="P24" t="s">
        <v>2809</v>
      </c>
      <c r="Q24">
        <v>26</v>
      </c>
      <c r="R24" t="s">
        <v>2891</v>
      </c>
      <c r="S24">
        <v>24.596</v>
      </c>
      <c r="T24" t="s">
        <v>2892</v>
      </c>
      <c r="U24" t="s">
        <v>2877</v>
      </c>
      <c r="V24" t="s">
        <v>2836</v>
      </c>
      <c r="W24" t="s">
        <v>2843</v>
      </c>
      <c r="X24" t="s">
        <v>2910</v>
      </c>
      <c r="Y24" t="s">
        <v>2829</v>
      </c>
      <c r="Z24" t="s">
        <v>2816</v>
      </c>
      <c r="AA24" t="s">
        <v>2817</v>
      </c>
      <c r="AB24" t="s">
        <v>2816</v>
      </c>
      <c r="AC24" t="s">
        <v>2845</v>
      </c>
      <c r="AD24" t="s">
        <v>2896</v>
      </c>
      <c r="AE24" t="s">
        <v>2857</v>
      </c>
      <c r="AF24" t="s">
        <v>2867</v>
      </c>
      <c r="AG24" t="s">
        <v>2865</v>
      </c>
      <c r="AH24" t="s">
        <v>2911</v>
      </c>
      <c r="AI24">
        <v>1</v>
      </c>
      <c r="AJ24">
        <v>2153</v>
      </c>
      <c r="AK24">
        <v>516698.47</v>
      </c>
      <c r="AL24">
        <v>329.99</v>
      </c>
      <c r="AM24">
        <v>0.7342</v>
      </c>
      <c r="AN24">
        <v>27.79</v>
      </c>
      <c r="AO24">
        <v>4.3</v>
      </c>
      <c r="AP24">
        <v>764</v>
      </c>
      <c r="AQ24">
        <v>0.0446</v>
      </c>
      <c r="AR24">
        <v>96</v>
      </c>
      <c r="AS24">
        <v>163</v>
      </c>
      <c r="AT24" t="s">
        <v>1098</v>
      </c>
      <c r="AU24" t="s">
        <v>1099</v>
      </c>
      <c r="AV24">
        <v>535</v>
      </c>
      <c r="AW24">
        <v>1</v>
      </c>
      <c r="AX24">
        <v>4</v>
      </c>
      <c r="AY24" t="s">
        <v>65</v>
      </c>
      <c r="AZ24" t="s">
        <v>65</v>
      </c>
      <c r="BA24" t="s">
        <v>65</v>
      </c>
      <c r="BB24" t="s">
        <v>856</v>
      </c>
      <c r="BC24" t="s">
        <v>1100</v>
      </c>
      <c r="BD24" t="s">
        <v>1101</v>
      </c>
    </row>
    <row r="25" ht="20" spans="1:56">
      <c r="A25" t="str">
        <f>_xlfn.DISPIMG("ID_5CBE838777C640E0BE71973DFED62FB4",1)</f>
        <v>=DISPIMG("ID_5CBE838777C640E0BE71973DFED62FB4",1)</v>
      </c>
      <c r="B25" t="s">
        <v>292</v>
      </c>
      <c r="C25" t="s">
        <v>292</v>
      </c>
      <c r="D25" t="s">
        <v>65</v>
      </c>
      <c r="E25" t="s">
        <v>1102</v>
      </c>
      <c r="F25" t="s">
        <v>1103</v>
      </c>
      <c r="G25" t="s">
        <v>1104</v>
      </c>
      <c r="H25" t="s">
        <v>1105</v>
      </c>
      <c r="I25" t="s">
        <v>1106</v>
      </c>
      <c r="J25" t="s">
        <v>934</v>
      </c>
      <c r="K25" t="s">
        <v>850</v>
      </c>
      <c r="L25" t="s">
        <v>851</v>
      </c>
      <c r="M25">
        <v>3010</v>
      </c>
      <c r="N25" t="s">
        <v>852</v>
      </c>
      <c r="O25" t="s">
        <v>1107</v>
      </c>
      <c r="P25" t="s">
        <v>2852</v>
      </c>
      <c r="Q25">
        <v>26</v>
      </c>
      <c r="R25" t="s">
        <v>2891</v>
      </c>
      <c r="S25">
        <v>24.596</v>
      </c>
      <c r="T25" t="s">
        <v>2892</v>
      </c>
      <c r="U25" t="s">
        <v>2877</v>
      </c>
      <c r="V25" t="s">
        <v>2836</v>
      </c>
      <c r="W25" t="s">
        <v>2849</v>
      </c>
      <c r="X25" t="s">
        <v>2828</v>
      </c>
      <c r="Y25" t="s">
        <v>2829</v>
      </c>
      <c r="Z25" t="s">
        <v>2817</v>
      </c>
      <c r="AA25" t="s">
        <v>2817</v>
      </c>
      <c r="AB25" t="s">
        <v>2816</v>
      </c>
      <c r="AC25" t="s">
        <v>2912</v>
      </c>
      <c r="AD25" t="s">
        <v>2896</v>
      </c>
      <c r="AE25" t="s">
        <v>2913</v>
      </c>
      <c r="AF25" t="s">
        <v>2821</v>
      </c>
      <c r="AG25" t="s">
        <v>2865</v>
      </c>
      <c r="AH25" t="s">
        <v>2823</v>
      </c>
      <c r="AI25">
        <v>1</v>
      </c>
      <c r="AJ25">
        <v>2205</v>
      </c>
      <c r="AK25">
        <v>352777.97</v>
      </c>
      <c r="AL25">
        <v>163</v>
      </c>
      <c r="AM25">
        <v>0.6973</v>
      </c>
      <c r="AN25">
        <v>24.43</v>
      </c>
      <c r="AO25">
        <v>4.5</v>
      </c>
      <c r="AP25">
        <v>13970</v>
      </c>
      <c r="AQ25">
        <v>0.0807</v>
      </c>
      <c r="AR25">
        <v>178</v>
      </c>
      <c r="AS25">
        <v>965</v>
      </c>
      <c r="AT25" t="s">
        <v>876</v>
      </c>
      <c r="AU25" t="s">
        <v>1108</v>
      </c>
      <c r="AV25">
        <v>1505</v>
      </c>
      <c r="AW25">
        <v>1</v>
      </c>
      <c r="AX25">
        <v>8</v>
      </c>
      <c r="AY25" t="s">
        <v>1109</v>
      </c>
      <c r="AZ25" t="s">
        <v>1110</v>
      </c>
      <c r="BA25" t="s">
        <v>1111</v>
      </c>
      <c r="BB25" t="s">
        <v>856</v>
      </c>
      <c r="BC25" t="s">
        <v>1112</v>
      </c>
      <c r="BD25" t="s">
        <v>1113</v>
      </c>
    </row>
    <row r="26" ht="20" spans="1:56">
      <c r="A26" t="str">
        <f>_xlfn.DISPIMG("ID_FEB60C90BA9940408FA73B1AA52588A7",1)</f>
        <v>=DISPIMG("ID_FEB60C90BA9940408FA73B1AA52588A7",1)</v>
      </c>
      <c r="B26" t="s">
        <v>155</v>
      </c>
      <c r="C26" t="s">
        <v>155</v>
      </c>
      <c r="D26" t="s">
        <v>65</v>
      </c>
      <c r="E26" t="s">
        <v>1114</v>
      </c>
      <c r="F26" t="s">
        <v>1115</v>
      </c>
      <c r="G26" t="s">
        <v>1059</v>
      </c>
      <c r="H26" t="s">
        <v>1116</v>
      </c>
      <c r="I26" t="s">
        <v>1117</v>
      </c>
      <c r="J26" t="s">
        <v>893</v>
      </c>
      <c r="K26" t="s">
        <v>850</v>
      </c>
      <c r="L26" t="s">
        <v>851</v>
      </c>
      <c r="M26">
        <v>2720</v>
      </c>
      <c r="N26" t="s">
        <v>852</v>
      </c>
      <c r="O26" t="s">
        <v>1087</v>
      </c>
      <c r="P26" t="s">
        <v>2809</v>
      </c>
      <c r="Q26">
        <v>2</v>
      </c>
      <c r="R26" t="s">
        <v>2914</v>
      </c>
      <c r="S26">
        <v>1.892</v>
      </c>
      <c r="T26" t="s">
        <v>2915</v>
      </c>
      <c r="U26" t="s">
        <v>64</v>
      </c>
      <c r="V26" t="s">
        <v>2812</v>
      </c>
      <c r="W26" t="s">
        <v>2861</v>
      </c>
      <c r="X26" t="s">
        <v>2862</v>
      </c>
      <c r="Y26" t="s">
        <v>2815</v>
      </c>
      <c r="Z26" t="s">
        <v>2816</v>
      </c>
      <c r="AA26" t="s">
        <v>2816</v>
      </c>
      <c r="AB26" t="s">
        <v>2816</v>
      </c>
      <c r="AC26" t="s">
        <v>2863</v>
      </c>
      <c r="AD26" t="s">
        <v>2819</v>
      </c>
      <c r="AE26" t="s">
        <v>2864</v>
      </c>
      <c r="AF26" t="s">
        <v>2821</v>
      </c>
      <c r="AG26" t="s">
        <v>2822</v>
      </c>
      <c r="AH26" t="s">
        <v>2823</v>
      </c>
      <c r="AI26">
        <v>1</v>
      </c>
      <c r="AJ26">
        <v>2946</v>
      </c>
      <c r="AK26">
        <v>117810.55</v>
      </c>
      <c r="AL26">
        <v>39.99</v>
      </c>
      <c r="AM26">
        <v>0.4807</v>
      </c>
      <c r="AN26">
        <v>14.77</v>
      </c>
      <c r="AO26">
        <v>4.6</v>
      </c>
      <c r="AP26">
        <v>21089</v>
      </c>
      <c r="AQ26">
        <v>0.1198</v>
      </c>
      <c r="AR26">
        <v>353</v>
      </c>
      <c r="AT26" t="s">
        <v>876</v>
      </c>
      <c r="AU26" t="s">
        <v>1118</v>
      </c>
      <c r="AV26">
        <v>1515</v>
      </c>
      <c r="AW26">
        <v>1</v>
      </c>
      <c r="AX26">
        <v>3</v>
      </c>
      <c r="AY26" t="s">
        <v>867</v>
      </c>
      <c r="AZ26" t="s">
        <v>65</v>
      </c>
      <c r="BA26" t="s">
        <v>65</v>
      </c>
      <c r="BB26" t="s">
        <v>856</v>
      </c>
      <c r="BC26" t="s">
        <v>1119</v>
      </c>
      <c r="BD26" t="s">
        <v>1120</v>
      </c>
    </row>
    <row r="27" ht="20" spans="1:56">
      <c r="A27" t="str">
        <f>_xlfn.DISPIMG("ID_655B8479D0FA49AC8940B053D0F4B56C",1)</f>
        <v>=DISPIMG("ID_655B8479D0FA49AC8940B053D0F4B56C",1)</v>
      </c>
      <c r="B27" t="s">
        <v>1121</v>
      </c>
      <c r="C27" t="s">
        <v>1121</v>
      </c>
      <c r="D27" t="s">
        <v>65</v>
      </c>
      <c r="E27" t="s">
        <v>1122</v>
      </c>
      <c r="F27" t="s">
        <v>1123</v>
      </c>
      <c r="G27" t="s">
        <v>861</v>
      </c>
      <c r="H27" t="s">
        <v>1124</v>
      </c>
      <c r="I27" t="s">
        <v>1125</v>
      </c>
      <c r="J27" t="s">
        <v>974</v>
      </c>
      <c r="K27" t="s">
        <v>850</v>
      </c>
      <c r="L27" t="s">
        <v>851</v>
      </c>
      <c r="M27">
        <v>2922</v>
      </c>
      <c r="N27" t="s">
        <v>852</v>
      </c>
      <c r="O27" t="s">
        <v>1107</v>
      </c>
      <c r="P27" t="s">
        <v>2824</v>
      </c>
      <c r="Q27">
        <v>2.1</v>
      </c>
      <c r="R27" t="s">
        <v>2901</v>
      </c>
      <c r="S27">
        <v>1.9866</v>
      </c>
      <c r="T27" t="s">
        <v>2902</v>
      </c>
      <c r="U27" t="s">
        <v>64</v>
      </c>
      <c r="V27" t="s">
        <v>2812</v>
      </c>
      <c r="W27" t="s">
        <v>2813</v>
      </c>
      <c r="X27" t="s">
        <v>2910</v>
      </c>
      <c r="Y27" t="s">
        <v>2815</v>
      </c>
      <c r="Z27" t="s">
        <v>2816</v>
      </c>
      <c r="AA27" t="s">
        <v>2817</v>
      </c>
      <c r="AB27" t="s">
        <v>2816</v>
      </c>
      <c r="AC27" t="s">
        <v>2818</v>
      </c>
      <c r="AD27" t="s">
        <v>2819</v>
      </c>
      <c r="AE27" t="s">
        <v>2916</v>
      </c>
      <c r="AF27" t="s">
        <v>2917</v>
      </c>
      <c r="AG27" t="s">
        <v>2822</v>
      </c>
      <c r="AH27" t="s">
        <v>2823</v>
      </c>
      <c r="AI27">
        <v>1</v>
      </c>
      <c r="AJ27">
        <v>17432</v>
      </c>
      <c r="AK27">
        <v>871425.7</v>
      </c>
      <c r="AL27">
        <v>49.99</v>
      </c>
      <c r="AM27">
        <v>0.5881</v>
      </c>
      <c r="AN27">
        <v>13.09</v>
      </c>
      <c r="AO27">
        <v>4.7</v>
      </c>
      <c r="AP27">
        <v>2387</v>
      </c>
      <c r="AQ27">
        <v>0</v>
      </c>
      <c r="AR27">
        <v>0</v>
      </c>
      <c r="AT27" t="s">
        <v>854</v>
      </c>
      <c r="AU27" t="s">
        <v>1126</v>
      </c>
      <c r="AV27">
        <v>10</v>
      </c>
      <c r="AW27">
        <v>1</v>
      </c>
      <c r="AX27">
        <v>1</v>
      </c>
      <c r="AY27" t="s">
        <v>867</v>
      </c>
      <c r="AZ27" t="s">
        <v>65</v>
      </c>
      <c r="BA27" t="s">
        <v>65</v>
      </c>
      <c r="BB27" t="s">
        <v>856</v>
      </c>
      <c r="BC27" t="s">
        <v>1127</v>
      </c>
      <c r="BD27" t="s">
        <v>1128</v>
      </c>
    </row>
    <row r="28" ht="20" spans="1:56">
      <c r="A28" t="str">
        <f>_xlfn.DISPIMG("ID_5F705A5FDC144044AABB34A2F402B40B",1)</f>
        <v>=DISPIMG("ID_5F705A5FDC144044AABB34A2F402B40B",1)</v>
      </c>
      <c r="B28" t="s">
        <v>1129</v>
      </c>
      <c r="C28" t="s">
        <v>1129</v>
      </c>
      <c r="D28" t="s">
        <v>65</v>
      </c>
      <c r="E28" t="s">
        <v>1130</v>
      </c>
      <c r="F28" t="s">
        <v>1131</v>
      </c>
      <c r="G28" t="s">
        <v>1132</v>
      </c>
      <c r="H28" t="s">
        <v>1133</v>
      </c>
      <c r="I28" t="s">
        <v>1134</v>
      </c>
      <c r="J28" t="s">
        <v>934</v>
      </c>
      <c r="K28" t="s">
        <v>850</v>
      </c>
      <c r="L28" t="s">
        <v>851</v>
      </c>
      <c r="M28">
        <v>3655</v>
      </c>
      <c r="N28" t="s">
        <v>852</v>
      </c>
      <c r="O28" t="s">
        <v>1135</v>
      </c>
      <c r="P28" t="s">
        <v>2809</v>
      </c>
      <c r="Q28">
        <v>4.31578947368421</v>
      </c>
      <c r="R28" t="s">
        <v>2918</v>
      </c>
      <c r="S28">
        <v>4.08273684210526</v>
      </c>
      <c r="T28" t="s">
        <v>2919</v>
      </c>
      <c r="U28" t="s">
        <v>64</v>
      </c>
      <c r="V28" t="s">
        <v>2812</v>
      </c>
      <c r="W28" t="s">
        <v>2920</v>
      </c>
      <c r="X28" t="s">
        <v>2921</v>
      </c>
      <c r="Y28" t="s">
        <v>2815</v>
      </c>
      <c r="Z28" t="s">
        <v>2816</v>
      </c>
      <c r="AA28" t="s">
        <v>2817</v>
      </c>
      <c r="AB28" t="s">
        <v>2817</v>
      </c>
      <c r="AC28" t="s">
        <v>2922</v>
      </c>
      <c r="AD28" t="s">
        <v>2819</v>
      </c>
      <c r="AE28" t="s">
        <v>2887</v>
      </c>
      <c r="AF28" t="s">
        <v>2831</v>
      </c>
      <c r="AG28" t="s">
        <v>2822</v>
      </c>
      <c r="AH28" t="s">
        <v>2823</v>
      </c>
      <c r="AI28">
        <v>1</v>
      </c>
      <c r="AJ28">
        <v>1488</v>
      </c>
      <c r="AK28">
        <v>133905.11</v>
      </c>
      <c r="AL28">
        <v>149.95</v>
      </c>
      <c r="AM28">
        <v>0.6672</v>
      </c>
      <c r="AN28">
        <v>16.45</v>
      </c>
      <c r="AO28">
        <v>4.6</v>
      </c>
      <c r="AP28">
        <v>1069</v>
      </c>
      <c r="AQ28">
        <v>0.0296</v>
      </c>
      <c r="AR28">
        <v>44</v>
      </c>
      <c r="AT28" t="s">
        <v>876</v>
      </c>
      <c r="AU28" t="s">
        <v>1136</v>
      </c>
      <c r="AV28">
        <v>725</v>
      </c>
      <c r="AW28">
        <v>1</v>
      </c>
      <c r="AX28">
        <v>4</v>
      </c>
      <c r="AY28" t="s">
        <v>867</v>
      </c>
      <c r="AZ28" t="s">
        <v>65</v>
      </c>
      <c r="BA28" t="s">
        <v>65</v>
      </c>
      <c r="BB28" t="s">
        <v>856</v>
      </c>
      <c r="BC28" t="s">
        <v>1137</v>
      </c>
      <c r="BD28" t="s">
        <v>1138</v>
      </c>
    </row>
    <row r="29" ht="20" spans="1:56">
      <c r="A29" t="str">
        <f>_xlfn.DISPIMG("ID_A56FAFEB25634B9FB769A1E7444FBCA9",1)</f>
        <v>=DISPIMG("ID_A56FAFEB25634B9FB769A1E7444FBCA9",1)</v>
      </c>
      <c r="B29" t="s">
        <v>270</v>
      </c>
      <c r="C29" t="s">
        <v>270</v>
      </c>
      <c r="D29" t="s">
        <v>65</v>
      </c>
      <c r="E29" t="s">
        <v>1139</v>
      </c>
      <c r="F29" t="s">
        <v>1140</v>
      </c>
      <c r="G29" t="s">
        <v>1141</v>
      </c>
      <c r="H29" t="s">
        <v>1142</v>
      </c>
      <c r="I29" t="s">
        <v>1143</v>
      </c>
      <c r="J29" t="s">
        <v>934</v>
      </c>
      <c r="K29" t="s">
        <v>850</v>
      </c>
      <c r="L29" t="s">
        <v>851</v>
      </c>
      <c r="M29">
        <v>3139</v>
      </c>
      <c r="N29" t="s">
        <v>852</v>
      </c>
      <c r="O29" t="s">
        <v>1144</v>
      </c>
      <c r="P29" t="s">
        <v>2852</v>
      </c>
      <c r="Q29">
        <v>26</v>
      </c>
      <c r="R29" t="s">
        <v>2891</v>
      </c>
      <c r="S29">
        <v>24.596</v>
      </c>
      <c r="T29" t="s">
        <v>2892</v>
      </c>
      <c r="U29" t="s">
        <v>2877</v>
      </c>
      <c r="V29" t="s">
        <v>2923</v>
      </c>
      <c r="W29" t="s">
        <v>2894</v>
      </c>
      <c r="X29" t="s">
        <v>2844</v>
      </c>
      <c r="Y29" t="s">
        <v>2895</v>
      </c>
      <c r="Z29" t="s">
        <v>2817</v>
      </c>
      <c r="AA29" t="s">
        <v>2817</v>
      </c>
      <c r="AB29" t="s">
        <v>2816</v>
      </c>
      <c r="AC29" t="s">
        <v>2912</v>
      </c>
      <c r="AD29" t="s">
        <v>2896</v>
      </c>
      <c r="AE29" t="s">
        <v>2924</v>
      </c>
      <c r="AF29" t="s">
        <v>2851</v>
      </c>
      <c r="AG29" t="s">
        <v>2865</v>
      </c>
      <c r="AH29" t="s">
        <v>2823</v>
      </c>
      <c r="AI29">
        <v>1</v>
      </c>
      <c r="AJ29">
        <v>1034</v>
      </c>
      <c r="AK29">
        <v>185086</v>
      </c>
      <c r="AL29">
        <v>179</v>
      </c>
      <c r="AM29">
        <v>0.7018</v>
      </c>
      <c r="AN29">
        <v>26.53</v>
      </c>
      <c r="AO29">
        <v>4.4</v>
      </c>
      <c r="AP29">
        <v>10571</v>
      </c>
      <c r="AQ29">
        <v>0.1644</v>
      </c>
      <c r="AR29">
        <v>170</v>
      </c>
      <c r="AT29" t="s">
        <v>947</v>
      </c>
      <c r="AU29" t="s">
        <v>1145</v>
      </c>
      <c r="AV29">
        <v>1084</v>
      </c>
      <c r="AW29">
        <v>1</v>
      </c>
      <c r="AX29">
        <v>15</v>
      </c>
      <c r="AY29" t="s">
        <v>1146</v>
      </c>
      <c r="AZ29" t="s">
        <v>1110</v>
      </c>
      <c r="BA29" t="s">
        <v>1147</v>
      </c>
      <c r="BB29" t="s">
        <v>856</v>
      </c>
      <c r="BC29" t="s">
        <v>1148</v>
      </c>
      <c r="BD29" t="s">
        <v>1149</v>
      </c>
    </row>
    <row r="30" ht="20" spans="1:56">
      <c r="A30" t="str">
        <f>_xlfn.DISPIMG("ID_2B121DD4114D4409B3077D94682C9E9A",1)</f>
        <v>=DISPIMG("ID_2B121DD4114D4409B3077D94682C9E9A",1)</v>
      </c>
      <c r="B30" t="s">
        <v>353</v>
      </c>
      <c r="C30" t="s">
        <v>353</v>
      </c>
      <c r="D30" t="s">
        <v>65</v>
      </c>
      <c r="E30" t="s">
        <v>1150</v>
      </c>
      <c r="F30" t="s">
        <v>1151</v>
      </c>
      <c r="G30" t="s">
        <v>1152</v>
      </c>
      <c r="H30" t="s">
        <v>1153</v>
      </c>
      <c r="I30" t="s">
        <v>1154</v>
      </c>
      <c r="J30" t="s">
        <v>893</v>
      </c>
      <c r="K30" t="s">
        <v>850</v>
      </c>
      <c r="L30" t="s">
        <v>851</v>
      </c>
      <c r="M30">
        <v>2724</v>
      </c>
      <c r="N30" t="s">
        <v>852</v>
      </c>
      <c r="O30" t="s">
        <v>1155</v>
      </c>
      <c r="P30" t="s">
        <v>2809</v>
      </c>
      <c r="Q30">
        <v>4.2</v>
      </c>
      <c r="R30" t="s">
        <v>2926</v>
      </c>
      <c r="S30">
        <v>3.9732</v>
      </c>
      <c r="T30" t="s">
        <v>2927</v>
      </c>
      <c r="U30" t="s">
        <v>64</v>
      </c>
      <c r="V30" t="s">
        <v>2812</v>
      </c>
      <c r="W30" t="s">
        <v>2861</v>
      </c>
      <c r="X30" t="s">
        <v>2828</v>
      </c>
      <c r="Y30" t="s">
        <v>2815</v>
      </c>
      <c r="Z30" t="s">
        <v>2816</v>
      </c>
      <c r="AA30" t="s">
        <v>2817</v>
      </c>
      <c r="AB30" t="s">
        <v>2816</v>
      </c>
      <c r="AC30" t="s">
        <v>2928</v>
      </c>
      <c r="AD30" t="s">
        <v>2819</v>
      </c>
      <c r="AE30" t="s">
        <v>2882</v>
      </c>
      <c r="AF30" t="s">
        <v>2821</v>
      </c>
      <c r="AG30" t="s">
        <v>2822</v>
      </c>
      <c r="AH30" t="s">
        <v>2823</v>
      </c>
      <c r="AI30">
        <v>1</v>
      </c>
      <c r="AJ30">
        <v>3991</v>
      </c>
      <c r="AK30">
        <v>279330.1</v>
      </c>
      <c r="AL30">
        <v>69.99</v>
      </c>
      <c r="AM30">
        <v>0.615</v>
      </c>
      <c r="AN30">
        <v>16.45</v>
      </c>
      <c r="AO30">
        <v>4.7</v>
      </c>
      <c r="AP30">
        <v>40740</v>
      </c>
      <c r="AQ30">
        <v>0.0661</v>
      </c>
      <c r="AR30">
        <v>264</v>
      </c>
      <c r="AT30" t="s">
        <v>876</v>
      </c>
      <c r="AU30" t="s">
        <v>1156</v>
      </c>
      <c r="AV30">
        <v>1883</v>
      </c>
      <c r="AW30">
        <v>1</v>
      </c>
      <c r="AX30">
        <v>1</v>
      </c>
      <c r="AY30" t="s">
        <v>1157</v>
      </c>
      <c r="AZ30" t="s">
        <v>65</v>
      </c>
      <c r="BA30" t="s">
        <v>1158</v>
      </c>
      <c r="BB30" t="s">
        <v>856</v>
      </c>
      <c r="BC30" t="s">
        <v>1159</v>
      </c>
      <c r="BD30" t="s">
        <v>1160</v>
      </c>
    </row>
    <row r="31" ht="20" spans="1:56">
      <c r="A31" t="str">
        <f>_xlfn.DISPIMG("ID_EC5715FDE44E423DA2407A8C8149F902",1)</f>
        <v>=DISPIMG("ID_EC5715FDE44E423DA2407A8C8149F902",1)</v>
      </c>
      <c r="B31" t="s">
        <v>232</v>
      </c>
      <c r="C31" t="s">
        <v>232</v>
      </c>
      <c r="D31" t="s">
        <v>65</v>
      </c>
      <c r="E31" t="s">
        <v>1171</v>
      </c>
      <c r="F31" t="s">
        <v>1172</v>
      </c>
      <c r="G31" t="s">
        <v>1173</v>
      </c>
      <c r="H31" t="s">
        <v>1174</v>
      </c>
      <c r="I31" t="s">
        <v>1175</v>
      </c>
      <c r="J31" t="s">
        <v>974</v>
      </c>
      <c r="K31" t="s">
        <v>850</v>
      </c>
      <c r="L31" t="s">
        <v>851</v>
      </c>
      <c r="M31">
        <v>3310</v>
      </c>
      <c r="N31" t="s">
        <v>852</v>
      </c>
      <c r="O31" t="s">
        <v>1135</v>
      </c>
      <c r="P31" t="s">
        <v>2809</v>
      </c>
      <c r="Q31">
        <v>5.8</v>
      </c>
      <c r="R31" t="s">
        <v>2847</v>
      </c>
      <c r="S31">
        <v>5.4868</v>
      </c>
      <c r="T31" t="s">
        <v>2848</v>
      </c>
      <c r="U31" t="s">
        <v>64</v>
      </c>
      <c r="V31" t="s">
        <v>2812</v>
      </c>
      <c r="W31" t="s">
        <v>2878</v>
      </c>
      <c r="X31" t="s">
        <v>2844</v>
      </c>
      <c r="Y31" t="s">
        <v>2815</v>
      </c>
      <c r="Z31" t="s">
        <v>2816</v>
      </c>
      <c r="AA31" t="s">
        <v>2817</v>
      </c>
      <c r="AB31" t="s">
        <v>2816</v>
      </c>
      <c r="AC31" t="s">
        <v>2818</v>
      </c>
      <c r="AD31" t="s">
        <v>2819</v>
      </c>
      <c r="AE31" t="s">
        <v>2882</v>
      </c>
      <c r="AF31" t="s">
        <v>2821</v>
      </c>
      <c r="AG31" t="s">
        <v>2822</v>
      </c>
      <c r="AH31" t="s">
        <v>2823</v>
      </c>
      <c r="AI31">
        <v>1</v>
      </c>
      <c r="AJ31">
        <v>2695</v>
      </c>
      <c r="AK31">
        <v>170485.7</v>
      </c>
      <c r="AL31">
        <v>63.26</v>
      </c>
      <c r="AM31">
        <v>0.5302</v>
      </c>
      <c r="AN31">
        <v>20.23</v>
      </c>
      <c r="AO31">
        <v>4.6</v>
      </c>
      <c r="AP31">
        <v>33005</v>
      </c>
      <c r="AQ31">
        <v>0.082</v>
      </c>
      <c r="AR31">
        <v>221</v>
      </c>
      <c r="AS31">
        <v>680</v>
      </c>
      <c r="AT31" t="s">
        <v>876</v>
      </c>
      <c r="AU31" t="s">
        <v>1176</v>
      </c>
      <c r="AV31">
        <v>1966</v>
      </c>
      <c r="AW31">
        <v>1</v>
      </c>
      <c r="AX31">
        <v>2</v>
      </c>
      <c r="AY31" t="s">
        <v>867</v>
      </c>
      <c r="AZ31" t="s">
        <v>65</v>
      </c>
      <c r="BA31" t="s">
        <v>65</v>
      </c>
      <c r="BB31" t="s">
        <v>856</v>
      </c>
      <c r="BC31" t="s">
        <v>1177</v>
      </c>
      <c r="BD31" t="s">
        <v>1178</v>
      </c>
    </row>
    <row r="32" ht="20" spans="1:56">
      <c r="A32" t="str">
        <f>_xlfn.DISPIMG("ID_57C5254188594DADA615573EE730EDB8",1)</f>
        <v>=DISPIMG("ID_57C5254188594DADA615573EE730EDB8",1)</v>
      </c>
      <c r="B32" t="s">
        <v>395</v>
      </c>
      <c r="C32" t="s">
        <v>395</v>
      </c>
      <c r="D32" t="s">
        <v>65</v>
      </c>
      <c r="E32" t="s">
        <v>1179</v>
      </c>
      <c r="F32" t="s">
        <v>1180</v>
      </c>
      <c r="G32" t="s">
        <v>931</v>
      </c>
      <c r="H32" t="s">
        <v>1181</v>
      </c>
      <c r="I32" t="s">
        <v>1182</v>
      </c>
      <c r="J32" t="s">
        <v>934</v>
      </c>
      <c r="K32" t="s">
        <v>850</v>
      </c>
      <c r="L32" t="s">
        <v>851</v>
      </c>
      <c r="M32">
        <v>3846</v>
      </c>
      <c r="N32" t="s">
        <v>852</v>
      </c>
      <c r="O32" t="s">
        <v>1183</v>
      </c>
      <c r="P32" t="s">
        <v>2881</v>
      </c>
      <c r="Q32">
        <v>2.6</v>
      </c>
      <c r="R32" t="s">
        <v>2859</v>
      </c>
      <c r="S32">
        <v>2.4596</v>
      </c>
      <c r="T32" t="s">
        <v>2860</v>
      </c>
      <c r="U32" t="s">
        <v>64</v>
      </c>
      <c r="V32" t="s">
        <v>2812</v>
      </c>
      <c r="W32" t="s">
        <v>2861</v>
      </c>
      <c r="X32" t="s">
        <v>2862</v>
      </c>
      <c r="Y32" t="s">
        <v>2815</v>
      </c>
      <c r="Z32" t="s">
        <v>2816</v>
      </c>
      <c r="AA32" t="s">
        <v>2817</v>
      </c>
      <c r="AB32" t="s">
        <v>2816</v>
      </c>
      <c r="AC32" t="s">
        <v>2818</v>
      </c>
      <c r="AD32" t="s">
        <v>2819</v>
      </c>
      <c r="AE32" t="s">
        <v>2882</v>
      </c>
      <c r="AF32" t="s">
        <v>2900</v>
      </c>
      <c r="AG32" t="s">
        <v>2822</v>
      </c>
      <c r="AH32" t="s">
        <v>2823</v>
      </c>
      <c r="AI32">
        <v>1</v>
      </c>
      <c r="AJ32">
        <v>2032</v>
      </c>
      <c r="AK32">
        <v>132059.67</v>
      </c>
      <c r="AL32">
        <v>64.99</v>
      </c>
      <c r="AM32">
        <v>0.6357</v>
      </c>
      <c r="AN32">
        <v>13.93</v>
      </c>
      <c r="AO32">
        <v>4.6</v>
      </c>
      <c r="AP32">
        <v>2910</v>
      </c>
      <c r="AQ32">
        <v>0.0679</v>
      </c>
      <c r="AR32">
        <v>138</v>
      </c>
      <c r="AT32" t="s">
        <v>876</v>
      </c>
      <c r="AU32" t="s">
        <v>1184</v>
      </c>
      <c r="AV32">
        <v>832</v>
      </c>
      <c r="AW32">
        <v>1</v>
      </c>
      <c r="AX32">
        <v>2</v>
      </c>
      <c r="AY32" t="s">
        <v>867</v>
      </c>
      <c r="AZ32" t="s">
        <v>65</v>
      </c>
      <c r="BA32" t="s">
        <v>65</v>
      </c>
      <c r="BB32" t="s">
        <v>856</v>
      </c>
      <c r="BC32" t="s">
        <v>1185</v>
      </c>
      <c r="BD32" t="s">
        <v>1186</v>
      </c>
    </row>
    <row r="33" ht="20" spans="1:56">
      <c r="A33" t="str">
        <f>_xlfn.DISPIMG("ID_30AF9FE10AEA414CBF2D799A8F97B6E1",1)</f>
        <v>=DISPIMG("ID_30AF9FE10AEA414CBF2D799A8F97B6E1",1)</v>
      </c>
      <c r="B33" t="s">
        <v>116</v>
      </c>
      <c r="C33" t="s">
        <v>116</v>
      </c>
      <c r="D33" t="s">
        <v>65</v>
      </c>
      <c r="E33" t="s">
        <v>1187</v>
      </c>
      <c r="F33" t="s">
        <v>1188</v>
      </c>
      <c r="G33" t="s">
        <v>1189</v>
      </c>
      <c r="H33" t="s">
        <v>1190</v>
      </c>
      <c r="I33" t="s">
        <v>1191</v>
      </c>
      <c r="J33" t="s">
        <v>934</v>
      </c>
      <c r="K33" t="s">
        <v>850</v>
      </c>
      <c r="L33" t="s">
        <v>851</v>
      </c>
      <c r="M33">
        <v>3738</v>
      </c>
      <c r="N33" t="s">
        <v>852</v>
      </c>
      <c r="O33" t="s">
        <v>1135</v>
      </c>
      <c r="P33" t="s">
        <v>2852</v>
      </c>
      <c r="Q33">
        <v>17</v>
      </c>
      <c r="R33" t="s">
        <v>2875</v>
      </c>
      <c r="S33">
        <v>16.082</v>
      </c>
      <c r="T33" t="s">
        <v>2876</v>
      </c>
      <c r="U33" t="s">
        <v>2835</v>
      </c>
      <c r="V33" t="s">
        <v>2836</v>
      </c>
      <c r="W33" t="s">
        <v>2813</v>
      </c>
      <c r="X33" t="s">
        <v>2828</v>
      </c>
      <c r="Y33" t="s">
        <v>2829</v>
      </c>
      <c r="Z33" t="s">
        <v>2817</v>
      </c>
      <c r="AA33" t="s">
        <v>2816</v>
      </c>
      <c r="AB33" t="s">
        <v>2816</v>
      </c>
      <c r="AC33" t="s">
        <v>2863</v>
      </c>
      <c r="AD33" t="s">
        <v>2889</v>
      </c>
      <c r="AE33" t="s">
        <v>2882</v>
      </c>
      <c r="AF33" t="s">
        <v>2851</v>
      </c>
      <c r="AG33" t="s">
        <v>2930</v>
      </c>
      <c r="AH33" t="s">
        <v>2823</v>
      </c>
      <c r="AI33">
        <v>1</v>
      </c>
      <c r="AJ33">
        <v>2305</v>
      </c>
      <c r="AK33">
        <v>161326.94</v>
      </c>
      <c r="AL33">
        <v>69.99</v>
      </c>
      <c r="AM33">
        <v>0.615</v>
      </c>
      <c r="AN33">
        <v>16.45</v>
      </c>
      <c r="AO33">
        <v>4.1</v>
      </c>
      <c r="AP33">
        <v>1929</v>
      </c>
      <c r="AQ33">
        <v>0.0364</v>
      </c>
      <c r="AR33">
        <v>84</v>
      </c>
      <c r="AT33" t="s">
        <v>854</v>
      </c>
      <c r="AU33" t="s">
        <v>1192</v>
      </c>
      <c r="AV33">
        <v>987</v>
      </c>
      <c r="AW33">
        <v>1</v>
      </c>
      <c r="AX33">
        <v>1</v>
      </c>
      <c r="AY33" t="s">
        <v>867</v>
      </c>
      <c r="AZ33" t="s">
        <v>65</v>
      </c>
      <c r="BA33" t="s">
        <v>65</v>
      </c>
      <c r="BB33" t="s">
        <v>856</v>
      </c>
      <c r="BC33" t="s">
        <v>1193</v>
      </c>
      <c r="BD33" t="s">
        <v>1194</v>
      </c>
    </row>
    <row r="34" ht="20" spans="1:56">
      <c r="A34" t="str">
        <f>_xlfn.DISPIMG("ID_3FE23FCA5B2E49C3844336FD61124FED",1)</f>
        <v>=DISPIMG("ID_3FE23FCA5B2E49C3844336FD61124FED",1)</v>
      </c>
      <c r="B34" t="s">
        <v>1218</v>
      </c>
      <c r="C34" t="s">
        <v>1218</v>
      </c>
      <c r="D34" t="s">
        <v>65</v>
      </c>
      <c r="E34" t="s">
        <v>1219</v>
      </c>
      <c r="F34" t="s">
        <v>1220</v>
      </c>
      <c r="G34" t="s">
        <v>1221</v>
      </c>
      <c r="H34" t="s">
        <v>1222</v>
      </c>
      <c r="I34" t="s">
        <v>1223</v>
      </c>
      <c r="J34" t="s">
        <v>1042</v>
      </c>
      <c r="K34" t="s">
        <v>850</v>
      </c>
      <c r="L34" t="s">
        <v>851</v>
      </c>
      <c r="M34">
        <v>3701</v>
      </c>
      <c r="N34" t="s">
        <v>852</v>
      </c>
      <c r="O34" t="s">
        <v>1183</v>
      </c>
      <c r="P34" t="s">
        <v>2809</v>
      </c>
      <c r="Q34">
        <v>3.7</v>
      </c>
      <c r="R34" t="s">
        <v>2931</v>
      </c>
      <c r="S34">
        <v>3.5002</v>
      </c>
      <c r="T34" t="s">
        <v>2932</v>
      </c>
      <c r="U34" t="s">
        <v>64</v>
      </c>
      <c r="V34" t="s">
        <v>2812</v>
      </c>
      <c r="W34" t="s">
        <v>2878</v>
      </c>
      <c r="X34" t="s">
        <v>2921</v>
      </c>
      <c r="Y34" t="s">
        <v>2903</v>
      </c>
      <c r="Z34" t="s">
        <v>2816</v>
      </c>
      <c r="AA34" t="s">
        <v>2817</v>
      </c>
      <c r="AB34" t="s">
        <v>2816</v>
      </c>
      <c r="AC34" t="s">
        <v>2928</v>
      </c>
      <c r="AD34" t="s">
        <v>2819</v>
      </c>
      <c r="AE34" t="s">
        <v>2866</v>
      </c>
      <c r="AF34" t="s">
        <v>2917</v>
      </c>
      <c r="AG34" t="s">
        <v>2933</v>
      </c>
      <c r="AH34" t="s">
        <v>2934</v>
      </c>
      <c r="AI34">
        <v>1</v>
      </c>
      <c r="AJ34">
        <v>622</v>
      </c>
      <c r="AK34">
        <v>33469.82</v>
      </c>
      <c r="AL34">
        <v>53.81</v>
      </c>
      <c r="AM34">
        <v>0.5443</v>
      </c>
      <c r="AN34">
        <v>16.45</v>
      </c>
      <c r="AO34">
        <v>5</v>
      </c>
      <c r="AP34">
        <v>8</v>
      </c>
      <c r="AQ34">
        <v>0.0113</v>
      </c>
      <c r="AR34">
        <v>7</v>
      </c>
      <c r="AT34" t="s">
        <v>65</v>
      </c>
      <c r="AU34" t="s">
        <v>1224</v>
      </c>
      <c r="AV34">
        <v>26</v>
      </c>
      <c r="AW34">
        <v>1</v>
      </c>
      <c r="AX34">
        <v>1</v>
      </c>
      <c r="AY34" t="s">
        <v>867</v>
      </c>
      <c r="AZ34" t="s">
        <v>65</v>
      </c>
      <c r="BA34" t="s">
        <v>65</v>
      </c>
      <c r="BB34" t="s">
        <v>856</v>
      </c>
      <c r="BC34" t="s">
        <v>907</v>
      </c>
      <c r="BD34" t="s">
        <v>1225</v>
      </c>
    </row>
    <row r="35" ht="20" spans="1:56">
      <c r="A35" t="str">
        <f>_xlfn.DISPIMG("ID_326E9FDB3B4845F0A5722189EAC9E480",1)</f>
        <v>=DISPIMG("ID_326E9FDB3B4845F0A5722189EAC9E480",1)</v>
      </c>
      <c r="B35" t="s">
        <v>1226</v>
      </c>
      <c r="C35" t="s">
        <v>1226</v>
      </c>
      <c r="D35" t="s">
        <v>65</v>
      </c>
      <c r="E35" t="s">
        <v>1227</v>
      </c>
      <c r="F35" t="s">
        <v>1228</v>
      </c>
      <c r="G35" t="s">
        <v>1229</v>
      </c>
      <c r="H35" t="s">
        <v>1230</v>
      </c>
      <c r="I35" t="s">
        <v>1231</v>
      </c>
      <c r="J35" t="s">
        <v>893</v>
      </c>
      <c r="K35" t="s">
        <v>850</v>
      </c>
      <c r="L35" t="s">
        <v>851</v>
      </c>
      <c r="M35">
        <v>5110</v>
      </c>
      <c r="N35" t="s">
        <v>852</v>
      </c>
      <c r="O35" t="s">
        <v>1232</v>
      </c>
      <c r="P35" t="s">
        <v>2852</v>
      </c>
      <c r="Q35">
        <v>16</v>
      </c>
      <c r="R35" t="s">
        <v>2935</v>
      </c>
      <c r="S35">
        <v>15.136</v>
      </c>
      <c r="T35" t="s">
        <v>2936</v>
      </c>
      <c r="U35" t="s">
        <v>2835</v>
      </c>
      <c r="V35" t="s">
        <v>2836</v>
      </c>
      <c r="W35" t="s">
        <v>2843</v>
      </c>
      <c r="X35" t="s">
        <v>2874</v>
      </c>
      <c r="Y35" t="s">
        <v>2829</v>
      </c>
      <c r="Z35" t="s">
        <v>2817</v>
      </c>
      <c r="AA35" t="s">
        <v>2816</v>
      </c>
      <c r="AB35" t="s">
        <v>2816</v>
      </c>
      <c r="AC35" t="s">
        <v>2863</v>
      </c>
      <c r="AD35" t="s">
        <v>2896</v>
      </c>
      <c r="AE35" t="s">
        <v>2937</v>
      </c>
      <c r="AF35" t="s">
        <v>2821</v>
      </c>
      <c r="AG35" t="s">
        <v>2822</v>
      </c>
      <c r="AH35" t="s">
        <v>2823</v>
      </c>
      <c r="AI35">
        <v>1</v>
      </c>
      <c r="AJ35">
        <v>1381</v>
      </c>
      <c r="AK35">
        <v>170097.77</v>
      </c>
      <c r="AL35">
        <v>123.17</v>
      </c>
      <c r="AM35">
        <v>0.6789</v>
      </c>
      <c r="AN35">
        <v>21.07</v>
      </c>
      <c r="AO35">
        <v>4.6</v>
      </c>
      <c r="AP35">
        <v>5601</v>
      </c>
      <c r="AQ35">
        <v>0.0311</v>
      </c>
      <c r="AR35">
        <v>43</v>
      </c>
      <c r="AT35" t="s">
        <v>854</v>
      </c>
      <c r="AU35" t="s">
        <v>1233</v>
      </c>
      <c r="AV35">
        <v>1567</v>
      </c>
      <c r="AW35">
        <v>1</v>
      </c>
      <c r="AX35">
        <v>17</v>
      </c>
      <c r="AY35" t="s">
        <v>867</v>
      </c>
      <c r="AZ35" t="s">
        <v>65</v>
      </c>
      <c r="BA35" t="s">
        <v>65</v>
      </c>
      <c r="BB35" t="s">
        <v>856</v>
      </c>
      <c r="BC35" t="s">
        <v>937</v>
      </c>
      <c r="BD35" t="s">
        <v>1234</v>
      </c>
    </row>
    <row r="36" ht="20" spans="1:56">
      <c r="A36" t="str">
        <f>_xlfn.DISPIMG("ID_AAE88E8E58E24127872CEF24C45B9937",1)</f>
        <v>=DISPIMG("ID_AAE88E8E58E24127872CEF24C45B9937",1)</v>
      </c>
      <c r="B36" t="s">
        <v>1235</v>
      </c>
      <c r="C36" t="s">
        <v>1235</v>
      </c>
      <c r="D36" t="s">
        <v>65</v>
      </c>
      <c r="E36" t="s">
        <v>1236</v>
      </c>
      <c r="F36" t="s">
        <v>1237</v>
      </c>
      <c r="G36" t="s">
        <v>1238</v>
      </c>
      <c r="H36" t="s">
        <v>1239</v>
      </c>
      <c r="I36" t="s">
        <v>1240</v>
      </c>
      <c r="J36" t="s">
        <v>923</v>
      </c>
      <c r="K36" t="s">
        <v>850</v>
      </c>
      <c r="L36" t="s">
        <v>851</v>
      </c>
      <c r="M36">
        <v>6368</v>
      </c>
      <c r="N36" t="s">
        <v>852</v>
      </c>
      <c r="O36" t="s">
        <v>1241</v>
      </c>
      <c r="P36" t="s">
        <v>2852</v>
      </c>
      <c r="Q36">
        <v>17</v>
      </c>
      <c r="R36" t="s">
        <v>2875</v>
      </c>
      <c r="S36">
        <v>16.082</v>
      </c>
      <c r="T36" t="s">
        <v>2876</v>
      </c>
      <c r="U36" t="s">
        <v>2835</v>
      </c>
      <c r="V36" t="s">
        <v>2836</v>
      </c>
      <c r="W36" t="s">
        <v>2938</v>
      </c>
      <c r="X36" t="s">
        <v>2828</v>
      </c>
      <c r="Y36" t="s">
        <v>2815</v>
      </c>
      <c r="Z36" t="s">
        <v>2817</v>
      </c>
      <c r="AA36" t="s">
        <v>2816</v>
      </c>
      <c r="AB36" t="s">
        <v>2816</v>
      </c>
      <c r="AC36" t="s">
        <v>2863</v>
      </c>
      <c r="AD36" t="s">
        <v>2896</v>
      </c>
      <c r="AE36" t="s">
        <v>2939</v>
      </c>
      <c r="AF36" t="s">
        <v>2900</v>
      </c>
      <c r="AG36" t="s">
        <v>2865</v>
      </c>
      <c r="AH36" t="s">
        <v>2823</v>
      </c>
      <c r="AI36">
        <v>1</v>
      </c>
      <c r="AJ36">
        <v>1341</v>
      </c>
      <c r="AK36">
        <v>107266.586</v>
      </c>
      <c r="AL36">
        <v>79.99</v>
      </c>
      <c r="AM36">
        <v>0.5761</v>
      </c>
      <c r="AN36">
        <v>21.91</v>
      </c>
      <c r="AO36">
        <v>4.3</v>
      </c>
      <c r="AP36">
        <v>1421</v>
      </c>
      <c r="AQ36">
        <v>0.0388</v>
      </c>
      <c r="AR36">
        <v>52</v>
      </c>
      <c r="AT36" t="s">
        <v>854</v>
      </c>
      <c r="AU36" t="s">
        <v>1242</v>
      </c>
      <c r="AV36">
        <v>847</v>
      </c>
      <c r="AW36">
        <v>1</v>
      </c>
      <c r="AX36">
        <v>2</v>
      </c>
      <c r="AY36" t="s">
        <v>65</v>
      </c>
      <c r="AZ36" t="s">
        <v>65</v>
      </c>
      <c r="BA36" t="s">
        <v>65</v>
      </c>
      <c r="BB36" t="s">
        <v>856</v>
      </c>
      <c r="BC36" t="s">
        <v>868</v>
      </c>
      <c r="BD36" t="s">
        <v>1243</v>
      </c>
    </row>
    <row r="37" ht="20" spans="1:56">
      <c r="A37" t="str">
        <f>_xlfn.DISPIMG("ID_EC8F5E1D8B5E43A7A8E6C0EC276E9523",1)</f>
        <v>=DISPIMG("ID_EC8F5E1D8B5E43A7A8E6C0EC276E9523",1)</v>
      </c>
      <c r="B37" t="s">
        <v>1244</v>
      </c>
      <c r="C37" t="s">
        <v>1244</v>
      </c>
      <c r="D37" t="s">
        <v>65</v>
      </c>
      <c r="E37" t="s">
        <v>1245</v>
      </c>
      <c r="F37" t="s">
        <v>1246</v>
      </c>
      <c r="G37" t="s">
        <v>1247</v>
      </c>
      <c r="H37" t="s">
        <v>1248</v>
      </c>
      <c r="I37" t="s">
        <v>1249</v>
      </c>
      <c r="J37" t="s">
        <v>974</v>
      </c>
      <c r="K37" t="s">
        <v>850</v>
      </c>
      <c r="L37" t="s">
        <v>851</v>
      </c>
      <c r="M37">
        <v>4417</v>
      </c>
      <c r="N37" t="s">
        <v>852</v>
      </c>
      <c r="O37" t="s">
        <v>1250</v>
      </c>
      <c r="P37" t="s">
        <v>2809</v>
      </c>
      <c r="Q37">
        <v>10</v>
      </c>
      <c r="R37" t="s">
        <v>2833</v>
      </c>
      <c r="S37">
        <v>9.46</v>
      </c>
      <c r="T37" t="s">
        <v>2834</v>
      </c>
      <c r="U37" t="s">
        <v>2877</v>
      </c>
      <c r="V37" t="s">
        <v>2836</v>
      </c>
      <c r="W37" t="s">
        <v>2938</v>
      </c>
      <c r="X37" t="s">
        <v>2921</v>
      </c>
      <c r="Y37" t="s">
        <v>2829</v>
      </c>
      <c r="Z37" t="s">
        <v>2817</v>
      </c>
      <c r="AA37" t="s">
        <v>2817</v>
      </c>
      <c r="AB37" t="s">
        <v>2817</v>
      </c>
      <c r="AC37" t="s">
        <v>2922</v>
      </c>
      <c r="AD37" t="s">
        <v>2889</v>
      </c>
      <c r="AE37" t="s">
        <v>2871</v>
      </c>
      <c r="AF37" t="s">
        <v>2883</v>
      </c>
      <c r="AG37" t="s">
        <v>2865</v>
      </c>
      <c r="AH37" t="s">
        <v>2940</v>
      </c>
      <c r="AI37">
        <v>1</v>
      </c>
      <c r="AJ37">
        <v>985</v>
      </c>
      <c r="AK37">
        <v>196990.16</v>
      </c>
      <c r="AL37">
        <v>199.99</v>
      </c>
      <c r="AM37">
        <v>0.7677</v>
      </c>
      <c r="AN37">
        <v>16.45</v>
      </c>
      <c r="AO37">
        <v>4.3</v>
      </c>
      <c r="AP37">
        <v>167</v>
      </c>
      <c r="AQ37">
        <v>0</v>
      </c>
      <c r="AR37">
        <v>0</v>
      </c>
      <c r="AT37" t="s">
        <v>854</v>
      </c>
      <c r="AU37" t="s">
        <v>1251</v>
      </c>
      <c r="AV37">
        <v>186</v>
      </c>
      <c r="AW37">
        <v>1</v>
      </c>
      <c r="AX37">
        <v>1</v>
      </c>
      <c r="AY37" t="s">
        <v>65</v>
      </c>
      <c r="AZ37" t="s">
        <v>65</v>
      </c>
      <c r="BA37" t="s">
        <v>65</v>
      </c>
      <c r="BB37" t="s">
        <v>856</v>
      </c>
      <c r="BC37" t="s">
        <v>1252</v>
      </c>
      <c r="BD37" t="s">
        <v>1253</v>
      </c>
    </row>
    <row r="38" ht="20" spans="1:56">
      <c r="A38" t="str">
        <f>_xlfn.DISPIMG("ID_EFBFC06B2CA34CBEAE3BA64CC3E478CB",1)</f>
        <v>=DISPIMG("ID_EFBFC06B2CA34CBEAE3BA64CC3E478CB",1)</v>
      </c>
      <c r="B38" t="s">
        <v>1254</v>
      </c>
      <c r="C38" t="s">
        <v>1254</v>
      </c>
      <c r="D38" t="s">
        <v>65</v>
      </c>
      <c r="E38" t="s">
        <v>1255</v>
      </c>
      <c r="F38" t="s">
        <v>1256</v>
      </c>
      <c r="G38" t="s">
        <v>1132</v>
      </c>
      <c r="H38" t="s">
        <v>1257</v>
      </c>
      <c r="I38" t="s">
        <v>1258</v>
      </c>
      <c r="J38" t="s">
        <v>65</v>
      </c>
      <c r="K38" t="s">
        <v>850</v>
      </c>
      <c r="L38" t="s">
        <v>851</v>
      </c>
      <c r="M38">
        <v>6767</v>
      </c>
      <c r="N38" t="s">
        <v>852</v>
      </c>
      <c r="O38" t="s">
        <v>1241</v>
      </c>
      <c r="P38" t="s">
        <v>2809</v>
      </c>
      <c r="Q38">
        <v>7</v>
      </c>
      <c r="R38" t="s">
        <v>2941</v>
      </c>
      <c r="S38">
        <v>6.622</v>
      </c>
      <c r="T38" t="s">
        <v>2942</v>
      </c>
      <c r="U38" t="s">
        <v>64</v>
      </c>
      <c r="V38" t="s">
        <v>2812</v>
      </c>
      <c r="W38" t="s">
        <v>2861</v>
      </c>
      <c r="X38" t="s">
        <v>2943</v>
      </c>
      <c r="Y38" t="s">
        <v>2815</v>
      </c>
      <c r="Z38" t="s">
        <v>2816</v>
      </c>
      <c r="AA38" t="s">
        <v>2817</v>
      </c>
      <c r="AB38" t="s">
        <v>2817</v>
      </c>
      <c r="AC38" t="s">
        <v>2944</v>
      </c>
      <c r="AD38" t="s">
        <v>2819</v>
      </c>
      <c r="AE38" t="s">
        <v>2880</v>
      </c>
      <c r="AF38" t="s">
        <v>2821</v>
      </c>
      <c r="AG38" t="s">
        <v>2865</v>
      </c>
      <c r="AH38" t="s">
        <v>2823</v>
      </c>
      <c r="AI38">
        <v>1</v>
      </c>
      <c r="AJ38">
        <v>922</v>
      </c>
      <c r="AK38">
        <v>166697.61</v>
      </c>
      <c r="AL38">
        <v>180.8</v>
      </c>
      <c r="AM38">
        <v>0.7242</v>
      </c>
      <c r="AN38">
        <v>22.75</v>
      </c>
      <c r="AO38">
        <v>4.5</v>
      </c>
      <c r="AP38">
        <v>2574</v>
      </c>
      <c r="AQ38">
        <v>0.0488</v>
      </c>
      <c r="AR38">
        <v>45</v>
      </c>
      <c r="AT38" t="s">
        <v>947</v>
      </c>
      <c r="AU38" t="s">
        <v>1259</v>
      </c>
      <c r="AV38">
        <v>1701</v>
      </c>
      <c r="AW38">
        <v>1</v>
      </c>
      <c r="AX38">
        <v>23</v>
      </c>
      <c r="AY38" t="s">
        <v>65</v>
      </c>
      <c r="AZ38" t="s">
        <v>65</v>
      </c>
      <c r="BA38" t="s">
        <v>65</v>
      </c>
      <c r="BB38" t="s">
        <v>856</v>
      </c>
      <c r="BC38" t="s">
        <v>878</v>
      </c>
      <c r="BD38" t="s">
        <v>1260</v>
      </c>
    </row>
    <row r="39" ht="20" spans="1:56">
      <c r="A39" t="str">
        <f>_xlfn.DISPIMG("ID_D74B9A3072A84714B66CE5C87FFCBA80",1)</f>
        <v>=DISPIMG("ID_D74B9A3072A84714B66CE5C87FFCBA80",1)</v>
      </c>
      <c r="B39" t="s">
        <v>1261</v>
      </c>
      <c r="C39" t="s">
        <v>1261</v>
      </c>
      <c r="D39" t="s">
        <v>65</v>
      </c>
      <c r="E39" t="s">
        <v>1262</v>
      </c>
      <c r="F39" t="s">
        <v>1263</v>
      </c>
      <c r="G39" t="s">
        <v>846</v>
      </c>
      <c r="H39" t="s">
        <v>1264</v>
      </c>
      <c r="I39" t="s">
        <v>1265</v>
      </c>
      <c r="J39" t="s">
        <v>934</v>
      </c>
      <c r="K39" t="s">
        <v>850</v>
      </c>
      <c r="L39" t="s">
        <v>851</v>
      </c>
      <c r="M39">
        <v>5911</v>
      </c>
      <c r="N39" t="s">
        <v>852</v>
      </c>
      <c r="O39" t="s">
        <v>1266</v>
      </c>
      <c r="P39" t="s">
        <v>2809</v>
      </c>
      <c r="Q39">
        <v>6.5</v>
      </c>
      <c r="R39" t="s">
        <v>2945</v>
      </c>
      <c r="S39">
        <v>6.149</v>
      </c>
      <c r="T39" t="s">
        <v>2946</v>
      </c>
      <c r="U39" t="s">
        <v>2907</v>
      </c>
      <c r="V39" t="s">
        <v>2812</v>
      </c>
      <c r="W39" t="s">
        <v>2947</v>
      </c>
      <c r="X39" t="s">
        <v>2948</v>
      </c>
      <c r="Y39" t="s">
        <v>2815</v>
      </c>
      <c r="Z39" t="s">
        <v>2816</v>
      </c>
      <c r="AA39" t="s">
        <v>2817</v>
      </c>
      <c r="AB39" t="s">
        <v>2816</v>
      </c>
      <c r="AC39" t="s">
        <v>2818</v>
      </c>
      <c r="AD39" t="s">
        <v>2909</v>
      </c>
      <c r="AE39" t="s">
        <v>2924</v>
      </c>
      <c r="AF39" t="s">
        <v>2900</v>
      </c>
      <c r="AG39" t="s">
        <v>2822</v>
      </c>
      <c r="AH39" t="s">
        <v>2823</v>
      </c>
      <c r="AI39">
        <v>1</v>
      </c>
      <c r="AJ39">
        <v>1815</v>
      </c>
      <c r="AK39">
        <v>326681.88</v>
      </c>
      <c r="AL39">
        <v>179.99</v>
      </c>
      <c r="AM39">
        <v>0.7096</v>
      </c>
      <c r="AN39">
        <v>25.27</v>
      </c>
      <c r="AO39">
        <v>4.8</v>
      </c>
      <c r="AP39">
        <v>2738</v>
      </c>
      <c r="AQ39">
        <v>0.0512</v>
      </c>
      <c r="AR39">
        <v>93</v>
      </c>
      <c r="AT39" t="s">
        <v>1267</v>
      </c>
      <c r="AU39" t="s">
        <v>1268</v>
      </c>
      <c r="AV39">
        <v>896</v>
      </c>
      <c r="AW39">
        <v>1</v>
      </c>
      <c r="AX39">
        <v>4</v>
      </c>
      <c r="AY39" t="s">
        <v>867</v>
      </c>
      <c r="AZ39" t="s">
        <v>65</v>
      </c>
      <c r="BA39" t="s">
        <v>65</v>
      </c>
      <c r="BB39" t="s">
        <v>856</v>
      </c>
      <c r="BC39" t="s">
        <v>1269</v>
      </c>
      <c r="BD39" t="s">
        <v>1270</v>
      </c>
    </row>
    <row r="40" ht="20" spans="1:56">
      <c r="A40" t="str">
        <f>_xlfn.DISPIMG("ID_C4420D497CEE439CB44B54C9CDCD1365",1)</f>
        <v>=DISPIMG("ID_C4420D497CEE439CB44B54C9CDCD1365",1)</v>
      </c>
      <c r="B40" t="s">
        <v>705</v>
      </c>
      <c r="C40" t="s">
        <v>705</v>
      </c>
      <c r="D40" t="s">
        <v>65</v>
      </c>
      <c r="E40" t="s">
        <v>1271</v>
      </c>
      <c r="F40" t="s">
        <v>1272</v>
      </c>
      <c r="G40" t="s">
        <v>1059</v>
      </c>
      <c r="H40" t="s">
        <v>1273</v>
      </c>
      <c r="I40" t="s">
        <v>1274</v>
      </c>
      <c r="J40" t="s">
        <v>974</v>
      </c>
      <c r="K40" t="s">
        <v>850</v>
      </c>
      <c r="L40" t="s">
        <v>851</v>
      </c>
      <c r="M40">
        <v>5206</v>
      </c>
      <c r="N40" t="s">
        <v>852</v>
      </c>
      <c r="O40" t="s">
        <v>1275</v>
      </c>
      <c r="P40" t="s">
        <v>2809</v>
      </c>
      <c r="Q40">
        <v>2</v>
      </c>
      <c r="R40" t="s">
        <v>2914</v>
      </c>
      <c r="S40">
        <v>1.892</v>
      </c>
      <c r="T40" t="s">
        <v>2915</v>
      </c>
      <c r="U40" t="s">
        <v>64</v>
      </c>
      <c r="V40" t="s">
        <v>2812</v>
      </c>
      <c r="W40" t="s">
        <v>2861</v>
      </c>
      <c r="X40" t="s">
        <v>2862</v>
      </c>
      <c r="Y40" t="s">
        <v>2949</v>
      </c>
      <c r="Z40" t="s">
        <v>2816</v>
      </c>
      <c r="AA40" t="s">
        <v>2816</v>
      </c>
      <c r="AB40" t="s">
        <v>2816</v>
      </c>
      <c r="AC40" t="s">
        <v>2863</v>
      </c>
      <c r="AD40" t="s">
        <v>2819</v>
      </c>
      <c r="AE40" t="s">
        <v>2916</v>
      </c>
      <c r="AF40" t="s">
        <v>2821</v>
      </c>
      <c r="AG40" t="s">
        <v>2822</v>
      </c>
      <c r="AH40" t="s">
        <v>2823</v>
      </c>
      <c r="AI40">
        <v>1</v>
      </c>
      <c r="AJ40">
        <v>837</v>
      </c>
      <c r="AK40">
        <v>40644.723</v>
      </c>
      <c r="AL40">
        <v>48.56</v>
      </c>
      <c r="AM40">
        <v>0.5545</v>
      </c>
      <c r="AN40">
        <v>14.35</v>
      </c>
      <c r="AO40">
        <v>4.6</v>
      </c>
      <c r="AP40">
        <v>17288</v>
      </c>
      <c r="AQ40">
        <v>0.1649</v>
      </c>
      <c r="AR40">
        <v>138</v>
      </c>
      <c r="AS40">
        <v>26</v>
      </c>
      <c r="AT40" t="s">
        <v>876</v>
      </c>
      <c r="AU40" t="s">
        <v>1276</v>
      </c>
      <c r="AV40">
        <v>1459</v>
      </c>
      <c r="AW40">
        <v>1</v>
      </c>
      <c r="AX40">
        <v>8</v>
      </c>
      <c r="AY40" t="s">
        <v>867</v>
      </c>
      <c r="AZ40" t="s">
        <v>65</v>
      </c>
      <c r="BA40" t="s">
        <v>65</v>
      </c>
      <c r="BB40" t="s">
        <v>856</v>
      </c>
      <c r="BC40" t="s">
        <v>1277</v>
      </c>
      <c r="BD40" t="s">
        <v>1278</v>
      </c>
    </row>
    <row r="41" ht="20" spans="1:56">
      <c r="A41" t="str">
        <f>_xlfn.DISPIMG("ID_5EF4F8B41D6F4D8D941029966DCF7200",1)</f>
        <v>=DISPIMG("ID_5EF4F8B41D6F4D8D941029966DCF7200",1)</v>
      </c>
      <c r="B41" t="s">
        <v>1279</v>
      </c>
      <c r="C41" t="s">
        <v>1279</v>
      </c>
      <c r="D41" t="s">
        <v>65</v>
      </c>
      <c r="E41" t="s">
        <v>1280</v>
      </c>
      <c r="F41" t="s">
        <v>1281</v>
      </c>
      <c r="G41" t="s">
        <v>1282</v>
      </c>
      <c r="H41" t="s">
        <v>1283</v>
      </c>
      <c r="I41" t="s">
        <v>1284</v>
      </c>
      <c r="J41" t="s">
        <v>934</v>
      </c>
      <c r="K41" t="s">
        <v>850</v>
      </c>
      <c r="L41" t="s">
        <v>851</v>
      </c>
      <c r="M41">
        <v>7484</v>
      </c>
      <c r="N41" t="s">
        <v>852</v>
      </c>
      <c r="O41" t="s">
        <v>1285</v>
      </c>
      <c r="P41" t="s">
        <v>2809</v>
      </c>
      <c r="Q41">
        <v>4.2</v>
      </c>
      <c r="R41" t="s">
        <v>2926</v>
      </c>
      <c r="S41">
        <v>3.9732</v>
      </c>
      <c r="T41" t="s">
        <v>2927</v>
      </c>
      <c r="U41" t="s">
        <v>64</v>
      </c>
      <c r="V41" t="s">
        <v>2812</v>
      </c>
      <c r="W41" t="s">
        <v>2843</v>
      </c>
      <c r="X41" t="s">
        <v>2950</v>
      </c>
      <c r="Y41" t="s">
        <v>2815</v>
      </c>
      <c r="Z41" t="s">
        <v>2816</v>
      </c>
      <c r="AA41" t="s">
        <v>2816</v>
      </c>
      <c r="AB41" t="s">
        <v>2816</v>
      </c>
      <c r="AC41" t="s">
        <v>2863</v>
      </c>
      <c r="AD41" t="s">
        <v>2819</v>
      </c>
      <c r="AE41" t="s">
        <v>2916</v>
      </c>
      <c r="AF41" t="s">
        <v>2867</v>
      </c>
      <c r="AG41" t="s">
        <v>2865</v>
      </c>
      <c r="AH41" t="s">
        <v>2940</v>
      </c>
      <c r="AI41">
        <v>1</v>
      </c>
      <c r="AJ41">
        <v>1962</v>
      </c>
      <c r="AK41">
        <v>88074.18</v>
      </c>
      <c r="AL41">
        <v>44.89</v>
      </c>
      <c r="AM41">
        <v>0.5023</v>
      </c>
      <c r="AN41">
        <v>15.61</v>
      </c>
      <c r="AO41">
        <v>4.3</v>
      </c>
      <c r="AP41">
        <v>274</v>
      </c>
      <c r="AQ41">
        <v>0.0311</v>
      </c>
      <c r="AR41">
        <v>61</v>
      </c>
      <c r="AT41" t="s">
        <v>854</v>
      </c>
      <c r="AU41" t="s">
        <v>1286</v>
      </c>
      <c r="AV41">
        <v>385</v>
      </c>
      <c r="AW41">
        <v>1</v>
      </c>
      <c r="AX41">
        <v>1</v>
      </c>
      <c r="AY41" t="s">
        <v>1287</v>
      </c>
      <c r="AZ41" t="s">
        <v>1288</v>
      </c>
      <c r="BA41" t="s">
        <v>1289</v>
      </c>
      <c r="BB41" t="s">
        <v>856</v>
      </c>
      <c r="BC41" t="s">
        <v>1290</v>
      </c>
      <c r="BD41" t="s">
        <v>1291</v>
      </c>
    </row>
    <row r="42" ht="20" spans="1:56">
      <c r="A42" t="str">
        <f>_xlfn.DISPIMG("ID_14E7B489EDAE46A0A68C009239BF162A",1)</f>
        <v>=DISPIMG("ID_14E7B489EDAE46A0A68C009239BF162A",1)</v>
      </c>
      <c r="B42" t="s">
        <v>286</v>
      </c>
      <c r="C42" t="s">
        <v>286</v>
      </c>
      <c r="D42" t="s">
        <v>65</v>
      </c>
      <c r="E42" t="s">
        <v>1292</v>
      </c>
      <c r="F42" t="s">
        <v>1293</v>
      </c>
      <c r="G42" t="s">
        <v>861</v>
      </c>
      <c r="H42" t="s">
        <v>1294</v>
      </c>
      <c r="I42" t="s">
        <v>1295</v>
      </c>
      <c r="J42" t="s">
        <v>849</v>
      </c>
      <c r="K42" t="s">
        <v>850</v>
      </c>
      <c r="L42" t="s">
        <v>851</v>
      </c>
      <c r="M42">
        <v>4518</v>
      </c>
      <c r="N42" t="s">
        <v>852</v>
      </c>
      <c r="O42" t="s">
        <v>1296</v>
      </c>
      <c r="P42" t="s">
        <v>2809</v>
      </c>
      <c r="Q42">
        <v>26.4</v>
      </c>
      <c r="R42" t="s">
        <v>2897</v>
      </c>
      <c r="S42">
        <v>24.9744</v>
      </c>
      <c r="T42" t="s">
        <v>2898</v>
      </c>
      <c r="U42" t="s">
        <v>2877</v>
      </c>
      <c r="V42" t="s">
        <v>2836</v>
      </c>
      <c r="W42" t="s">
        <v>2849</v>
      </c>
      <c r="X42" t="s">
        <v>2874</v>
      </c>
      <c r="Y42" t="s">
        <v>2829</v>
      </c>
      <c r="Z42" t="s">
        <v>2817</v>
      </c>
      <c r="AA42" t="s">
        <v>2817</v>
      </c>
      <c r="AB42" t="s">
        <v>2817</v>
      </c>
      <c r="AC42" t="s">
        <v>2951</v>
      </c>
      <c r="AD42" t="s">
        <v>2889</v>
      </c>
      <c r="AE42" t="s">
        <v>2887</v>
      </c>
      <c r="AF42" t="s">
        <v>2900</v>
      </c>
      <c r="AG42" t="s">
        <v>2822</v>
      </c>
      <c r="AH42" t="s">
        <v>2823</v>
      </c>
      <c r="AI42">
        <v>1</v>
      </c>
      <c r="AJ42">
        <v>1850</v>
      </c>
      <c r="AK42">
        <v>277481.5</v>
      </c>
      <c r="AL42">
        <v>149.99</v>
      </c>
      <c r="AM42">
        <v>0.6283</v>
      </c>
      <c r="AN42">
        <v>33.25</v>
      </c>
      <c r="AO42">
        <v>4.6</v>
      </c>
      <c r="AP42">
        <v>5162</v>
      </c>
      <c r="AQ42">
        <v>0.2941</v>
      </c>
      <c r="AR42">
        <v>544</v>
      </c>
      <c r="AS42">
        <v>427</v>
      </c>
      <c r="AT42" t="s">
        <v>947</v>
      </c>
      <c r="AU42" t="s">
        <v>1297</v>
      </c>
      <c r="AV42">
        <v>856</v>
      </c>
      <c r="AW42">
        <v>1</v>
      </c>
      <c r="AX42">
        <v>1</v>
      </c>
      <c r="AY42" t="s">
        <v>65</v>
      </c>
      <c r="AZ42" t="s">
        <v>65</v>
      </c>
      <c r="BA42" t="s">
        <v>65</v>
      </c>
      <c r="BB42" t="s">
        <v>856</v>
      </c>
      <c r="BC42" t="s">
        <v>1298</v>
      </c>
      <c r="BD42" t="s">
        <v>1055</v>
      </c>
    </row>
    <row r="43" ht="20" spans="1:56">
      <c r="A43" t="str">
        <f>_xlfn.DISPIMG("ID_FFEEF59C9E28452A81B58E12345A3D91",1)</f>
        <v>=DISPIMG("ID_FFEEF59C9E28452A81B58E12345A3D91",1)</v>
      </c>
      <c r="B43" t="s">
        <v>1299</v>
      </c>
      <c r="C43" t="s">
        <v>1299</v>
      </c>
      <c r="D43" t="s">
        <v>65</v>
      </c>
      <c r="E43" t="s">
        <v>1300</v>
      </c>
      <c r="F43" t="s">
        <v>1301</v>
      </c>
      <c r="G43" t="s">
        <v>1302</v>
      </c>
      <c r="H43" t="s">
        <v>1303</v>
      </c>
      <c r="I43" t="s">
        <v>1304</v>
      </c>
      <c r="J43" t="s">
        <v>934</v>
      </c>
      <c r="K43" t="s">
        <v>850</v>
      </c>
      <c r="L43" t="s">
        <v>851</v>
      </c>
      <c r="M43">
        <v>4762</v>
      </c>
      <c r="N43" t="s">
        <v>852</v>
      </c>
      <c r="O43" t="s">
        <v>1305</v>
      </c>
      <c r="P43" t="s">
        <v>2852</v>
      </c>
      <c r="Q43">
        <v>7</v>
      </c>
      <c r="R43" t="s">
        <v>2941</v>
      </c>
      <c r="S43">
        <v>6.622</v>
      </c>
      <c r="T43" t="s">
        <v>2942</v>
      </c>
      <c r="U43" t="s">
        <v>64</v>
      </c>
      <c r="V43" t="s">
        <v>2812</v>
      </c>
      <c r="W43" t="s">
        <v>2849</v>
      </c>
      <c r="X43" t="s">
        <v>2844</v>
      </c>
      <c r="Y43" t="s">
        <v>2815</v>
      </c>
      <c r="Z43" t="s">
        <v>2816</v>
      </c>
      <c r="AA43" t="s">
        <v>2817</v>
      </c>
      <c r="AB43" t="s">
        <v>2816</v>
      </c>
      <c r="AC43" t="s">
        <v>2818</v>
      </c>
      <c r="AD43" t="s">
        <v>2819</v>
      </c>
      <c r="AE43" t="s">
        <v>2939</v>
      </c>
      <c r="AF43" t="s">
        <v>2831</v>
      </c>
      <c r="AG43" t="s">
        <v>2822</v>
      </c>
      <c r="AH43" t="s">
        <v>2823</v>
      </c>
      <c r="AI43">
        <v>1</v>
      </c>
      <c r="AJ43">
        <v>1583</v>
      </c>
      <c r="AK43">
        <v>126624.164</v>
      </c>
      <c r="AL43">
        <v>79.99</v>
      </c>
      <c r="AM43">
        <v>0.5919</v>
      </c>
      <c r="AN43">
        <v>20.65</v>
      </c>
      <c r="AO43">
        <v>4.7</v>
      </c>
      <c r="AP43">
        <v>2411</v>
      </c>
      <c r="AQ43">
        <v>0.0537</v>
      </c>
      <c r="AR43">
        <v>85</v>
      </c>
      <c r="AT43" t="s">
        <v>876</v>
      </c>
      <c r="AU43" t="s">
        <v>1306</v>
      </c>
      <c r="AV43">
        <v>710</v>
      </c>
      <c r="AW43">
        <v>1</v>
      </c>
      <c r="AX43">
        <v>15</v>
      </c>
      <c r="AY43" t="s">
        <v>1307</v>
      </c>
      <c r="AZ43" t="s">
        <v>65</v>
      </c>
      <c r="BA43" t="s">
        <v>1308</v>
      </c>
      <c r="BB43" t="s">
        <v>856</v>
      </c>
      <c r="BC43" t="s">
        <v>1309</v>
      </c>
      <c r="BD43" t="s">
        <v>1310</v>
      </c>
    </row>
    <row r="44" ht="20" spans="1:56">
      <c r="A44" t="str">
        <f>_xlfn.DISPIMG("ID_8B9E104DF27F4DD8830F9911E91369FC",1)</f>
        <v>=DISPIMG("ID_8B9E104DF27F4DD8830F9911E91369FC",1)</v>
      </c>
      <c r="B44" t="s">
        <v>1320</v>
      </c>
      <c r="C44" t="s">
        <v>1320</v>
      </c>
      <c r="D44" t="s">
        <v>65</v>
      </c>
      <c r="E44" t="s">
        <v>1321</v>
      </c>
      <c r="F44" t="s">
        <v>1322</v>
      </c>
      <c r="G44" t="s">
        <v>1323</v>
      </c>
      <c r="H44" t="s">
        <v>1324</v>
      </c>
      <c r="I44" t="s">
        <v>1325</v>
      </c>
      <c r="J44" t="s">
        <v>849</v>
      </c>
      <c r="K44" t="s">
        <v>1326</v>
      </c>
      <c r="L44" t="s">
        <v>851</v>
      </c>
      <c r="M44">
        <v>6666</v>
      </c>
      <c r="N44" t="s">
        <v>1327</v>
      </c>
      <c r="O44" t="s">
        <v>1328</v>
      </c>
      <c r="P44" t="s">
        <v>2852</v>
      </c>
      <c r="Q44">
        <v>17</v>
      </c>
      <c r="R44" t="s">
        <v>2875</v>
      </c>
      <c r="S44">
        <v>16.082</v>
      </c>
      <c r="T44" t="s">
        <v>2876</v>
      </c>
      <c r="U44" t="s">
        <v>2877</v>
      </c>
      <c r="V44" t="s">
        <v>2836</v>
      </c>
      <c r="W44" t="s">
        <v>2938</v>
      </c>
      <c r="X44" t="s">
        <v>2874</v>
      </c>
      <c r="Y44" t="s">
        <v>2829</v>
      </c>
      <c r="Z44" t="s">
        <v>2817</v>
      </c>
      <c r="AA44" t="s">
        <v>2817</v>
      </c>
      <c r="AB44" t="s">
        <v>2816</v>
      </c>
      <c r="AC44" t="s">
        <v>2912</v>
      </c>
      <c r="AD44" t="s">
        <v>2896</v>
      </c>
      <c r="AE44" t="s">
        <v>2830</v>
      </c>
      <c r="AF44" t="s">
        <v>2883</v>
      </c>
      <c r="AG44" t="s">
        <v>2865</v>
      </c>
      <c r="AH44" t="s">
        <v>2823</v>
      </c>
      <c r="AI44">
        <v>1</v>
      </c>
      <c r="AJ44">
        <v>936</v>
      </c>
      <c r="AK44">
        <v>93590.64</v>
      </c>
      <c r="AL44">
        <v>99.99</v>
      </c>
      <c r="AM44">
        <v>0.5259</v>
      </c>
      <c r="AN44">
        <v>32.41</v>
      </c>
      <c r="AO44">
        <v>4.4</v>
      </c>
      <c r="AP44">
        <v>1109</v>
      </c>
      <c r="AQ44">
        <v>0.0342</v>
      </c>
      <c r="AR44">
        <v>32</v>
      </c>
      <c r="AT44" t="s">
        <v>854</v>
      </c>
      <c r="AU44" t="s">
        <v>1329</v>
      </c>
      <c r="AV44">
        <v>348</v>
      </c>
      <c r="AW44">
        <v>1</v>
      </c>
      <c r="AX44">
        <v>3</v>
      </c>
      <c r="AY44" t="s">
        <v>1330</v>
      </c>
      <c r="AZ44" t="s">
        <v>65</v>
      </c>
      <c r="BA44" t="s">
        <v>1331</v>
      </c>
      <c r="BB44" t="s">
        <v>856</v>
      </c>
      <c r="BC44" t="s">
        <v>1332</v>
      </c>
      <c r="BD44" t="s">
        <v>1333</v>
      </c>
    </row>
    <row r="45" ht="20" spans="1:56">
      <c r="A45" t="str">
        <f>_xlfn.DISPIMG("ID_1DC3B922AC8C44E1AED1D10E68582928",1)</f>
        <v>=DISPIMG("ID_1DC3B922AC8C44E1AED1D10E68582928",1)</v>
      </c>
      <c r="B45" t="s">
        <v>1334</v>
      </c>
      <c r="C45" t="s">
        <v>1334</v>
      </c>
      <c r="D45" t="s">
        <v>65</v>
      </c>
      <c r="E45" t="s">
        <v>1335</v>
      </c>
      <c r="F45" t="s">
        <v>1336</v>
      </c>
      <c r="G45" t="s">
        <v>861</v>
      </c>
      <c r="H45" t="s">
        <v>1337</v>
      </c>
      <c r="I45" t="s">
        <v>1338</v>
      </c>
      <c r="J45" t="s">
        <v>864</v>
      </c>
      <c r="K45" t="s">
        <v>850</v>
      </c>
      <c r="L45" t="s">
        <v>851</v>
      </c>
      <c r="M45">
        <v>6184</v>
      </c>
      <c r="N45" t="s">
        <v>1339</v>
      </c>
      <c r="O45" t="s">
        <v>1340</v>
      </c>
      <c r="P45" t="s">
        <v>2852</v>
      </c>
      <c r="Q45">
        <v>30</v>
      </c>
      <c r="R45" t="s">
        <v>2952</v>
      </c>
      <c r="S45">
        <v>28.38</v>
      </c>
      <c r="T45" t="s">
        <v>2953</v>
      </c>
      <c r="U45" t="s">
        <v>2877</v>
      </c>
      <c r="V45" t="s">
        <v>2836</v>
      </c>
      <c r="W45" t="s">
        <v>2849</v>
      </c>
      <c r="X45" t="s">
        <v>2874</v>
      </c>
      <c r="Y45" t="s">
        <v>2829</v>
      </c>
      <c r="Z45" t="s">
        <v>2817</v>
      </c>
      <c r="AA45" t="s">
        <v>2817</v>
      </c>
      <c r="AB45" t="s">
        <v>2816</v>
      </c>
      <c r="AC45" t="s">
        <v>2912</v>
      </c>
      <c r="AD45" t="s">
        <v>2896</v>
      </c>
      <c r="AE45" t="s">
        <v>2880</v>
      </c>
      <c r="AF45" t="s">
        <v>2821</v>
      </c>
      <c r="AG45" t="s">
        <v>2865</v>
      </c>
      <c r="AH45" t="s">
        <v>2823</v>
      </c>
      <c r="AI45">
        <v>1</v>
      </c>
      <c r="AJ45">
        <v>1895</v>
      </c>
      <c r="AK45">
        <v>360031.06</v>
      </c>
      <c r="AL45">
        <v>189.99</v>
      </c>
      <c r="AM45">
        <v>0.6772</v>
      </c>
      <c r="AN45">
        <v>32.83</v>
      </c>
      <c r="AO45">
        <v>4.5</v>
      </c>
      <c r="AP45">
        <v>10554</v>
      </c>
      <c r="AQ45">
        <v>0.0686</v>
      </c>
      <c r="AR45">
        <v>130</v>
      </c>
      <c r="AT45" t="s">
        <v>854</v>
      </c>
      <c r="AU45" t="s">
        <v>1341</v>
      </c>
      <c r="AV45">
        <v>1303</v>
      </c>
      <c r="AW45">
        <v>1</v>
      </c>
      <c r="AX45">
        <v>3</v>
      </c>
      <c r="AY45" t="s">
        <v>867</v>
      </c>
      <c r="AZ45" t="s">
        <v>65</v>
      </c>
      <c r="BA45" t="s">
        <v>65</v>
      </c>
      <c r="BB45" t="s">
        <v>856</v>
      </c>
      <c r="BC45" t="s">
        <v>1342</v>
      </c>
      <c r="BD45" t="s">
        <v>1343</v>
      </c>
    </row>
    <row r="46" ht="20" spans="1:56">
      <c r="A46" t="str">
        <f>_xlfn.DISPIMG("ID_14C66A68CCD44D66B23E9F77B6546631",1)</f>
        <v>=DISPIMG("ID_14C66A68CCD44D66B23E9F77B6546631",1)</v>
      </c>
      <c r="B46" t="s">
        <v>1344</v>
      </c>
      <c r="C46" t="s">
        <v>1344</v>
      </c>
      <c r="D46" t="s">
        <v>65</v>
      </c>
      <c r="E46" t="s">
        <v>1345</v>
      </c>
      <c r="F46" t="s">
        <v>1346</v>
      </c>
      <c r="G46" t="s">
        <v>1173</v>
      </c>
      <c r="H46" t="s">
        <v>1347</v>
      </c>
      <c r="I46" t="s">
        <v>1348</v>
      </c>
      <c r="J46" t="s">
        <v>934</v>
      </c>
      <c r="K46" t="s">
        <v>850</v>
      </c>
      <c r="L46" t="s">
        <v>851</v>
      </c>
      <c r="M46">
        <v>6281</v>
      </c>
      <c r="N46" t="s">
        <v>852</v>
      </c>
      <c r="O46" t="s">
        <v>1349</v>
      </c>
      <c r="P46" t="s">
        <v>2809</v>
      </c>
      <c r="Q46">
        <v>7</v>
      </c>
      <c r="R46" t="s">
        <v>2941</v>
      </c>
      <c r="S46">
        <v>6.622</v>
      </c>
      <c r="T46" t="s">
        <v>2942</v>
      </c>
      <c r="U46" t="s">
        <v>64</v>
      </c>
      <c r="V46" t="s">
        <v>2812</v>
      </c>
      <c r="W46" t="s">
        <v>2878</v>
      </c>
      <c r="X46" t="s">
        <v>2844</v>
      </c>
      <c r="Y46" t="s">
        <v>2815</v>
      </c>
      <c r="Z46" t="s">
        <v>2816</v>
      </c>
      <c r="AA46" t="s">
        <v>2817</v>
      </c>
      <c r="AB46" t="s">
        <v>2816</v>
      </c>
      <c r="AC46" t="s">
        <v>2818</v>
      </c>
      <c r="AD46" t="s">
        <v>2819</v>
      </c>
      <c r="AE46" t="s">
        <v>2906</v>
      </c>
      <c r="AF46" t="s">
        <v>2821</v>
      </c>
      <c r="AG46" t="s">
        <v>2822</v>
      </c>
      <c r="AH46" t="s">
        <v>2823</v>
      </c>
      <c r="AI46">
        <v>1</v>
      </c>
      <c r="AJ46">
        <v>1535</v>
      </c>
      <c r="AK46">
        <v>184184.64</v>
      </c>
      <c r="AL46">
        <v>119.99</v>
      </c>
      <c r="AM46">
        <v>0.6814</v>
      </c>
      <c r="AN46">
        <v>20.23</v>
      </c>
      <c r="AO46">
        <v>4.7</v>
      </c>
      <c r="AP46">
        <v>15447</v>
      </c>
      <c r="AQ46">
        <v>0.058</v>
      </c>
      <c r="AR46">
        <v>89</v>
      </c>
      <c r="AT46" t="s">
        <v>876</v>
      </c>
      <c r="AU46" t="s">
        <v>1350</v>
      </c>
      <c r="AV46">
        <v>1242</v>
      </c>
      <c r="AW46">
        <v>1</v>
      </c>
      <c r="AX46">
        <v>1</v>
      </c>
      <c r="AY46" t="s">
        <v>867</v>
      </c>
      <c r="AZ46" t="s">
        <v>65</v>
      </c>
      <c r="BA46" t="s">
        <v>65</v>
      </c>
      <c r="BB46" t="s">
        <v>856</v>
      </c>
      <c r="BC46" t="s">
        <v>1351</v>
      </c>
      <c r="BD46" t="s">
        <v>1352</v>
      </c>
    </row>
    <row r="47" ht="20" spans="1:56">
      <c r="A47" t="str">
        <f>_xlfn.DISPIMG("ID_A5C88BD34EDF4F8F84ED339150119AA7",1)</f>
        <v>=DISPIMG("ID_A5C88BD34EDF4F8F84ED339150119AA7",1)</v>
      </c>
      <c r="B47" t="s">
        <v>1353</v>
      </c>
      <c r="C47" t="s">
        <v>1353</v>
      </c>
      <c r="D47" t="s">
        <v>65</v>
      </c>
      <c r="E47" t="s">
        <v>1354</v>
      </c>
      <c r="F47" t="s">
        <v>1355</v>
      </c>
      <c r="G47" t="s">
        <v>971</v>
      </c>
      <c r="H47" t="s">
        <v>1356</v>
      </c>
      <c r="I47" t="s">
        <v>1357</v>
      </c>
      <c r="J47" t="s">
        <v>974</v>
      </c>
      <c r="K47" t="s">
        <v>850</v>
      </c>
      <c r="L47" t="s">
        <v>851</v>
      </c>
      <c r="M47">
        <v>6440</v>
      </c>
      <c r="N47" t="s">
        <v>852</v>
      </c>
      <c r="O47" t="s">
        <v>1358</v>
      </c>
      <c r="P47" t="s">
        <v>2809</v>
      </c>
      <c r="Q47">
        <v>8</v>
      </c>
      <c r="R47" t="s">
        <v>2869</v>
      </c>
      <c r="S47">
        <v>7.568</v>
      </c>
      <c r="T47" t="s">
        <v>2870</v>
      </c>
      <c r="U47" t="s">
        <v>64</v>
      </c>
      <c r="V47" t="s">
        <v>2812</v>
      </c>
      <c r="W47" t="s">
        <v>2894</v>
      </c>
      <c r="X47" t="s">
        <v>2874</v>
      </c>
      <c r="Y47" t="s">
        <v>2815</v>
      </c>
      <c r="Z47" t="s">
        <v>2816</v>
      </c>
      <c r="AA47" t="s">
        <v>2817</v>
      </c>
      <c r="AB47" t="s">
        <v>2817</v>
      </c>
      <c r="AC47" t="s">
        <v>2922</v>
      </c>
      <c r="AD47" t="s">
        <v>2850</v>
      </c>
      <c r="AE47" t="s">
        <v>2840</v>
      </c>
      <c r="AF47" t="s">
        <v>2851</v>
      </c>
      <c r="AG47" t="s">
        <v>2865</v>
      </c>
      <c r="AH47" t="s">
        <v>2823</v>
      </c>
      <c r="AI47">
        <v>1</v>
      </c>
      <c r="AJ47">
        <v>1712</v>
      </c>
      <c r="AK47">
        <v>178048</v>
      </c>
      <c r="AL47">
        <v>104</v>
      </c>
      <c r="AM47">
        <v>0.6555</v>
      </c>
      <c r="AN47">
        <v>20.23</v>
      </c>
      <c r="AO47">
        <v>4.5</v>
      </c>
      <c r="AP47">
        <v>7450</v>
      </c>
      <c r="AQ47">
        <v>0.0567</v>
      </c>
      <c r="AR47">
        <v>97</v>
      </c>
      <c r="AT47" t="s">
        <v>947</v>
      </c>
      <c r="AU47" t="s">
        <v>1359</v>
      </c>
      <c r="AV47">
        <v>1027</v>
      </c>
      <c r="AW47">
        <v>1</v>
      </c>
      <c r="AX47">
        <v>2</v>
      </c>
      <c r="AY47" t="s">
        <v>867</v>
      </c>
      <c r="AZ47" t="s">
        <v>65</v>
      </c>
      <c r="BA47" t="s">
        <v>65</v>
      </c>
      <c r="BB47" t="s">
        <v>856</v>
      </c>
      <c r="BC47" t="s">
        <v>1360</v>
      </c>
      <c r="BD47" t="s">
        <v>1361</v>
      </c>
    </row>
    <row r="48" ht="20" spans="1:56">
      <c r="A48" t="str">
        <f>_xlfn.DISPIMG("ID_DF255A0C652948E2806FD4AAEF1D7897",1)</f>
        <v>=DISPIMG("ID_DF255A0C652948E2806FD4AAEF1D7897",1)</v>
      </c>
      <c r="B48" t="s">
        <v>206</v>
      </c>
      <c r="C48" t="s">
        <v>206</v>
      </c>
      <c r="D48" t="s">
        <v>65</v>
      </c>
      <c r="E48" t="s">
        <v>1362</v>
      </c>
      <c r="F48" t="s">
        <v>1363</v>
      </c>
      <c r="G48" t="s">
        <v>1364</v>
      </c>
      <c r="H48" t="s">
        <v>1365</v>
      </c>
      <c r="I48" t="s">
        <v>1366</v>
      </c>
      <c r="J48" t="s">
        <v>934</v>
      </c>
      <c r="K48" t="s">
        <v>850</v>
      </c>
      <c r="L48" t="s">
        <v>851</v>
      </c>
      <c r="M48">
        <v>6473</v>
      </c>
      <c r="N48" t="s">
        <v>852</v>
      </c>
      <c r="O48" t="s">
        <v>1367</v>
      </c>
      <c r="P48" t="s">
        <v>2809</v>
      </c>
      <c r="Q48">
        <v>6.8</v>
      </c>
      <c r="R48" t="s">
        <v>2954</v>
      </c>
      <c r="S48">
        <v>6.4328</v>
      </c>
      <c r="T48" t="s">
        <v>2955</v>
      </c>
      <c r="U48" t="s">
        <v>64</v>
      </c>
      <c r="V48" t="s">
        <v>2812</v>
      </c>
      <c r="W48" t="s">
        <v>2947</v>
      </c>
      <c r="X48" t="s">
        <v>2828</v>
      </c>
      <c r="Y48" t="s">
        <v>2829</v>
      </c>
      <c r="Z48" t="s">
        <v>2817</v>
      </c>
      <c r="AA48" t="s">
        <v>2817</v>
      </c>
      <c r="AB48" t="s">
        <v>2816</v>
      </c>
      <c r="AC48" t="s">
        <v>2818</v>
      </c>
      <c r="AD48" t="s">
        <v>2850</v>
      </c>
      <c r="AE48" t="s">
        <v>2906</v>
      </c>
      <c r="AF48" t="s">
        <v>2867</v>
      </c>
      <c r="AG48" t="s">
        <v>2822</v>
      </c>
      <c r="AH48" t="s">
        <v>2823</v>
      </c>
      <c r="AI48">
        <v>1</v>
      </c>
      <c r="AJ48">
        <v>1757</v>
      </c>
      <c r="AK48">
        <v>208081.52</v>
      </c>
      <c r="AL48">
        <v>118.43</v>
      </c>
      <c r="AM48">
        <v>0.665</v>
      </c>
      <c r="AN48">
        <v>21.91</v>
      </c>
      <c r="AO48">
        <v>4.8</v>
      </c>
      <c r="AP48">
        <v>3064</v>
      </c>
      <c r="AQ48">
        <v>0.0711</v>
      </c>
      <c r="AR48">
        <v>125</v>
      </c>
      <c r="AT48" t="s">
        <v>947</v>
      </c>
      <c r="AU48" t="s">
        <v>1368</v>
      </c>
      <c r="AV48">
        <v>545</v>
      </c>
      <c r="AW48">
        <v>1</v>
      </c>
      <c r="AX48">
        <v>1</v>
      </c>
      <c r="AY48" t="s">
        <v>867</v>
      </c>
      <c r="AZ48" t="s">
        <v>65</v>
      </c>
      <c r="BA48" t="s">
        <v>65</v>
      </c>
      <c r="BB48" t="s">
        <v>856</v>
      </c>
      <c r="BC48" t="s">
        <v>868</v>
      </c>
      <c r="BD48" t="s">
        <v>1369</v>
      </c>
    </row>
    <row r="49" ht="20" spans="1:56">
      <c r="A49" t="str">
        <f>_xlfn.DISPIMG("ID_54E0AFE17F184E5990F96C254B254664",1)</f>
        <v>=DISPIMG("ID_54E0AFE17F184E5990F96C254B254664",1)</v>
      </c>
      <c r="B49" t="s">
        <v>1370</v>
      </c>
      <c r="C49" t="s">
        <v>1370</v>
      </c>
      <c r="D49" t="s">
        <v>65</v>
      </c>
      <c r="E49" t="s">
        <v>1371</v>
      </c>
      <c r="F49" t="s">
        <v>1372</v>
      </c>
      <c r="G49" t="s">
        <v>846</v>
      </c>
      <c r="H49" t="s">
        <v>1373</v>
      </c>
      <c r="I49" t="s">
        <v>1374</v>
      </c>
      <c r="J49" t="s">
        <v>934</v>
      </c>
      <c r="K49" t="s">
        <v>850</v>
      </c>
      <c r="L49" t="s">
        <v>851</v>
      </c>
      <c r="M49">
        <v>6834</v>
      </c>
      <c r="N49" t="s">
        <v>852</v>
      </c>
      <c r="O49" t="s">
        <v>1266</v>
      </c>
      <c r="P49" t="s">
        <v>2852</v>
      </c>
      <c r="Q49">
        <v>3.8</v>
      </c>
      <c r="R49" t="s">
        <v>2956</v>
      </c>
      <c r="S49">
        <v>3.5948</v>
      </c>
      <c r="T49" t="s">
        <v>2957</v>
      </c>
      <c r="U49" t="s">
        <v>2877</v>
      </c>
      <c r="V49" t="s">
        <v>2812</v>
      </c>
      <c r="W49" t="s">
        <v>2920</v>
      </c>
      <c r="X49" t="s">
        <v>2874</v>
      </c>
      <c r="Y49" t="s">
        <v>2895</v>
      </c>
      <c r="Z49" t="s">
        <v>2817</v>
      </c>
      <c r="AA49" t="s">
        <v>2817</v>
      </c>
      <c r="AB49" t="s">
        <v>2816</v>
      </c>
      <c r="AC49" t="s">
        <v>2912</v>
      </c>
      <c r="AD49" t="s">
        <v>2896</v>
      </c>
      <c r="AE49" t="s">
        <v>2857</v>
      </c>
      <c r="AF49" t="s">
        <v>2831</v>
      </c>
      <c r="AG49" t="s">
        <v>2822</v>
      </c>
      <c r="AH49" t="s">
        <v>2884</v>
      </c>
      <c r="AI49">
        <v>1</v>
      </c>
      <c r="AJ49">
        <v>702</v>
      </c>
      <c r="AK49">
        <v>161452.98</v>
      </c>
      <c r="AL49">
        <v>229.99</v>
      </c>
      <c r="AM49">
        <v>0.7529</v>
      </c>
      <c r="AN49">
        <v>22.33</v>
      </c>
      <c r="AO49">
        <v>4.6</v>
      </c>
      <c r="AP49">
        <v>469</v>
      </c>
      <c r="AQ49">
        <v>0.0969</v>
      </c>
      <c r="AR49">
        <v>68</v>
      </c>
      <c r="AT49" t="s">
        <v>876</v>
      </c>
      <c r="AU49" t="s">
        <v>1375</v>
      </c>
      <c r="AV49">
        <v>597</v>
      </c>
      <c r="AW49">
        <v>1</v>
      </c>
      <c r="AX49">
        <v>6</v>
      </c>
      <c r="AY49" t="s">
        <v>867</v>
      </c>
      <c r="AZ49" t="s">
        <v>65</v>
      </c>
      <c r="BA49" t="s">
        <v>65</v>
      </c>
      <c r="BB49" t="s">
        <v>856</v>
      </c>
      <c r="BC49" t="s">
        <v>1376</v>
      </c>
      <c r="BD49" t="s">
        <v>1377</v>
      </c>
    </row>
    <row r="50" ht="20" spans="1:56">
      <c r="A50" t="str">
        <f>_xlfn.DISPIMG("ID_CF4CFA9B4BA044A4B75C7FB917181C2E",1)</f>
        <v>=DISPIMG("ID_CF4CFA9B4BA044A4B75C7FB917181C2E",1)</v>
      </c>
      <c r="B50" t="s">
        <v>1390</v>
      </c>
      <c r="C50" t="s">
        <v>1391</v>
      </c>
      <c r="D50" t="s">
        <v>1392</v>
      </c>
      <c r="E50" t="s">
        <v>1393</v>
      </c>
      <c r="F50" t="s">
        <v>1394</v>
      </c>
      <c r="G50" t="s">
        <v>1395</v>
      </c>
      <c r="H50" t="s">
        <v>1396</v>
      </c>
      <c r="I50" t="s">
        <v>1397</v>
      </c>
      <c r="J50" t="s">
        <v>934</v>
      </c>
      <c r="K50" t="s">
        <v>850</v>
      </c>
      <c r="L50" t="s">
        <v>851</v>
      </c>
      <c r="M50">
        <v>3421</v>
      </c>
      <c r="N50" t="s">
        <v>852</v>
      </c>
      <c r="O50" t="s">
        <v>1398</v>
      </c>
      <c r="P50" t="s">
        <v>2958</v>
      </c>
      <c r="Q50">
        <v>4.5</v>
      </c>
      <c r="R50" t="s">
        <v>2959</v>
      </c>
      <c r="S50">
        <v>4.257</v>
      </c>
      <c r="T50" t="s">
        <v>2960</v>
      </c>
      <c r="U50" t="s">
        <v>64</v>
      </c>
      <c r="V50" t="s">
        <v>2812</v>
      </c>
      <c r="W50" t="s">
        <v>2878</v>
      </c>
      <c r="X50" t="s">
        <v>2921</v>
      </c>
      <c r="Y50" t="s">
        <v>2815</v>
      </c>
      <c r="Z50" t="s">
        <v>2816</v>
      </c>
      <c r="AA50" t="s">
        <v>2817</v>
      </c>
      <c r="AB50" t="s">
        <v>2816</v>
      </c>
      <c r="AC50" t="s">
        <v>2818</v>
      </c>
      <c r="AD50" t="s">
        <v>2850</v>
      </c>
      <c r="AE50" t="s">
        <v>2939</v>
      </c>
      <c r="AF50" t="s">
        <v>2831</v>
      </c>
      <c r="AG50" t="s">
        <v>2822</v>
      </c>
      <c r="AH50" t="s">
        <v>2823</v>
      </c>
      <c r="AI50">
        <v>1</v>
      </c>
      <c r="AJ50">
        <v>1109</v>
      </c>
      <c r="AK50">
        <v>70920.555</v>
      </c>
      <c r="AL50">
        <v>79.95</v>
      </c>
      <c r="AM50">
        <v>0.5928</v>
      </c>
      <c r="AN50">
        <v>16.45</v>
      </c>
      <c r="AO50">
        <v>4.7</v>
      </c>
      <c r="AP50">
        <v>1535</v>
      </c>
      <c r="AQ50">
        <v>0.0541</v>
      </c>
      <c r="AR50">
        <v>60</v>
      </c>
      <c r="AT50" t="s">
        <v>876</v>
      </c>
      <c r="AU50" t="s">
        <v>1399</v>
      </c>
      <c r="AV50">
        <v>630</v>
      </c>
      <c r="AW50">
        <v>4</v>
      </c>
      <c r="AX50">
        <v>2</v>
      </c>
      <c r="AY50" t="s">
        <v>1400</v>
      </c>
      <c r="AZ50" t="s">
        <v>1401</v>
      </c>
      <c r="BA50" t="s">
        <v>1402</v>
      </c>
      <c r="BB50" t="s">
        <v>997</v>
      </c>
      <c r="BC50" t="s">
        <v>1403</v>
      </c>
      <c r="BD50" t="s">
        <v>1404</v>
      </c>
    </row>
    <row r="51" ht="20" spans="1:56">
      <c r="A51" t="str">
        <f>_xlfn.DISPIMG("ID_ABB6A3F814174AC4B033F51D49C7DE64",1)</f>
        <v>=DISPIMG("ID_ABB6A3F814174AC4B033F51D49C7DE64",1)</v>
      </c>
      <c r="B51" t="s">
        <v>1405</v>
      </c>
      <c r="C51" t="s">
        <v>1405</v>
      </c>
      <c r="D51" t="s">
        <v>65</v>
      </c>
      <c r="E51" t="s">
        <v>1406</v>
      </c>
      <c r="F51" t="s">
        <v>1407</v>
      </c>
      <c r="G51" t="s">
        <v>1408</v>
      </c>
      <c r="H51" t="s">
        <v>1409</v>
      </c>
      <c r="I51" t="s">
        <v>1410</v>
      </c>
      <c r="J51" t="s">
        <v>934</v>
      </c>
      <c r="K51" t="s">
        <v>850</v>
      </c>
      <c r="L51" t="s">
        <v>851</v>
      </c>
      <c r="M51">
        <v>9111</v>
      </c>
      <c r="N51" t="s">
        <v>852</v>
      </c>
      <c r="O51" t="s">
        <v>1411</v>
      </c>
      <c r="P51" t="s">
        <v>2809</v>
      </c>
      <c r="Q51">
        <v>7</v>
      </c>
      <c r="R51" t="s">
        <v>2941</v>
      </c>
      <c r="S51">
        <v>6.622</v>
      </c>
      <c r="T51" t="s">
        <v>2942</v>
      </c>
      <c r="U51" t="s">
        <v>64</v>
      </c>
      <c r="V51" t="s">
        <v>2812</v>
      </c>
      <c r="W51" t="s">
        <v>2837</v>
      </c>
      <c r="X51" t="s">
        <v>2844</v>
      </c>
      <c r="Y51" t="s">
        <v>2815</v>
      </c>
      <c r="Z51" t="s">
        <v>2816</v>
      </c>
      <c r="AA51" t="s">
        <v>2817</v>
      </c>
      <c r="AB51" t="s">
        <v>2816</v>
      </c>
      <c r="AC51" t="s">
        <v>2818</v>
      </c>
      <c r="AD51" t="s">
        <v>2819</v>
      </c>
      <c r="AE51" t="s">
        <v>2906</v>
      </c>
      <c r="AF51" t="s">
        <v>2851</v>
      </c>
      <c r="AG51" t="s">
        <v>2822</v>
      </c>
      <c r="AH51" t="s">
        <v>2823</v>
      </c>
      <c r="AI51">
        <v>1</v>
      </c>
      <c r="AJ51">
        <v>1487</v>
      </c>
      <c r="AK51">
        <v>178425.12</v>
      </c>
      <c r="AL51">
        <v>119.99</v>
      </c>
      <c r="AM51">
        <v>0.6919</v>
      </c>
      <c r="AN51">
        <v>18.97</v>
      </c>
      <c r="AO51">
        <v>4.6</v>
      </c>
      <c r="AP51">
        <v>5423</v>
      </c>
      <c r="AQ51">
        <v>0.0585</v>
      </c>
      <c r="AR51">
        <v>87</v>
      </c>
      <c r="AT51" t="s">
        <v>947</v>
      </c>
      <c r="AU51" t="s">
        <v>1412</v>
      </c>
      <c r="AV51">
        <v>958</v>
      </c>
      <c r="AW51">
        <v>1</v>
      </c>
      <c r="AX51">
        <v>2</v>
      </c>
      <c r="AY51" t="s">
        <v>867</v>
      </c>
      <c r="AZ51" t="s">
        <v>65</v>
      </c>
      <c r="BA51" t="s">
        <v>65</v>
      </c>
      <c r="BB51" t="s">
        <v>856</v>
      </c>
      <c r="BC51" t="s">
        <v>1413</v>
      </c>
      <c r="BD51" t="s">
        <v>1414</v>
      </c>
    </row>
    <row r="52" ht="20" spans="1:56">
      <c r="A52" t="str">
        <f>_xlfn.DISPIMG("ID_5562B5F163DB48C39AF88CF6C6DB9CA7",1)</f>
        <v>=DISPIMG("ID_5562B5F163DB48C39AF88CF6C6DB9CA7",1)</v>
      </c>
      <c r="B52" t="s">
        <v>1415</v>
      </c>
      <c r="C52" t="s">
        <v>1415</v>
      </c>
      <c r="D52" t="s">
        <v>65</v>
      </c>
      <c r="E52" t="s">
        <v>1416</v>
      </c>
      <c r="F52" t="s">
        <v>1417</v>
      </c>
      <c r="G52" t="s">
        <v>1418</v>
      </c>
      <c r="H52" t="s">
        <v>1419</v>
      </c>
      <c r="I52" t="s">
        <v>1420</v>
      </c>
      <c r="J52" t="s">
        <v>974</v>
      </c>
      <c r="K52" t="s">
        <v>850</v>
      </c>
      <c r="L52" t="s">
        <v>851</v>
      </c>
      <c r="M52">
        <v>8292</v>
      </c>
      <c r="N52" t="s">
        <v>852</v>
      </c>
      <c r="O52" t="s">
        <v>1421</v>
      </c>
      <c r="P52" t="s">
        <v>2809</v>
      </c>
      <c r="Q52">
        <v>5.8</v>
      </c>
      <c r="R52" t="s">
        <v>2847</v>
      </c>
      <c r="S52">
        <v>5.4868</v>
      </c>
      <c r="T52" t="s">
        <v>2848</v>
      </c>
      <c r="U52" t="s">
        <v>64</v>
      </c>
      <c r="V52" t="s">
        <v>2812</v>
      </c>
      <c r="W52" t="s">
        <v>2861</v>
      </c>
      <c r="X52" t="s">
        <v>2844</v>
      </c>
      <c r="Y52" t="s">
        <v>2815</v>
      </c>
      <c r="Z52" t="s">
        <v>2816</v>
      </c>
      <c r="AA52" t="s">
        <v>2816</v>
      </c>
      <c r="AB52" t="s">
        <v>2816</v>
      </c>
      <c r="AC52" t="s">
        <v>2863</v>
      </c>
      <c r="AD52" t="s">
        <v>2819</v>
      </c>
      <c r="AE52" t="s">
        <v>2939</v>
      </c>
      <c r="AF52" t="s">
        <v>2821</v>
      </c>
      <c r="AG52" t="s">
        <v>2822</v>
      </c>
      <c r="AH52" t="s">
        <v>2823</v>
      </c>
      <c r="AI52">
        <v>1</v>
      </c>
      <c r="AJ52">
        <v>452</v>
      </c>
      <c r="AK52">
        <v>24335.68</v>
      </c>
      <c r="AL52">
        <v>73.72</v>
      </c>
      <c r="AM52">
        <v>0.4977</v>
      </c>
      <c r="AN52">
        <v>18.97</v>
      </c>
      <c r="AO52">
        <v>4.6</v>
      </c>
      <c r="AP52">
        <v>3489</v>
      </c>
      <c r="AQ52">
        <v>0.0796</v>
      </c>
      <c r="AR52">
        <v>36</v>
      </c>
      <c r="AT52" t="s">
        <v>876</v>
      </c>
      <c r="AU52" t="s">
        <v>1422</v>
      </c>
      <c r="AV52">
        <v>1344</v>
      </c>
      <c r="AW52">
        <v>1</v>
      </c>
      <c r="AX52">
        <v>1</v>
      </c>
      <c r="AY52" t="s">
        <v>1423</v>
      </c>
      <c r="AZ52" t="s">
        <v>65</v>
      </c>
      <c r="BA52" t="s">
        <v>1424</v>
      </c>
      <c r="BB52" t="s">
        <v>856</v>
      </c>
      <c r="BC52" t="s">
        <v>1425</v>
      </c>
      <c r="BD52" t="s">
        <v>1426</v>
      </c>
    </row>
    <row r="53" ht="20" spans="1:56">
      <c r="A53" t="str">
        <f>_xlfn.DISPIMG("ID_DE2B348AB1E54ACAB5026EC97FE64D1A",1)</f>
        <v>=DISPIMG("ID_DE2B348AB1E54ACAB5026EC97FE64D1A",1)</v>
      </c>
      <c r="B53" t="s">
        <v>1427</v>
      </c>
      <c r="C53" t="s">
        <v>1427</v>
      </c>
      <c r="D53" t="s">
        <v>65</v>
      </c>
      <c r="E53" t="s">
        <v>1428</v>
      </c>
      <c r="F53" t="s">
        <v>1429</v>
      </c>
      <c r="G53" t="s">
        <v>1430</v>
      </c>
      <c r="H53" t="s">
        <v>1431</v>
      </c>
      <c r="I53" t="s">
        <v>1432</v>
      </c>
      <c r="J53" t="s">
        <v>934</v>
      </c>
      <c r="K53" t="s">
        <v>850</v>
      </c>
      <c r="L53" t="s">
        <v>851</v>
      </c>
      <c r="M53">
        <v>9571</v>
      </c>
      <c r="N53" t="s">
        <v>852</v>
      </c>
      <c r="O53" t="s">
        <v>1433</v>
      </c>
      <c r="P53" t="s">
        <v>2832</v>
      </c>
      <c r="Q53">
        <v>20</v>
      </c>
      <c r="R53" t="s">
        <v>2961</v>
      </c>
      <c r="S53">
        <v>18.92</v>
      </c>
      <c r="T53" t="s">
        <v>2962</v>
      </c>
      <c r="U53" t="s">
        <v>2835</v>
      </c>
      <c r="V53" t="s">
        <v>2836</v>
      </c>
      <c r="W53" t="s">
        <v>2894</v>
      </c>
      <c r="X53" t="s">
        <v>2874</v>
      </c>
      <c r="Y53" t="s">
        <v>2815</v>
      </c>
      <c r="Z53" t="s">
        <v>2817</v>
      </c>
      <c r="AA53" t="s">
        <v>2817</v>
      </c>
      <c r="AB53" t="s">
        <v>2817</v>
      </c>
      <c r="AC53" t="s">
        <v>2818</v>
      </c>
      <c r="AD53" t="s">
        <v>2889</v>
      </c>
      <c r="AE53" t="s">
        <v>2913</v>
      </c>
      <c r="AF53" t="s">
        <v>2883</v>
      </c>
      <c r="AG53" t="s">
        <v>2822</v>
      </c>
      <c r="AH53" t="s">
        <v>2940</v>
      </c>
      <c r="AI53">
        <v>1</v>
      </c>
      <c r="AJ53">
        <v>872</v>
      </c>
      <c r="AK53">
        <v>113351.28</v>
      </c>
      <c r="AL53">
        <v>169.99</v>
      </c>
      <c r="AM53">
        <v>0.6621</v>
      </c>
      <c r="AN53">
        <v>24.43</v>
      </c>
      <c r="AO53">
        <v>4.8</v>
      </c>
      <c r="AP53">
        <v>203</v>
      </c>
      <c r="AQ53">
        <v>0.1399</v>
      </c>
      <c r="AR53">
        <v>122</v>
      </c>
      <c r="AT53" t="s">
        <v>876</v>
      </c>
      <c r="AU53" t="s">
        <v>1434</v>
      </c>
      <c r="AV53">
        <v>184</v>
      </c>
      <c r="AW53">
        <v>1</v>
      </c>
      <c r="AX53">
        <v>2</v>
      </c>
      <c r="AY53" t="s">
        <v>65</v>
      </c>
      <c r="AZ53" t="s">
        <v>65</v>
      </c>
      <c r="BA53" t="s">
        <v>65</v>
      </c>
      <c r="BB53" t="s">
        <v>856</v>
      </c>
      <c r="BC53" t="s">
        <v>1435</v>
      </c>
      <c r="BD53" t="s">
        <v>1436</v>
      </c>
    </row>
    <row r="54" ht="20" spans="1:56">
      <c r="A54" t="str">
        <f>_xlfn.DISPIMG("ID_1CC8A60928EC4830A6791E0B1D53306D",1)</f>
        <v>=DISPIMG("ID_1CC8A60928EC4830A6791E0B1D53306D",1)</v>
      </c>
      <c r="B54" t="s">
        <v>1437</v>
      </c>
      <c r="C54" t="s">
        <v>1437</v>
      </c>
      <c r="D54" t="s">
        <v>65</v>
      </c>
      <c r="E54" t="s">
        <v>1438</v>
      </c>
      <c r="F54" t="s">
        <v>1439</v>
      </c>
      <c r="G54" t="s">
        <v>931</v>
      </c>
      <c r="H54" t="s">
        <v>1440</v>
      </c>
      <c r="I54" t="s">
        <v>1441</v>
      </c>
      <c r="J54" t="s">
        <v>934</v>
      </c>
      <c r="K54" t="s">
        <v>850</v>
      </c>
      <c r="L54" t="s">
        <v>851</v>
      </c>
      <c r="M54">
        <v>9177</v>
      </c>
      <c r="N54" t="s">
        <v>852</v>
      </c>
      <c r="O54" t="s">
        <v>1433</v>
      </c>
      <c r="P54" t="s">
        <v>2809</v>
      </c>
      <c r="Q54">
        <v>2</v>
      </c>
      <c r="R54" t="s">
        <v>2914</v>
      </c>
      <c r="S54">
        <v>1.892</v>
      </c>
      <c r="T54" t="s">
        <v>2915</v>
      </c>
      <c r="U54" t="s">
        <v>64</v>
      </c>
      <c r="V54" t="s">
        <v>2812</v>
      </c>
      <c r="W54" t="s">
        <v>2861</v>
      </c>
      <c r="X54" t="s">
        <v>2862</v>
      </c>
      <c r="Y54" t="s">
        <v>2815</v>
      </c>
      <c r="Z54" t="s">
        <v>2816</v>
      </c>
      <c r="AA54" t="s">
        <v>2816</v>
      </c>
      <c r="AB54" t="s">
        <v>2816</v>
      </c>
      <c r="AC54" t="s">
        <v>2863</v>
      </c>
      <c r="AD54" t="s">
        <v>2819</v>
      </c>
      <c r="AE54" t="s">
        <v>2916</v>
      </c>
      <c r="AF54" t="s">
        <v>2821</v>
      </c>
      <c r="AG54" t="s">
        <v>2865</v>
      </c>
      <c r="AH54" t="s">
        <v>2823</v>
      </c>
      <c r="AI54">
        <v>1</v>
      </c>
      <c r="AJ54">
        <v>1006</v>
      </c>
      <c r="AK54">
        <v>48257.82</v>
      </c>
      <c r="AL54">
        <v>47.97</v>
      </c>
      <c r="AM54">
        <v>0.5711</v>
      </c>
      <c r="AN54">
        <v>13.93</v>
      </c>
      <c r="AO54">
        <v>4.5</v>
      </c>
      <c r="AP54">
        <v>16382</v>
      </c>
      <c r="AQ54">
        <v>0.0736</v>
      </c>
      <c r="AR54">
        <v>74</v>
      </c>
      <c r="AT54" t="s">
        <v>947</v>
      </c>
      <c r="AU54" t="s">
        <v>1442</v>
      </c>
      <c r="AV54">
        <v>2032</v>
      </c>
      <c r="AW54">
        <v>1</v>
      </c>
      <c r="AX54">
        <v>18</v>
      </c>
      <c r="AY54" t="s">
        <v>1443</v>
      </c>
      <c r="AZ54" t="s">
        <v>1110</v>
      </c>
      <c r="BA54" t="s">
        <v>1444</v>
      </c>
      <c r="BB54" t="s">
        <v>856</v>
      </c>
      <c r="BC54" t="s">
        <v>1445</v>
      </c>
      <c r="BD54" t="s">
        <v>1446</v>
      </c>
    </row>
    <row r="55" ht="20" spans="1:56">
      <c r="A55" t="str">
        <f>_xlfn.DISPIMG("ID_D5F7F4B1288C463CB4FBAB7A63B33D08",1)</f>
        <v>=DISPIMG("ID_D5F7F4B1288C463CB4FBAB7A63B33D08",1)</v>
      </c>
      <c r="B55" t="s">
        <v>352</v>
      </c>
      <c r="C55" t="s">
        <v>352</v>
      </c>
      <c r="D55" t="s">
        <v>65</v>
      </c>
      <c r="E55" t="s">
        <v>1447</v>
      </c>
      <c r="F55" t="s">
        <v>1448</v>
      </c>
      <c r="G55" t="s">
        <v>1152</v>
      </c>
      <c r="H55" t="s">
        <v>1449</v>
      </c>
      <c r="I55" t="s">
        <v>1450</v>
      </c>
      <c r="J55" t="s">
        <v>934</v>
      </c>
      <c r="K55" t="s">
        <v>850</v>
      </c>
      <c r="L55" t="s">
        <v>851</v>
      </c>
      <c r="M55">
        <v>8771</v>
      </c>
      <c r="N55" t="s">
        <v>852</v>
      </c>
      <c r="O55" t="s">
        <v>1411</v>
      </c>
      <c r="P55" t="s">
        <v>2809</v>
      </c>
      <c r="Q55">
        <v>5.8</v>
      </c>
      <c r="R55" t="s">
        <v>2847</v>
      </c>
      <c r="S55">
        <v>5.4868</v>
      </c>
      <c r="T55" t="s">
        <v>2848</v>
      </c>
      <c r="U55" t="s">
        <v>64</v>
      </c>
      <c r="V55" t="s">
        <v>2812</v>
      </c>
      <c r="W55" t="s">
        <v>2894</v>
      </c>
      <c r="X55" t="s">
        <v>2844</v>
      </c>
      <c r="Y55" t="s">
        <v>2815</v>
      </c>
      <c r="Z55" t="s">
        <v>2816</v>
      </c>
      <c r="AA55" t="s">
        <v>2817</v>
      </c>
      <c r="AB55" t="s">
        <v>2816</v>
      </c>
      <c r="AC55" t="s">
        <v>2818</v>
      </c>
      <c r="AD55" t="s">
        <v>2819</v>
      </c>
      <c r="AE55" t="s">
        <v>2939</v>
      </c>
      <c r="AF55" t="s">
        <v>2821</v>
      </c>
      <c r="AG55" t="s">
        <v>2822</v>
      </c>
      <c r="AH55" t="s">
        <v>2823</v>
      </c>
      <c r="AI55">
        <v>1</v>
      </c>
      <c r="AJ55">
        <v>1104</v>
      </c>
      <c r="AK55">
        <v>88308.96</v>
      </c>
      <c r="AL55">
        <v>79.99</v>
      </c>
      <c r="AM55">
        <v>0.6129</v>
      </c>
      <c r="AN55">
        <v>18.97</v>
      </c>
      <c r="AO55">
        <v>4.7</v>
      </c>
      <c r="AP55">
        <v>12125</v>
      </c>
      <c r="AQ55">
        <v>0.173</v>
      </c>
      <c r="AR55">
        <v>191</v>
      </c>
      <c r="AT55" t="s">
        <v>876</v>
      </c>
      <c r="AU55" t="s">
        <v>1451</v>
      </c>
      <c r="AV55">
        <v>1308</v>
      </c>
      <c r="AW55">
        <v>1</v>
      </c>
      <c r="AX55">
        <v>1</v>
      </c>
      <c r="AY55" t="s">
        <v>1452</v>
      </c>
      <c r="AZ55" t="s">
        <v>1288</v>
      </c>
      <c r="BA55" t="s">
        <v>1453</v>
      </c>
      <c r="BB55" t="s">
        <v>856</v>
      </c>
      <c r="BC55" t="s">
        <v>1454</v>
      </c>
      <c r="BD55" t="s">
        <v>1455</v>
      </c>
    </row>
    <row r="56" ht="20" spans="1:56">
      <c r="A56" t="str">
        <f>_xlfn.DISPIMG("ID_F156718E2A894CB5961DE06C24ED3617",1)</f>
        <v>=DISPIMG("ID_F156718E2A894CB5961DE06C24ED3617",1)</v>
      </c>
      <c r="B56" t="s">
        <v>163</v>
      </c>
      <c r="C56" t="s">
        <v>163</v>
      </c>
      <c r="D56" t="s">
        <v>65</v>
      </c>
      <c r="E56" t="s">
        <v>1468</v>
      </c>
      <c r="F56" t="s">
        <v>1469</v>
      </c>
      <c r="G56" t="s">
        <v>1069</v>
      </c>
      <c r="H56" t="s">
        <v>1470</v>
      </c>
      <c r="I56" t="s">
        <v>1471</v>
      </c>
      <c r="J56" t="s">
        <v>864</v>
      </c>
      <c r="K56" t="s">
        <v>850</v>
      </c>
      <c r="L56" t="s">
        <v>851</v>
      </c>
      <c r="M56">
        <v>13651</v>
      </c>
      <c r="N56" t="s">
        <v>852</v>
      </c>
      <c r="O56" t="s">
        <v>1472</v>
      </c>
      <c r="P56" t="s">
        <v>2963</v>
      </c>
      <c r="Q56">
        <v>1.1</v>
      </c>
      <c r="R56" t="s">
        <v>2964</v>
      </c>
      <c r="S56">
        <v>1.0406</v>
      </c>
      <c r="T56" t="s">
        <v>2965</v>
      </c>
      <c r="U56" t="s">
        <v>64</v>
      </c>
      <c r="V56" t="s">
        <v>2812</v>
      </c>
      <c r="W56" t="s">
        <v>2861</v>
      </c>
      <c r="X56" t="s">
        <v>2966</v>
      </c>
      <c r="Y56" t="s">
        <v>2903</v>
      </c>
      <c r="Z56" t="s">
        <v>2816</v>
      </c>
      <c r="AA56" t="s">
        <v>2816</v>
      </c>
      <c r="AB56" t="s">
        <v>2816</v>
      </c>
      <c r="AC56" t="s">
        <v>2863</v>
      </c>
      <c r="AD56" t="s">
        <v>2819</v>
      </c>
      <c r="AE56" t="s">
        <v>2864</v>
      </c>
      <c r="AF56" t="s">
        <v>2851</v>
      </c>
      <c r="AG56" t="s">
        <v>2930</v>
      </c>
      <c r="AH56" t="s">
        <v>2823</v>
      </c>
      <c r="AI56">
        <v>1</v>
      </c>
      <c r="AJ56">
        <v>1121</v>
      </c>
      <c r="AK56">
        <v>40221.48</v>
      </c>
      <c r="AL56">
        <v>35.88</v>
      </c>
      <c r="AM56">
        <v>0.5086</v>
      </c>
      <c r="AN56">
        <v>12.25</v>
      </c>
      <c r="AO56">
        <v>4.1</v>
      </c>
      <c r="AP56">
        <v>6569</v>
      </c>
      <c r="AQ56">
        <v>0.6191</v>
      </c>
      <c r="AR56">
        <v>694</v>
      </c>
      <c r="AT56" t="s">
        <v>876</v>
      </c>
      <c r="AU56" t="s">
        <v>1473</v>
      </c>
      <c r="AV56">
        <v>1063</v>
      </c>
      <c r="AW56">
        <v>1</v>
      </c>
      <c r="AX56">
        <v>5</v>
      </c>
      <c r="AY56" t="s">
        <v>867</v>
      </c>
      <c r="AZ56" t="s">
        <v>65</v>
      </c>
      <c r="BA56" t="s">
        <v>65</v>
      </c>
      <c r="BB56" t="s">
        <v>856</v>
      </c>
      <c r="BC56" t="s">
        <v>1474</v>
      </c>
      <c r="BD56" t="s">
        <v>1475</v>
      </c>
    </row>
    <row r="57" ht="20" spans="1:56">
      <c r="A57" t="str">
        <f>_xlfn.DISPIMG("ID_B1C8BB44B25043D4A886C115934DB689",1)</f>
        <v>=DISPIMG("ID_B1C8BB44B25043D4A886C115934DB689",1)</v>
      </c>
      <c r="B57" t="s">
        <v>1476</v>
      </c>
      <c r="C57" t="s">
        <v>1476</v>
      </c>
      <c r="D57" t="s">
        <v>65</v>
      </c>
      <c r="E57" t="s">
        <v>1477</v>
      </c>
      <c r="F57" t="s">
        <v>1478</v>
      </c>
      <c r="G57" t="s">
        <v>1479</v>
      </c>
      <c r="H57" t="s">
        <v>1480</v>
      </c>
      <c r="I57" t="s">
        <v>1481</v>
      </c>
      <c r="J57" t="s">
        <v>1384</v>
      </c>
      <c r="K57" t="s">
        <v>850</v>
      </c>
      <c r="L57" t="s">
        <v>851</v>
      </c>
      <c r="M57">
        <v>13404</v>
      </c>
      <c r="N57" t="s">
        <v>852</v>
      </c>
      <c r="O57" t="s">
        <v>1482</v>
      </c>
      <c r="P57" t="s">
        <v>2832</v>
      </c>
      <c r="Q57">
        <v>6.2</v>
      </c>
      <c r="R57" t="s">
        <v>2967</v>
      </c>
      <c r="S57">
        <v>5.8652</v>
      </c>
      <c r="T57" t="s">
        <v>2968</v>
      </c>
      <c r="U57" t="s">
        <v>64</v>
      </c>
      <c r="V57" t="s">
        <v>2812</v>
      </c>
      <c r="W57" t="s">
        <v>2894</v>
      </c>
      <c r="X57" t="s">
        <v>2828</v>
      </c>
      <c r="Y57" t="s">
        <v>2815</v>
      </c>
      <c r="Z57" t="s">
        <v>2817</v>
      </c>
      <c r="AA57" t="s">
        <v>2817</v>
      </c>
      <c r="AB57" t="s">
        <v>2816</v>
      </c>
      <c r="AC57" t="s">
        <v>2818</v>
      </c>
      <c r="AD57" t="s">
        <v>2850</v>
      </c>
      <c r="AE57" t="s">
        <v>2939</v>
      </c>
      <c r="AF57" t="s">
        <v>2883</v>
      </c>
      <c r="AG57" t="s">
        <v>2865</v>
      </c>
      <c r="AH57" t="s">
        <v>2940</v>
      </c>
      <c r="AI57">
        <v>1</v>
      </c>
      <c r="AJ57">
        <v>667</v>
      </c>
      <c r="AK57">
        <v>53353.33</v>
      </c>
      <c r="AL57">
        <v>79.99</v>
      </c>
      <c r="AM57">
        <v>0.6181</v>
      </c>
      <c r="AN57">
        <v>18.55</v>
      </c>
      <c r="AO57">
        <v>4.5</v>
      </c>
      <c r="AP57">
        <v>268</v>
      </c>
      <c r="AQ57">
        <v>0.1139</v>
      </c>
      <c r="AR57">
        <v>76</v>
      </c>
      <c r="AT57" t="s">
        <v>1267</v>
      </c>
      <c r="AU57" t="s">
        <v>1483</v>
      </c>
      <c r="AV57">
        <v>217</v>
      </c>
      <c r="AW57">
        <v>1</v>
      </c>
      <c r="AX57">
        <v>1</v>
      </c>
      <c r="AY57" t="s">
        <v>65</v>
      </c>
      <c r="AZ57" t="s">
        <v>65</v>
      </c>
      <c r="BA57" t="s">
        <v>65</v>
      </c>
      <c r="BB57" t="s">
        <v>856</v>
      </c>
      <c r="BC57" t="s">
        <v>1484</v>
      </c>
      <c r="BD57" t="s">
        <v>1485</v>
      </c>
    </row>
    <row r="58" ht="20" spans="1:56">
      <c r="A58" t="str">
        <f>_xlfn.DISPIMG("ID_695D1CCC4CA045139C4ABF47E1CCACBF",1)</f>
        <v>=DISPIMG("ID_695D1CCC4CA045139C4ABF47E1CCACBF",1)</v>
      </c>
      <c r="B58" t="s">
        <v>1486</v>
      </c>
      <c r="C58" t="s">
        <v>1486</v>
      </c>
      <c r="D58" t="s">
        <v>65</v>
      </c>
      <c r="E58" t="s">
        <v>1487</v>
      </c>
      <c r="F58" t="s">
        <v>1488</v>
      </c>
      <c r="G58" t="s">
        <v>1479</v>
      </c>
      <c r="H58" t="s">
        <v>1489</v>
      </c>
      <c r="I58" t="s">
        <v>1490</v>
      </c>
      <c r="J58" t="s">
        <v>934</v>
      </c>
      <c r="K58" t="s">
        <v>850</v>
      </c>
      <c r="L58" t="s">
        <v>851</v>
      </c>
      <c r="M58">
        <v>13357</v>
      </c>
      <c r="N58" t="s">
        <v>852</v>
      </c>
      <c r="O58" t="s">
        <v>1491</v>
      </c>
      <c r="P58" t="s">
        <v>2809</v>
      </c>
      <c r="Q58">
        <v>12</v>
      </c>
      <c r="R58" t="s">
        <v>2969</v>
      </c>
      <c r="S58">
        <v>11.352</v>
      </c>
      <c r="T58" t="s">
        <v>2970</v>
      </c>
      <c r="U58" t="s">
        <v>2835</v>
      </c>
      <c r="V58" t="s">
        <v>2836</v>
      </c>
      <c r="W58" t="s">
        <v>2894</v>
      </c>
      <c r="X58" t="s">
        <v>2844</v>
      </c>
      <c r="Y58" t="s">
        <v>2815</v>
      </c>
      <c r="Z58" t="s">
        <v>2817</v>
      </c>
      <c r="AA58" t="s">
        <v>2817</v>
      </c>
      <c r="AB58" t="s">
        <v>2816</v>
      </c>
      <c r="AC58" t="s">
        <v>2818</v>
      </c>
      <c r="AD58" t="s">
        <v>2971</v>
      </c>
      <c r="AE58" t="s">
        <v>2820</v>
      </c>
      <c r="AF58" t="s">
        <v>2883</v>
      </c>
      <c r="AG58" t="s">
        <v>2930</v>
      </c>
      <c r="AH58" t="s">
        <v>2940</v>
      </c>
      <c r="AI58">
        <v>1</v>
      </c>
      <c r="AJ58">
        <v>882</v>
      </c>
      <c r="AK58">
        <v>88191.18</v>
      </c>
      <c r="AL58">
        <v>84.99</v>
      </c>
      <c r="AM58">
        <v>0.6351</v>
      </c>
      <c r="AN58">
        <v>21.49</v>
      </c>
      <c r="AO58">
        <v>4.2</v>
      </c>
      <c r="AP58">
        <v>289</v>
      </c>
      <c r="AQ58">
        <v>0.0658</v>
      </c>
      <c r="AR58">
        <v>58</v>
      </c>
      <c r="AT58" t="s">
        <v>1267</v>
      </c>
      <c r="AU58" t="s">
        <v>1492</v>
      </c>
      <c r="AV58">
        <v>336</v>
      </c>
      <c r="AW58">
        <v>1</v>
      </c>
      <c r="AX58">
        <v>1</v>
      </c>
      <c r="AY58" t="s">
        <v>1493</v>
      </c>
      <c r="AZ58" t="s">
        <v>1288</v>
      </c>
      <c r="BA58" t="s">
        <v>1494</v>
      </c>
      <c r="BB58" t="s">
        <v>856</v>
      </c>
      <c r="BC58" t="s">
        <v>1495</v>
      </c>
      <c r="BD58" t="s">
        <v>1496</v>
      </c>
    </row>
    <row r="59" ht="20" spans="1:56">
      <c r="A59" t="str">
        <f>_xlfn.DISPIMG("ID_1F02B86715A94ABAB5EED5849E66B5FD",1)</f>
        <v>=DISPIMG("ID_1F02B86715A94ABAB5EED5849E66B5FD",1)</v>
      </c>
      <c r="B59" t="s">
        <v>1497</v>
      </c>
      <c r="C59" t="s">
        <v>1497</v>
      </c>
      <c r="D59" t="s">
        <v>65</v>
      </c>
      <c r="E59" t="s">
        <v>1498</v>
      </c>
      <c r="F59" t="s">
        <v>1499</v>
      </c>
      <c r="G59" t="s">
        <v>1408</v>
      </c>
      <c r="H59" t="s">
        <v>1500</v>
      </c>
      <c r="I59" t="s">
        <v>1501</v>
      </c>
      <c r="J59" t="s">
        <v>65</v>
      </c>
      <c r="K59" t="s">
        <v>850</v>
      </c>
      <c r="L59" t="s">
        <v>851</v>
      </c>
      <c r="M59">
        <v>9527</v>
      </c>
      <c r="N59" t="s">
        <v>1029</v>
      </c>
      <c r="O59" t="s">
        <v>1502</v>
      </c>
      <c r="P59" t="s">
        <v>2809</v>
      </c>
      <c r="Q59">
        <v>7</v>
      </c>
      <c r="R59" t="s">
        <v>2941</v>
      </c>
      <c r="S59">
        <v>6.622</v>
      </c>
      <c r="T59" t="s">
        <v>2942</v>
      </c>
      <c r="U59" t="s">
        <v>2972</v>
      </c>
      <c r="V59" t="s">
        <v>2812</v>
      </c>
      <c r="W59" t="s">
        <v>2894</v>
      </c>
      <c r="X59" t="s">
        <v>2844</v>
      </c>
      <c r="Y59" t="s">
        <v>2815</v>
      </c>
      <c r="Z59" t="s">
        <v>2816</v>
      </c>
      <c r="AA59" t="s">
        <v>2817</v>
      </c>
      <c r="AB59" t="s">
        <v>2816</v>
      </c>
      <c r="AC59" t="s">
        <v>2818</v>
      </c>
      <c r="AD59" t="s">
        <v>2819</v>
      </c>
      <c r="AE59" t="s">
        <v>2820</v>
      </c>
      <c r="AF59" t="s">
        <v>2900</v>
      </c>
      <c r="AG59" t="s">
        <v>2822</v>
      </c>
      <c r="AH59" t="s">
        <v>2911</v>
      </c>
      <c r="AI59">
        <v>1</v>
      </c>
      <c r="AJ59">
        <v>398</v>
      </c>
      <c r="AK59">
        <v>33833.98</v>
      </c>
      <c r="AL59">
        <v>85.01</v>
      </c>
      <c r="AM59">
        <v>0.5478</v>
      </c>
      <c r="AN59">
        <v>25.69</v>
      </c>
      <c r="AO59">
        <v>4.6</v>
      </c>
      <c r="AP59">
        <v>627</v>
      </c>
      <c r="AQ59">
        <v>0.0528</v>
      </c>
      <c r="AR59">
        <v>21</v>
      </c>
      <c r="AT59" t="s">
        <v>1267</v>
      </c>
      <c r="AU59" t="s">
        <v>1503</v>
      </c>
      <c r="AV59">
        <v>766</v>
      </c>
      <c r="AW59">
        <v>1</v>
      </c>
      <c r="AX59">
        <v>4</v>
      </c>
      <c r="AY59" t="s">
        <v>1032</v>
      </c>
      <c r="AZ59" t="s">
        <v>65</v>
      </c>
      <c r="BA59" t="s">
        <v>1033</v>
      </c>
      <c r="BB59" t="s">
        <v>856</v>
      </c>
      <c r="BC59" t="s">
        <v>1504</v>
      </c>
      <c r="BD59" t="s">
        <v>1505</v>
      </c>
    </row>
    <row r="60" ht="20" spans="1:56">
      <c r="A60" t="str">
        <f>_xlfn.DISPIMG("ID_8C83148C43504D86A1DB58E8CCDF7309",1)</f>
        <v>=DISPIMG("ID_8C83148C43504D86A1DB58E8CCDF7309",1)</v>
      </c>
      <c r="B60" t="s">
        <v>1506</v>
      </c>
      <c r="C60" t="s">
        <v>1507</v>
      </c>
      <c r="D60" t="s">
        <v>1508</v>
      </c>
      <c r="E60" t="s">
        <v>1509</v>
      </c>
      <c r="F60" t="s">
        <v>1510</v>
      </c>
      <c r="G60" t="s">
        <v>1511</v>
      </c>
      <c r="H60" t="s">
        <v>1512</v>
      </c>
      <c r="I60" t="s">
        <v>1513</v>
      </c>
      <c r="J60" t="s">
        <v>934</v>
      </c>
      <c r="K60" t="s">
        <v>1326</v>
      </c>
      <c r="L60" t="s">
        <v>851</v>
      </c>
      <c r="M60">
        <v>9943</v>
      </c>
      <c r="N60" t="s">
        <v>1327</v>
      </c>
      <c r="O60" t="s">
        <v>1514</v>
      </c>
      <c r="P60" t="s">
        <v>2809</v>
      </c>
      <c r="Q60">
        <v>19</v>
      </c>
      <c r="R60" t="s">
        <v>2973</v>
      </c>
      <c r="S60">
        <v>17.974</v>
      </c>
      <c r="T60" t="s">
        <v>2974</v>
      </c>
      <c r="U60" t="s">
        <v>2877</v>
      </c>
      <c r="V60" t="s">
        <v>2904</v>
      </c>
      <c r="W60" t="s">
        <v>2837</v>
      </c>
      <c r="X60" t="s">
        <v>2828</v>
      </c>
      <c r="Y60" t="s">
        <v>2829</v>
      </c>
      <c r="Z60" t="s">
        <v>2817</v>
      </c>
      <c r="AA60" t="s">
        <v>2816</v>
      </c>
      <c r="AB60" t="s">
        <v>2816</v>
      </c>
      <c r="AC60" t="s">
        <v>2863</v>
      </c>
      <c r="AD60" t="s">
        <v>2839</v>
      </c>
      <c r="AE60" t="s">
        <v>2830</v>
      </c>
      <c r="AF60" t="s">
        <v>2831</v>
      </c>
      <c r="AG60" t="s">
        <v>2930</v>
      </c>
      <c r="AH60" t="s">
        <v>2823</v>
      </c>
      <c r="AI60">
        <v>1</v>
      </c>
      <c r="AJ60">
        <v>817</v>
      </c>
      <c r="AK60">
        <v>81691.83</v>
      </c>
      <c r="AL60">
        <v>99.99</v>
      </c>
      <c r="AM60">
        <v>0.6358</v>
      </c>
      <c r="AN60">
        <v>24.85</v>
      </c>
      <c r="AO60">
        <v>4.2</v>
      </c>
      <c r="AP60">
        <v>7786</v>
      </c>
      <c r="AQ60">
        <v>0.0771</v>
      </c>
      <c r="AR60">
        <v>63</v>
      </c>
      <c r="AT60" t="s">
        <v>854</v>
      </c>
      <c r="AU60" t="s">
        <v>914</v>
      </c>
      <c r="AV60">
        <v>605</v>
      </c>
      <c r="AW60">
        <v>3</v>
      </c>
      <c r="AX60">
        <v>3</v>
      </c>
      <c r="AY60" t="s">
        <v>1515</v>
      </c>
      <c r="AZ60" t="s">
        <v>65</v>
      </c>
      <c r="BA60" t="s">
        <v>65</v>
      </c>
      <c r="BB60" t="s">
        <v>1516</v>
      </c>
      <c r="BC60" t="s">
        <v>1517</v>
      </c>
      <c r="BD60" t="s">
        <v>1518</v>
      </c>
    </row>
    <row r="61" ht="20" spans="1:56">
      <c r="A61" t="str">
        <f>_xlfn.DISPIMG("ID_888A755A882D4513BC9D8F5FC20B3AC9",1)</f>
        <v>=DISPIMG("ID_888A755A882D4513BC9D8F5FC20B3AC9",1)</v>
      </c>
      <c r="B61" t="s">
        <v>1519</v>
      </c>
      <c r="C61" t="s">
        <v>1519</v>
      </c>
      <c r="D61" t="s">
        <v>65</v>
      </c>
      <c r="E61" t="s">
        <v>1520</v>
      </c>
      <c r="F61" t="s">
        <v>1521</v>
      </c>
      <c r="G61" t="s">
        <v>971</v>
      </c>
      <c r="H61" t="s">
        <v>1522</v>
      </c>
      <c r="I61" t="s">
        <v>1523</v>
      </c>
      <c r="J61" t="s">
        <v>934</v>
      </c>
      <c r="K61" t="s">
        <v>850</v>
      </c>
      <c r="L61" t="s">
        <v>851</v>
      </c>
      <c r="M61">
        <v>12327</v>
      </c>
      <c r="N61" t="s">
        <v>852</v>
      </c>
      <c r="O61" t="s">
        <v>1524</v>
      </c>
      <c r="P61" t="s">
        <v>2809</v>
      </c>
      <c r="Q61">
        <v>6</v>
      </c>
      <c r="R61" t="s">
        <v>2841</v>
      </c>
      <c r="S61">
        <v>5.676</v>
      </c>
      <c r="T61" t="s">
        <v>2842</v>
      </c>
      <c r="U61" t="s">
        <v>64</v>
      </c>
      <c r="V61" t="s">
        <v>2812</v>
      </c>
      <c r="W61" t="s">
        <v>2878</v>
      </c>
      <c r="X61" t="s">
        <v>2874</v>
      </c>
      <c r="Y61" t="s">
        <v>2815</v>
      </c>
      <c r="Z61" t="s">
        <v>2816</v>
      </c>
      <c r="AA61" t="s">
        <v>2817</v>
      </c>
      <c r="AB61" t="s">
        <v>2817</v>
      </c>
      <c r="AC61" t="s">
        <v>2922</v>
      </c>
      <c r="AD61" t="s">
        <v>2850</v>
      </c>
      <c r="AE61" t="s">
        <v>2840</v>
      </c>
      <c r="AF61" t="s">
        <v>2821</v>
      </c>
      <c r="AG61" t="s">
        <v>2865</v>
      </c>
      <c r="AH61" t="s">
        <v>2823</v>
      </c>
      <c r="AI61">
        <v>1</v>
      </c>
      <c r="AJ61">
        <v>869</v>
      </c>
      <c r="AK61">
        <v>90376</v>
      </c>
      <c r="AL61">
        <v>104</v>
      </c>
      <c r="AM61">
        <v>0.5909</v>
      </c>
      <c r="AN61">
        <v>26.95</v>
      </c>
      <c r="AO61">
        <v>4.5</v>
      </c>
      <c r="AP61">
        <v>3107</v>
      </c>
      <c r="AQ61">
        <v>0.0357</v>
      </c>
      <c r="AR61">
        <v>31</v>
      </c>
      <c r="AT61" t="s">
        <v>876</v>
      </c>
      <c r="AU61" t="s">
        <v>1525</v>
      </c>
      <c r="AV61">
        <v>1285</v>
      </c>
      <c r="AW61">
        <v>1</v>
      </c>
      <c r="AX61">
        <v>8</v>
      </c>
      <c r="AY61" t="s">
        <v>1515</v>
      </c>
      <c r="AZ61" t="s">
        <v>65</v>
      </c>
      <c r="BA61" t="s">
        <v>65</v>
      </c>
      <c r="BB61" t="s">
        <v>1516</v>
      </c>
      <c r="BC61" t="s">
        <v>1526</v>
      </c>
      <c r="BD61" t="s">
        <v>1527</v>
      </c>
    </row>
    <row r="62" ht="20" spans="1:56">
      <c r="A62" t="str">
        <f>_xlfn.DISPIMG("ID_CB4B079C03484E1FABD66C3A8EE5DBCA",1)</f>
        <v>=DISPIMG("ID_CB4B079C03484E1FABD66C3A8EE5DBCA",1)</v>
      </c>
      <c r="B62" t="s">
        <v>130</v>
      </c>
      <c r="C62" t="s">
        <v>130</v>
      </c>
      <c r="D62" t="s">
        <v>65</v>
      </c>
      <c r="E62" t="s">
        <v>1540</v>
      </c>
      <c r="F62" t="s">
        <v>1541</v>
      </c>
      <c r="G62" t="s">
        <v>1173</v>
      </c>
      <c r="H62" t="s">
        <v>1542</v>
      </c>
      <c r="I62" t="s">
        <v>1543</v>
      </c>
      <c r="J62" t="s">
        <v>934</v>
      </c>
      <c r="K62" t="s">
        <v>850</v>
      </c>
      <c r="L62" t="s">
        <v>851</v>
      </c>
      <c r="M62">
        <v>11099</v>
      </c>
      <c r="N62" t="s">
        <v>852</v>
      </c>
      <c r="O62" t="s">
        <v>1544</v>
      </c>
      <c r="P62" t="s">
        <v>2809</v>
      </c>
      <c r="Q62">
        <v>12.7</v>
      </c>
      <c r="R62" t="s">
        <v>2975</v>
      </c>
      <c r="S62">
        <v>12.0142</v>
      </c>
      <c r="T62" t="s">
        <v>2976</v>
      </c>
      <c r="U62" t="s">
        <v>2877</v>
      </c>
      <c r="V62" t="s">
        <v>2836</v>
      </c>
      <c r="W62" t="s">
        <v>2977</v>
      </c>
      <c r="X62" t="s">
        <v>2853</v>
      </c>
      <c r="Y62" t="s">
        <v>2978</v>
      </c>
      <c r="Z62" t="s">
        <v>2817</v>
      </c>
      <c r="AA62" t="s">
        <v>2817</v>
      </c>
      <c r="AB62" t="s">
        <v>2816</v>
      </c>
      <c r="AC62" t="s">
        <v>2818</v>
      </c>
      <c r="AD62" t="s">
        <v>2839</v>
      </c>
      <c r="AE62" t="s">
        <v>2820</v>
      </c>
      <c r="AF62" t="s">
        <v>2821</v>
      </c>
      <c r="AG62" t="s">
        <v>2865</v>
      </c>
      <c r="AH62" t="s">
        <v>2823</v>
      </c>
      <c r="AI62">
        <v>1</v>
      </c>
      <c r="AJ62">
        <v>949</v>
      </c>
      <c r="AK62">
        <v>81272.36</v>
      </c>
      <c r="AL62">
        <v>85.66</v>
      </c>
      <c r="AM62">
        <v>0.5844</v>
      </c>
      <c r="AN62">
        <v>22.75</v>
      </c>
      <c r="AO62">
        <v>4.4</v>
      </c>
      <c r="AP62">
        <v>10891</v>
      </c>
      <c r="AQ62">
        <v>0.1201</v>
      </c>
      <c r="AR62">
        <v>114</v>
      </c>
      <c r="AS62">
        <v>73</v>
      </c>
      <c r="AT62" t="s">
        <v>876</v>
      </c>
      <c r="AU62" t="s">
        <v>1545</v>
      </c>
      <c r="AV62">
        <v>1629</v>
      </c>
      <c r="AW62">
        <v>1</v>
      </c>
      <c r="AX62">
        <v>1</v>
      </c>
      <c r="AY62" t="s">
        <v>867</v>
      </c>
      <c r="AZ62" t="s">
        <v>65</v>
      </c>
      <c r="BA62" t="s">
        <v>65</v>
      </c>
      <c r="BB62" t="s">
        <v>856</v>
      </c>
      <c r="BC62" t="s">
        <v>1546</v>
      </c>
      <c r="BD62" t="s">
        <v>1547</v>
      </c>
    </row>
    <row r="63" ht="20" spans="1:56">
      <c r="A63" t="str">
        <f>_xlfn.DISPIMG("ID_17D2559E86F44A54A0A9006016AB2DA9",1)</f>
        <v>=DISPIMG("ID_17D2559E86F44A54A0A9006016AB2DA9",1)</v>
      </c>
      <c r="B63" t="s">
        <v>1548</v>
      </c>
      <c r="C63" t="s">
        <v>1548</v>
      </c>
      <c r="D63" t="s">
        <v>65</v>
      </c>
      <c r="E63" t="s">
        <v>1549</v>
      </c>
      <c r="F63" t="s">
        <v>1550</v>
      </c>
      <c r="G63" t="s">
        <v>954</v>
      </c>
      <c r="H63" t="s">
        <v>1551</v>
      </c>
      <c r="I63" t="s">
        <v>1552</v>
      </c>
      <c r="J63" t="s">
        <v>934</v>
      </c>
      <c r="K63" t="s">
        <v>850</v>
      </c>
      <c r="L63" t="s">
        <v>851</v>
      </c>
      <c r="M63">
        <v>12047</v>
      </c>
      <c r="N63" t="s">
        <v>852</v>
      </c>
      <c r="O63" t="s">
        <v>1553</v>
      </c>
      <c r="P63" t="s">
        <v>2809</v>
      </c>
      <c r="Q63">
        <v>7</v>
      </c>
      <c r="R63" t="s">
        <v>2941</v>
      </c>
      <c r="S63">
        <v>6.622</v>
      </c>
      <c r="T63" t="s">
        <v>2942</v>
      </c>
      <c r="U63" t="s">
        <v>64</v>
      </c>
      <c r="V63" t="s">
        <v>2812</v>
      </c>
      <c r="W63" t="s">
        <v>2849</v>
      </c>
      <c r="X63" t="s">
        <v>2844</v>
      </c>
      <c r="Y63" t="s">
        <v>2815</v>
      </c>
      <c r="Z63" t="s">
        <v>2816</v>
      </c>
      <c r="AA63" t="s">
        <v>2817</v>
      </c>
      <c r="AB63" t="s">
        <v>2816</v>
      </c>
      <c r="AC63" t="s">
        <v>2818</v>
      </c>
      <c r="AD63" t="s">
        <v>2889</v>
      </c>
      <c r="AE63" t="s">
        <v>2830</v>
      </c>
      <c r="AF63" t="s">
        <v>2900</v>
      </c>
      <c r="AG63" t="s">
        <v>2822</v>
      </c>
      <c r="AH63" t="s">
        <v>2868</v>
      </c>
      <c r="AI63">
        <v>1</v>
      </c>
      <c r="AJ63">
        <v>891</v>
      </c>
      <c r="AK63">
        <v>80635.5</v>
      </c>
      <c r="AL63">
        <v>90.5</v>
      </c>
      <c r="AM63">
        <v>0.6543</v>
      </c>
      <c r="AN63">
        <v>17.71</v>
      </c>
      <c r="AO63">
        <v>4.6</v>
      </c>
      <c r="AP63">
        <v>807</v>
      </c>
      <c r="AQ63">
        <v>0.0864</v>
      </c>
      <c r="AR63">
        <v>77</v>
      </c>
      <c r="AT63" t="s">
        <v>854</v>
      </c>
      <c r="AU63" t="s">
        <v>1554</v>
      </c>
      <c r="AV63">
        <v>825</v>
      </c>
      <c r="AW63">
        <v>1</v>
      </c>
      <c r="AX63">
        <v>1</v>
      </c>
      <c r="AY63" t="s">
        <v>867</v>
      </c>
      <c r="AZ63" t="s">
        <v>65</v>
      </c>
      <c r="BA63" t="s">
        <v>65</v>
      </c>
      <c r="BB63" t="s">
        <v>856</v>
      </c>
      <c r="BC63" t="s">
        <v>1555</v>
      </c>
      <c r="BD63" t="s">
        <v>1556</v>
      </c>
    </row>
    <row r="64" ht="20" spans="1:56">
      <c r="A64" t="str">
        <f>_xlfn.DISPIMG("ID_E72CFFF1B748493989220C334F229A7A",1)</f>
        <v>=DISPIMG("ID_E72CFFF1B748493989220C334F229A7A",1)</v>
      </c>
      <c r="B64" t="s">
        <v>1557</v>
      </c>
      <c r="C64" t="s">
        <v>1557</v>
      </c>
      <c r="D64" t="s">
        <v>65</v>
      </c>
      <c r="E64" t="s">
        <v>1558</v>
      </c>
      <c r="F64" t="s">
        <v>1559</v>
      </c>
      <c r="G64" t="s">
        <v>954</v>
      </c>
      <c r="H64" t="s">
        <v>1560</v>
      </c>
      <c r="I64" t="s">
        <v>1561</v>
      </c>
      <c r="J64" t="s">
        <v>1003</v>
      </c>
      <c r="K64" t="s">
        <v>850</v>
      </c>
      <c r="L64" t="s">
        <v>851</v>
      </c>
      <c r="M64">
        <v>14264</v>
      </c>
      <c r="N64" t="s">
        <v>852</v>
      </c>
      <c r="O64" t="s">
        <v>1562</v>
      </c>
      <c r="P64" t="s">
        <v>2852</v>
      </c>
      <c r="Q64">
        <v>8</v>
      </c>
      <c r="R64" t="s">
        <v>2869</v>
      </c>
      <c r="S64">
        <v>7.568</v>
      </c>
      <c r="T64" t="s">
        <v>2870</v>
      </c>
      <c r="U64" t="s">
        <v>64</v>
      </c>
      <c r="V64" t="s">
        <v>2812</v>
      </c>
      <c r="W64" t="s">
        <v>2849</v>
      </c>
      <c r="X64" t="s">
        <v>2844</v>
      </c>
      <c r="Y64" t="s">
        <v>2815</v>
      </c>
      <c r="Z64" t="s">
        <v>2816</v>
      </c>
      <c r="AA64" t="s">
        <v>2817</v>
      </c>
      <c r="AB64" t="s">
        <v>2816</v>
      </c>
      <c r="AC64" t="s">
        <v>2818</v>
      </c>
      <c r="AD64" t="s">
        <v>2839</v>
      </c>
      <c r="AE64" t="s">
        <v>2820</v>
      </c>
      <c r="AF64" t="s">
        <v>2900</v>
      </c>
      <c r="AG64" t="s">
        <v>2930</v>
      </c>
      <c r="AH64" t="s">
        <v>2979</v>
      </c>
      <c r="AI64">
        <v>1</v>
      </c>
      <c r="AJ64">
        <v>531</v>
      </c>
      <c r="AK64">
        <v>43127.82</v>
      </c>
      <c r="AL64">
        <v>81.22</v>
      </c>
      <c r="AM64">
        <v>0.5958</v>
      </c>
      <c r="AN64">
        <v>20.65</v>
      </c>
      <c r="AO64">
        <v>4.2</v>
      </c>
      <c r="AP64">
        <v>55</v>
      </c>
      <c r="AQ64">
        <v>0.0075</v>
      </c>
      <c r="AR64">
        <v>4</v>
      </c>
      <c r="AT64" t="s">
        <v>876</v>
      </c>
      <c r="AU64" t="s">
        <v>1563</v>
      </c>
      <c r="AV64">
        <v>868</v>
      </c>
      <c r="AW64">
        <v>1</v>
      </c>
      <c r="AX64">
        <v>1</v>
      </c>
      <c r="AY64" t="s">
        <v>867</v>
      </c>
      <c r="AZ64" t="s">
        <v>65</v>
      </c>
      <c r="BA64" t="s">
        <v>65</v>
      </c>
      <c r="BB64" t="s">
        <v>856</v>
      </c>
      <c r="BC64" t="s">
        <v>1112</v>
      </c>
      <c r="BD64" t="s">
        <v>1564</v>
      </c>
    </row>
    <row r="65" ht="20" spans="1:56">
      <c r="A65" t="str">
        <f>_xlfn.DISPIMG("ID_09D48146F971440D80F2FC5359F757BB",1)</f>
        <v>=DISPIMG("ID_09D48146F971440D80F2FC5359F757BB",1)</v>
      </c>
      <c r="B65" t="s">
        <v>1565</v>
      </c>
      <c r="C65" t="s">
        <v>1565</v>
      </c>
      <c r="D65" t="s">
        <v>65</v>
      </c>
      <c r="E65" t="s">
        <v>1566</v>
      </c>
      <c r="F65" t="s">
        <v>1567</v>
      </c>
      <c r="G65" t="s">
        <v>971</v>
      </c>
      <c r="H65" t="s">
        <v>1568</v>
      </c>
      <c r="I65" t="s">
        <v>1569</v>
      </c>
      <c r="J65" t="s">
        <v>974</v>
      </c>
      <c r="K65" t="s">
        <v>850</v>
      </c>
      <c r="L65" t="s">
        <v>851</v>
      </c>
      <c r="M65">
        <v>10986</v>
      </c>
      <c r="N65" t="s">
        <v>852</v>
      </c>
      <c r="O65" t="s">
        <v>1472</v>
      </c>
      <c r="P65" t="s">
        <v>2809</v>
      </c>
      <c r="Q65">
        <v>15.5</v>
      </c>
      <c r="R65" t="s">
        <v>2980</v>
      </c>
      <c r="S65">
        <v>14.663</v>
      </c>
      <c r="T65" t="s">
        <v>2981</v>
      </c>
      <c r="U65" t="s">
        <v>2877</v>
      </c>
      <c r="V65" t="s">
        <v>2836</v>
      </c>
      <c r="W65" t="s">
        <v>2938</v>
      </c>
      <c r="X65" t="s">
        <v>2828</v>
      </c>
      <c r="Y65" t="s">
        <v>2815</v>
      </c>
      <c r="Z65" t="s">
        <v>2817</v>
      </c>
      <c r="AA65" t="s">
        <v>2817</v>
      </c>
      <c r="AB65" t="s">
        <v>2817</v>
      </c>
      <c r="AC65" t="s">
        <v>2922</v>
      </c>
      <c r="AD65" t="s">
        <v>2839</v>
      </c>
      <c r="AE65" t="s">
        <v>2913</v>
      </c>
      <c r="AF65" t="s">
        <v>2851</v>
      </c>
      <c r="AG65" t="s">
        <v>2865</v>
      </c>
      <c r="AH65" t="s">
        <v>2823</v>
      </c>
      <c r="AI65">
        <v>1</v>
      </c>
      <c r="AJ65">
        <v>814</v>
      </c>
      <c r="AK65">
        <v>131452.86</v>
      </c>
      <c r="AL65">
        <v>161.49</v>
      </c>
      <c r="AM65">
        <v>0.7065</v>
      </c>
      <c r="AN65">
        <v>23.17</v>
      </c>
      <c r="AO65">
        <v>4.4</v>
      </c>
      <c r="AP65">
        <v>15778</v>
      </c>
      <c r="AQ65">
        <v>0.0676</v>
      </c>
      <c r="AR65">
        <v>55</v>
      </c>
      <c r="AT65" t="s">
        <v>876</v>
      </c>
      <c r="AU65" t="s">
        <v>1570</v>
      </c>
      <c r="AV65">
        <v>1046</v>
      </c>
      <c r="AW65">
        <v>1</v>
      </c>
      <c r="AX65">
        <v>1</v>
      </c>
      <c r="AY65" t="s">
        <v>867</v>
      </c>
      <c r="AZ65" t="s">
        <v>65</v>
      </c>
      <c r="BA65" t="s">
        <v>65</v>
      </c>
      <c r="BB65" t="s">
        <v>856</v>
      </c>
      <c r="BC65" t="s">
        <v>1571</v>
      </c>
      <c r="BD65" t="s">
        <v>1572</v>
      </c>
    </row>
    <row r="66" ht="20" spans="1:56">
      <c r="A66" t="str">
        <f>_xlfn.DISPIMG("ID_69D8304B4C734971B5962BEF265D5C42",1)</f>
        <v>=DISPIMG("ID_69D8304B4C734971B5962BEF265D5C42",1)</v>
      </c>
      <c r="B66" t="s">
        <v>1573</v>
      </c>
      <c r="C66" t="s">
        <v>1573</v>
      </c>
      <c r="D66" t="s">
        <v>65</v>
      </c>
      <c r="E66" t="s">
        <v>1574</v>
      </c>
      <c r="F66" t="s">
        <v>1575</v>
      </c>
      <c r="G66" t="s">
        <v>1059</v>
      </c>
      <c r="H66" t="s">
        <v>1576</v>
      </c>
      <c r="I66" t="s">
        <v>1577</v>
      </c>
      <c r="J66" t="s">
        <v>974</v>
      </c>
      <c r="K66" t="s">
        <v>850</v>
      </c>
      <c r="L66" t="s">
        <v>851</v>
      </c>
      <c r="M66">
        <v>10598</v>
      </c>
      <c r="N66" t="s">
        <v>852</v>
      </c>
      <c r="O66" t="s">
        <v>1578</v>
      </c>
      <c r="P66" t="s">
        <v>2809</v>
      </c>
      <c r="Q66">
        <v>9</v>
      </c>
      <c r="R66" t="s">
        <v>2982</v>
      </c>
      <c r="S66">
        <v>8.514</v>
      </c>
      <c r="T66" t="s">
        <v>2983</v>
      </c>
      <c r="U66" t="s">
        <v>64</v>
      </c>
      <c r="V66" t="s">
        <v>2855</v>
      </c>
      <c r="W66" t="s">
        <v>2878</v>
      </c>
      <c r="X66" t="s">
        <v>2844</v>
      </c>
      <c r="Y66" t="s">
        <v>2815</v>
      </c>
      <c r="Z66" t="s">
        <v>2816</v>
      </c>
      <c r="AA66" t="s">
        <v>2817</v>
      </c>
      <c r="AB66" t="s">
        <v>2816</v>
      </c>
      <c r="AC66" t="s">
        <v>2818</v>
      </c>
      <c r="AD66" t="s">
        <v>2819</v>
      </c>
      <c r="AE66" t="s">
        <v>2984</v>
      </c>
      <c r="AF66" t="s">
        <v>2831</v>
      </c>
      <c r="AG66" t="s">
        <v>2865</v>
      </c>
      <c r="AH66" t="s">
        <v>2823</v>
      </c>
      <c r="AI66">
        <v>1</v>
      </c>
      <c r="AJ66">
        <v>768</v>
      </c>
      <c r="AK66">
        <v>107512.33</v>
      </c>
      <c r="AL66">
        <v>139.99</v>
      </c>
      <c r="AM66">
        <v>0.6875</v>
      </c>
      <c r="AN66">
        <v>22.75</v>
      </c>
      <c r="AO66">
        <v>4.5</v>
      </c>
      <c r="AP66">
        <v>3116</v>
      </c>
      <c r="AQ66">
        <v>0.1237</v>
      </c>
      <c r="AR66">
        <v>95</v>
      </c>
      <c r="AT66" t="s">
        <v>854</v>
      </c>
      <c r="AU66" t="s">
        <v>1579</v>
      </c>
      <c r="AV66">
        <v>599</v>
      </c>
      <c r="AW66">
        <v>1</v>
      </c>
      <c r="AX66">
        <v>8</v>
      </c>
      <c r="AY66" t="s">
        <v>65</v>
      </c>
      <c r="AZ66" t="s">
        <v>65</v>
      </c>
      <c r="BA66" t="s">
        <v>65</v>
      </c>
      <c r="BB66" t="s">
        <v>856</v>
      </c>
      <c r="BC66" t="s">
        <v>1580</v>
      </c>
      <c r="BD66" t="s">
        <v>1581</v>
      </c>
    </row>
    <row r="67" ht="20" spans="1:56">
      <c r="A67" t="str">
        <f>_xlfn.DISPIMG("ID_00011A14DD764057925EAB93B1C32B51",1)</f>
        <v>=DISPIMG("ID_00011A14DD764057925EAB93B1C32B51",1)</v>
      </c>
      <c r="B67" t="s">
        <v>1582</v>
      </c>
      <c r="C67" t="s">
        <v>1582</v>
      </c>
      <c r="D67" t="s">
        <v>65</v>
      </c>
      <c r="E67" t="s">
        <v>1583</v>
      </c>
      <c r="F67" t="s">
        <v>1584</v>
      </c>
      <c r="G67" t="s">
        <v>1059</v>
      </c>
      <c r="H67" t="s">
        <v>1585</v>
      </c>
      <c r="I67" t="s">
        <v>1586</v>
      </c>
      <c r="J67" t="s">
        <v>934</v>
      </c>
      <c r="K67" t="s">
        <v>850</v>
      </c>
      <c r="L67" t="s">
        <v>851</v>
      </c>
      <c r="M67">
        <v>8252</v>
      </c>
      <c r="N67" t="s">
        <v>852</v>
      </c>
      <c r="O67" t="s">
        <v>1285</v>
      </c>
      <c r="P67" t="s">
        <v>2809</v>
      </c>
      <c r="Q67">
        <v>5</v>
      </c>
      <c r="R67" t="s">
        <v>2825</v>
      </c>
      <c r="S67">
        <v>4.73</v>
      </c>
      <c r="T67" t="s">
        <v>2826</v>
      </c>
      <c r="U67" t="s">
        <v>64</v>
      </c>
      <c r="V67" t="s">
        <v>2812</v>
      </c>
      <c r="W67" t="s">
        <v>2878</v>
      </c>
      <c r="X67" t="s">
        <v>2950</v>
      </c>
      <c r="Y67" t="s">
        <v>2829</v>
      </c>
      <c r="Z67" t="s">
        <v>2817</v>
      </c>
      <c r="AA67" t="s">
        <v>2817</v>
      </c>
      <c r="AB67" t="s">
        <v>2816</v>
      </c>
      <c r="AC67" t="s">
        <v>2818</v>
      </c>
      <c r="AD67" t="s">
        <v>2971</v>
      </c>
      <c r="AE67" t="s">
        <v>2830</v>
      </c>
      <c r="AF67" t="s">
        <v>2883</v>
      </c>
      <c r="AG67" t="s">
        <v>2822</v>
      </c>
      <c r="AH67" t="s">
        <v>2868</v>
      </c>
      <c r="AI67">
        <v>1</v>
      </c>
      <c r="AJ67">
        <v>1180</v>
      </c>
      <c r="AK67">
        <v>117988.195</v>
      </c>
      <c r="AL67">
        <v>99.99</v>
      </c>
      <c r="AM67">
        <v>0.6603</v>
      </c>
      <c r="AN67">
        <v>18.97</v>
      </c>
      <c r="AO67">
        <v>4.6</v>
      </c>
      <c r="AP67">
        <v>914</v>
      </c>
      <c r="AQ67">
        <v>0.0534</v>
      </c>
      <c r="AR67">
        <v>63</v>
      </c>
      <c r="AT67" t="s">
        <v>876</v>
      </c>
      <c r="AU67" t="s">
        <v>1587</v>
      </c>
      <c r="AV67">
        <v>248</v>
      </c>
      <c r="AW67">
        <v>1</v>
      </c>
      <c r="AX67">
        <v>1</v>
      </c>
      <c r="AY67" t="s">
        <v>867</v>
      </c>
      <c r="AZ67" t="s">
        <v>65</v>
      </c>
      <c r="BA67" t="s">
        <v>65</v>
      </c>
      <c r="BB67" t="s">
        <v>856</v>
      </c>
      <c r="BC67" t="s">
        <v>1588</v>
      </c>
      <c r="BD67" t="s">
        <v>1589</v>
      </c>
    </row>
    <row r="68" ht="20" spans="1:56">
      <c r="A68" t="str">
        <f>_xlfn.DISPIMG("ID_31DC207AD3C44AAD8B67DA009FFB8A3D",1)</f>
        <v>=DISPIMG("ID_31DC207AD3C44AAD8B67DA009FFB8A3D",1)</v>
      </c>
      <c r="B68" t="s">
        <v>1602</v>
      </c>
      <c r="C68" t="s">
        <v>1602</v>
      </c>
      <c r="D68" t="s">
        <v>65</v>
      </c>
      <c r="E68" t="s">
        <v>1603</v>
      </c>
      <c r="F68" t="s">
        <v>1604</v>
      </c>
      <c r="G68" t="s">
        <v>846</v>
      </c>
      <c r="H68" t="s">
        <v>1605</v>
      </c>
      <c r="I68" t="s">
        <v>1606</v>
      </c>
      <c r="J68" t="s">
        <v>65</v>
      </c>
      <c r="K68" t="s">
        <v>850</v>
      </c>
      <c r="L68" t="s">
        <v>851</v>
      </c>
      <c r="M68">
        <v>13660</v>
      </c>
      <c r="N68" t="s">
        <v>852</v>
      </c>
      <c r="O68" t="s">
        <v>1607</v>
      </c>
      <c r="P68" t="s">
        <v>2832</v>
      </c>
      <c r="Q68">
        <v>26</v>
      </c>
      <c r="R68" t="s">
        <v>2891</v>
      </c>
      <c r="S68">
        <v>24.596</v>
      </c>
      <c r="T68" t="s">
        <v>2892</v>
      </c>
      <c r="U68" t="s">
        <v>2877</v>
      </c>
      <c r="V68" t="s">
        <v>2836</v>
      </c>
      <c r="W68" t="s">
        <v>2878</v>
      </c>
      <c r="X68" t="s">
        <v>2874</v>
      </c>
      <c r="Y68" t="s">
        <v>2829</v>
      </c>
      <c r="Z68" t="s">
        <v>2817</v>
      </c>
      <c r="AA68" t="s">
        <v>2817</v>
      </c>
      <c r="AB68" t="s">
        <v>2816</v>
      </c>
      <c r="AC68" t="s">
        <v>2845</v>
      </c>
      <c r="AD68" t="s">
        <v>2985</v>
      </c>
      <c r="AE68" t="s">
        <v>2890</v>
      </c>
      <c r="AF68" t="s">
        <v>2821</v>
      </c>
      <c r="AG68" t="s">
        <v>2865</v>
      </c>
      <c r="AH68" t="s">
        <v>2823</v>
      </c>
      <c r="AI68">
        <v>1</v>
      </c>
      <c r="AJ68">
        <v>704</v>
      </c>
      <c r="AK68">
        <v>111900.8</v>
      </c>
      <c r="AL68">
        <v>158.95</v>
      </c>
      <c r="AM68">
        <v>0.7122</v>
      </c>
      <c r="AN68">
        <v>21.91</v>
      </c>
      <c r="AO68">
        <v>4.5</v>
      </c>
      <c r="AP68">
        <v>1887</v>
      </c>
      <c r="AQ68">
        <v>0.0483</v>
      </c>
      <c r="AR68">
        <v>34</v>
      </c>
      <c r="AT68" t="s">
        <v>854</v>
      </c>
      <c r="AU68" t="s">
        <v>1608</v>
      </c>
      <c r="AV68">
        <v>1300</v>
      </c>
      <c r="AW68">
        <v>1</v>
      </c>
      <c r="AX68">
        <v>1</v>
      </c>
      <c r="AY68" t="s">
        <v>1609</v>
      </c>
      <c r="AZ68" t="s">
        <v>65</v>
      </c>
      <c r="BA68" t="s">
        <v>1610</v>
      </c>
      <c r="BB68" t="s">
        <v>856</v>
      </c>
      <c r="BC68" t="s">
        <v>1611</v>
      </c>
      <c r="BD68" t="s">
        <v>1612</v>
      </c>
    </row>
    <row r="69" ht="20" spans="1:56">
      <c r="A69" t="str">
        <f>_xlfn.DISPIMG("ID_073D25E4DD884F82A44918BB058A6FA0",1)</f>
        <v>=DISPIMG("ID_073D25E4DD884F82A44918BB058A6FA0",1)</v>
      </c>
      <c r="B69" t="s">
        <v>761</v>
      </c>
      <c r="C69" t="s">
        <v>761</v>
      </c>
      <c r="D69" t="s">
        <v>65</v>
      </c>
      <c r="E69" t="s">
        <v>1613</v>
      </c>
      <c r="F69" t="s">
        <v>1614</v>
      </c>
      <c r="G69" t="s">
        <v>1221</v>
      </c>
      <c r="H69" t="s">
        <v>1615</v>
      </c>
      <c r="I69" t="s">
        <v>1616</v>
      </c>
      <c r="J69" t="s">
        <v>934</v>
      </c>
      <c r="K69" t="s">
        <v>850</v>
      </c>
      <c r="L69" t="s">
        <v>851</v>
      </c>
      <c r="M69">
        <v>13775</v>
      </c>
      <c r="N69" t="s">
        <v>852</v>
      </c>
      <c r="O69" t="s">
        <v>1482</v>
      </c>
      <c r="P69" t="s">
        <v>2986</v>
      </c>
      <c r="Q69">
        <v>13</v>
      </c>
      <c r="R69" t="s">
        <v>2987</v>
      </c>
      <c r="S69">
        <v>12.298</v>
      </c>
      <c r="T69" t="s">
        <v>2988</v>
      </c>
      <c r="U69" t="s">
        <v>64</v>
      </c>
      <c r="V69" t="s">
        <v>2812</v>
      </c>
      <c r="W69" t="s">
        <v>2861</v>
      </c>
      <c r="X69" t="s">
        <v>2989</v>
      </c>
      <c r="Y69" t="s">
        <v>2990</v>
      </c>
      <c r="Z69" t="s">
        <v>2817</v>
      </c>
      <c r="AA69" t="s">
        <v>2816</v>
      </c>
      <c r="AB69" t="s">
        <v>2816</v>
      </c>
      <c r="AC69" t="s">
        <v>2863</v>
      </c>
      <c r="AD69" t="s">
        <v>2839</v>
      </c>
      <c r="AE69" t="s">
        <v>2882</v>
      </c>
      <c r="AF69" t="s">
        <v>2821</v>
      </c>
      <c r="AG69" t="s">
        <v>2865</v>
      </c>
      <c r="AH69" t="s">
        <v>2823</v>
      </c>
      <c r="AI69">
        <v>1</v>
      </c>
      <c r="AJ69">
        <v>532</v>
      </c>
      <c r="AK69">
        <v>34968.363</v>
      </c>
      <c r="AL69">
        <v>65.73</v>
      </c>
      <c r="AM69">
        <v>0.6061</v>
      </c>
      <c r="AN69">
        <v>16.03</v>
      </c>
      <c r="AO69">
        <v>4.3</v>
      </c>
      <c r="AP69">
        <v>1245</v>
      </c>
      <c r="AQ69">
        <v>0.0639</v>
      </c>
      <c r="AR69">
        <v>34</v>
      </c>
      <c r="AT69" t="s">
        <v>876</v>
      </c>
      <c r="AU69" t="s">
        <v>1617</v>
      </c>
      <c r="AV69">
        <v>2401</v>
      </c>
      <c r="AW69">
        <v>1</v>
      </c>
      <c r="AX69">
        <v>1</v>
      </c>
      <c r="AY69" t="s">
        <v>867</v>
      </c>
      <c r="AZ69" t="s">
        <v>65</v>
      </c>
      <c r="BA69" t="s">
        <v>65</v>
      </c>
      <c r="BB69" t="s">
        <v>856</v>
      </c>
      <c r="BC69" t="s">
        <v>1618</v>
      </c>
      <c r="BD69" t="s">
        <v>1619</v>
      </c>
    </row>
    <row r="70" ht="20" spans="1:56">
      <c r="A70" t="str">
        <f>_xlfn.DISPIMG("ID_3DBAE646C8CB4B5D9BF1F3F01226FC3F",1)</f>
        <v>=DISPIMG("ID_3DBAE646C8CB4B5D9BF1F3F01226FC3F",1)</v>
      </c>
      <c r="B70" t="s">
        <v>520</v>
      </c>
      <c r="C70" t="s">
        <v>520</v>
      </c>
      <c r="D70" t="s">
        <v>65</v>
      </c>
      <c r="E70" t="s">
        <v>1620</v>
      </c>
      <c r="F70" t="s">
        <v>1621</v>
      </c>
      <c r="G70" t="s">
        <v>1069</v>
      </c>
      <c r="H70" t="s">
        <v>1622</v>
      </c>
      <c r="I70" t="s">
        <v>1623</v>
      </c>
      <c r="J70" t="s">
        <v>974</v>
      </c>
      <c r="K70" t="s">
        <v>850</v>
      </c>
      <c r="L70" t="s">
        <v>851</v>
      </c>
      <c r="M70">
        <v>17711</v>
      </c>
      <c r="N70" t="s">
        <v>852</v>
      </c>
      <c r="O70" t="s">
        <v>1624</v>
      </c>
      <c r="P70" t="s">
        <v>2809</v>
      </c>
      <c r="Q70">
        <v>1.1</v>
      </c>
      <c r="R70" t="s">
        <v>2964</v>
      </c>
      <c r="S70">
        <v>1.0406</v>
      </c>
      <c r="T70" t="s">
        <v>2965</v>
      </c>
      <c r="U70" t="s">
        <v>64</v>
      </c>
      <c r="V70" t="s">
        <v>2812</v>
      </c>
      <c r="W70" t="s">
        <v>2861</v>
      </c>
      <c r="X70" t="s">
        <v>2862</v>
      </c>
      <c r="Y70" t="s">
        <v>2903</v>
      </c>
      <c r="Z70" t="s">
        <v>2816</v>
      </c>
      <c r="AA70" t="s">
        <v>2816</v>
      </c>
      <c r="AB70" t="s">
        <v>2816</v>
      </c>
      <c r="AC70" t="s">
        <v>2863</v>
      </c>
      <c r="AD70" t="s">
        <v>2819</v>
      </c>
      <c r="AE70" t="s">
        <v>2864</v>
      </c>
      <c r="AF70" t="s">
        <v>2900</v>
      </c>
      <c r="AG70" t="s">
        <v>2865</v>
      </c>
      <c r="AH70" t="s">
        <v>2823</v>
      </c>
      <c r="AI70">
        <v>1</v>
      </c>
      <c r="AJ70">
        <v>492</v>
      </c>
      <c r="AK70">
        <v>18691.08</v>
      </c>
      <c r="AL70">
        <v>37.99</v>
      </c>
      <c r="AM70">
        <v>0.6444</v>
      </c>
      <c r="AN70">
        <v>7.81</v>
      </c>
      <c r="AO70">
        <v>4.3</v>
      </c>
      <c r="AP70">
        <v>1289</v>
      </c>
      <c r="AQ70">
        <v>1</v>
      </c>
      <c r="AR70">
        <v>492</v>
      </c>
      <c r="AT70" t="s">
        <v>947</v>
      </c>
      <c r="AU70" t="s">
        <v>1625</v>
      </c>
      <c r="AV70">
        <v>865</v>
      </c>
      <c r="AW70">
        <v>1</v>
      </c>
      <c r="AX70">
        <v>17</v>
      </c>
      <c r="AY70" t="s">
        <v>867</v>
      </c>
      <c r="AZ70" t="s">
        <v>65</v>
      </c>
      <c r="BA70" t="s">
        <v>65</v>
      </c>
      <c r="BB70" t="s">
        <v>856</v>
      </c>
      <c r="BC70" t="s">
        <v>1626</v>
      </c>
      <c r="BD70" t="s">
        <v>1627</v>
      </c>
    </row>
    <row r="71" ht="20" spans="1:56">
      <c r="A71" t="str">
        <f>_xlfn.DISPIMG("ID_C6D17E1139C940D4A05554BC8126AF0D",1)</f>
        <v>=DISPIMG("ID_C6D17E1139C940D4A05554BC8126AF0D",1)</v>
      </c>
      <c r="B71" t="s">
        <v>1628</v>
      </c>
      <c r="C71" t="s">
        <v>1628</v>
      </c>
      <c r="D71" t="s">
        <v>65</v>
      </c>
      <c r="E71" t="s">
        <v>1629</v>
      </c>
      <c r="F71" t="s">
        <v>1630</v>
      </c>
      <c r="G71" t="s">
        <v>1631</v>
      </c>
      <c r="H71" t="s">
        <v>1632</v>
      </c>
      <c r="I71" t="s">
        <v>1633</v>
      </c>
      <c r="J71" t="s">
        <v>1634</v>
      </c>
      <c r="K71" t="s">
        <v>850</v>
      </c>
      <c r="L71" t="s">
        <v>851</v>
      </c>
      <c r="M71">
        <v>30684</v>
      </c>
      <c r="N71" t="s">
        <v>852</v>
      </c>
      <c r="O71" t="s">
        <v>1635</v>
      </c>
      <c r="P71" t="s">
        <v>2852</v>
      </c>
      <c r="Q71">
        <v>12</v>
      </c>
      <c r="R71" t="s">
        <v>2969</v>
      </c>
      <c r="S71">
        <v>11.352</v>
      </c>
      <c r="T71" t="s">
        <v>2970</v>
      </c>
      <c r="U71" t="s">
        <v>2877</v>
      </c>
      <c r="V71" t="s">
        <v>2836</v>
      </c>
      <c r="W71" t="s">
        <v>2849</v>
      </c>
      <c r="X71" t="s">
        <v>2844</v>
      </c>
      <c r="Y71" t="s">
        <v>2829</v>
      </c>
      <c r="Z71" t="s">
        <v>2817</v>
      </c>
      <c r="AA71" t="s">
        <v>2817</v>
      </c>
      <c r="AB71" t="s">
        <v>2816</v>
      </c>
      <c r="AC71" t="s">
        <v>2818</v>
      </c>
      <c r="AD71" t="s">
        <v>2839</v>
      </c>
      <c r="AE71" t="s">
        <v>2887</v>
      </c>
      <c r="AF71" t="s">
        <v>2883</v>
      </c>
      <c r="AG71" t="s">
        <v>2865</v>
      </c>
      <c r="AH71" t="s">
        <v>2823</v>
      </c>
      <c r="AI71">
        <v>1</v>
      </c>
      <c r="AJ71">
        <v>1235</v>
      </c>
      <c r="AK71">
        <v>185237.66</v>
      </c>
      <c r="AL71">
        <v>149.99</v>
      </c>
      <c r="AM71">
        <v>0.7235</v>
      </c>
      <c r="AN71">
        <v>18.97</v>
      </c>
      <c r="AO71">
        <v>4.4</v>
      </c>
      <c r="AP71">
        <v>2734</v>
      </c>
      <c r="AQ71">
        <v>0.0672</v>
      </c>
      <c r="AR71">
        <v>83</v>
      </c>
      <c r="AT71" t="s">
        <v>854</v>
      </c>
      <c r="AU71" t="s">
        <v>1386</v>
      </c>
      <c r="AV71">
        <v>195</v>
      </c>
      <c r="AW71">
        <v>1</v>
      </c>
      <c r="AX71">
        <v>6</v>
      </c>
      <c r="AY71" t="s">
        <v>65</v>
      </c>
      <c r="AZ71" t="s">
        <v>65</v>
      </c>
      <c r="BA71" t="s">
        <v>65</v>
      </c>
      <c r="BB71" t="s">
        <v>856</v>
      </c>
      <c r="BC71" t="s">
        <v>1636</v>
      </c>
      <c r="BD71" t="s">
        <v>1637</v>
      </c>
    </row>
    <row r="72" ht="20" spans="1:56">
      <c r="A72" t="str">
        <f>_xlfn.DISPIMG("ID_C67D11E027814CBC9628DC0F72391987",1)</f>
        <v>=DISPIMG("ID_C67D11E027814CBC9628DC0F72391987",1)</v>
      </c>
      <c r="B72" t="s">
        <v>419</v>
      </c>
      <c r="C72" t="s">
        <v>419</v>
      </c>
      <c r="D72" t="s">
        <v>65</v>
      </c>
      <c r="E72" t="s">
        <v>1638</v>
      </c>
      <c r="F72" t="s">
        <v>1639</v>
      </c>
      <c r="G72" t="s">
        <v>1640</v>
      </c>
      <c r="H72" t="s">
        <v>1641</v>
      </c>
      <c r="I72" t="s">
        <v>1642</v>
      </c>
      <c r="J72" t="s">
        <v>934</v>
      </c>
      <c r="K72" t="s">
        <v>850</v>
      </c>
      <c r="L72" t="s">
        <v>851</v>
      </c>
      <c r="M72">
        <v>14037</v>
      </c>
      <c r="N72" t="s">
        <v>852</v>
      </c>
      <c r="O72" t="s">
        <v>1607</v>
      </c>
      <c r="P72" t="s">
        <v>2832</v>
      </c>
      <c r="Q72">
        <v>10</v>
      </c>
      <c r="R72" t="s">
        <v>2833</v>
      </c>
      <c r="S72">
        <v>9.46</v>
      </c>
      <c r="T72" t="s">
        <v>2834</v>
      </c>
      <c r="U72" t="s">
        <v>64</v>
      </c>
      <c r="V72" t="s">
        <v>2812</v>
      </c>
      <c r="W72" t="s">
        <v>2894</v>
      </c>
      <c r="X72" t="s">
        <v>2844</v>
      </c>
      <c r="Y72" t="s">
        <v>2815</v>
      </c>
      <c r="Z72" t="s">
        <v>2816</v>
      </c>
      <c r="AA72" t="s">
        <v>2817</v>
      </c>
      <c r="AB72" t="s">
        <v>2816</v>
      </c>
      <c r="AC72" t="s">
        <v>2818</v>
      </c>
      <c r="AD72" t="s">
        <v>2850</v>
      </c>
      <c r="AE72" t="s">
        <v>2880</v>
      </c>
      <c r="AF72" t="s">
        <v>2900</v>
      </c>
      <c r="AG72" t="s">
        <v>2865</v>
      </c>
      <c r="AH72" t="s">
        <v>2823</v>
      </c>
      <c r="AI72">
        <v>1</v>
      </c>
      <c r="AJ72">
        <v>666</v>
      </c>
      <c r="AK72">
        <v>126533.34</v>
      </c>
      <c r="AL72">
        <v>189.99</v>
      </c>
      <c r="AM72">
        <v>0.728</v>
      </c>
      <c r="AN72">
        <v>23.17</v>
      </c>
      <c r="AO72">
        <v>4.5</v>
      </c>
      <c r="AP72">
        <v>2334</v>
      </c>
      <c r="AQ72">
        <v>0</v>
      </c>
      <c r="AR72">
        <v>997</v>
      </c>
      <c r="AT72" t="s">
        <v>876</v>
      </c>
      <c r="AU72" t="s">
        <v>1643</v>
      </c>
      <c r="AV72">
        <v>844</v>
      </c>
      <c r="AW72">
        <v>1</v>
      </c>
      <c r="AX72">
        <v>3</v>
      </c>
      <c r="AY72" t="s">
        <v>1330</v>
      </c>
      <c r="AZ72" t="s">
        <v>65</v>
      </c>
      <c r="BA72" t="s">
        <v>1331</v>
      </c>
      <c r="BB72" t="s">
        <v>856</v>
      </c>
      <c r="BC72" t="s">
        <v>1644</v>
      </c>
      <c r="BD72" t="s">
        <v>1645</v>
      </c>
    </row>
    <row r="73" ht="20" spans="1:56">
      <c r="A73" t="str">
        <f>_xlfn.DISPIMG("ID_C649D54E3BEE4596A94D41E76DEB3E83",1)</f>
        <v>=DISPIMG("ID_C649D54E3BEE4596A94D41E76DEB3E83",1)</v>
      </c>
      <c r="B73" t="s">
        <v>1646</v>
      </c>
      <c r="C73" t="s">
        <v>1646</v>
      </c>
      <c r="D73" t="s">
        <v>65</v>
      </c>
      <c r="E73" t="s">
        <v>1647</v>
      </c>
      <c r="F73" t="s">
        <v>1648</v>
      </c>
      <c r="G73" t="s">
        <v>1408</v>
      </c>
      <c r="H73" t="s">
        <v>1649</v>
      </c>
      <c r="I73" t="s">
        <v>1650</v>
      </c>
      <c r="J73" t="s">
        <v>65</v>
      </c>
      <c r="K73" t="s">
        <v>850</v>
      </c>
      <c r="L73" t="s">
        <v>851</v>
      </c>
      <c r="M73">
        <v>16222</v>
      </c>
      <c r="N73" t="s">
        <v>1029</v>
      </c>
      <c r="O73" t="s">
        <v>1651</v>
      </c>
      <c r="P73" t="s">
        <v>2809</v>
      </c>
      <c r="Q73">
        <v>7</v>
      </c>
      <c r="R73" t="s">
        <v>2941</v>
      </c>
      <c r="S73">
        <v>6.622</v>
      </c>
      <c r="T73" t="s">
        <v>2942</v>
      </c>
      <c r="U73" t="s">
        <v>64</v>
      </c>
      <c r="V73" t="s">
        <v>2812</v>
      </c>
      <c r="W73" t="s">
        <v>2894</v>
      </c>
      <c r="X73" t="s">
        <v>2989</v>
      </c>
      <c r="Y73" t="s">
        <v>2815</v>
      </c>
      <c r="Z73" t="s">
        <v>2816</v>
      </c>
      <c r="AA73" t="s">
        <v>2817</v>
      </c>
      <c r="AB73" t="s">
        <v>2816</v>
      </c>
      <c r="AC73" t="s">
        <v>2818</v>
      </c>
      <c r="AD73" t="s">
        <v>2819</v>
      </c>
      <c r="AE73" t="s">
        <v>2840</v>
      </c>
      <c r="AF73" t="s">
        <v>2821</v>
      </c>
      <c r="AG73" t="s">
        <v>2822</v>
      </c>
      <c r="AH73" t="s">
        <v>2823</v>
      </c>
      <c r="AI73">
        <v>1</v>
      </c>
      <c r="AJ73">
        <v>418</v>
      </c>
      <c r="AK73">
        <v>41540.84</v>
      </c>
      <c r="AL73">
        <v>104</v>
      </c>
      <c r="AM73">
        <v>0.6591</v>
      </c>
      <c r="AN73">
        <v>18.97</v>
      </c>
      <c r="AO73">
        <v>4.6</v>
      </c>
      <c r="AP73">
        <v>2141</v>
      </c>
      <c r="AQ73">
        <v>0.0766</v>
      </c>
      <c r="AR73">
        <v>32</v>
      </c>
      <c r="AT73" t="s">
        <v>854</v>
      </c>
      <c r="AU73" t="s">
        <v>1652</v>
      </c>
      <c r="AV73">
        <v>1235</v>
      </c>
      <c r="AW73">
        <v>1</v>
      </c>
      <c r="AX73">
        <v>31</v>
      </c>
      <c r="AY73" t="s">
        <v>1653</v>
      </c>
      <c r="AZ73" t="s">
        <v>1110</v>
      </c>
      <c r="BA73" t="s">
        <v>1654</v>
      </c>
      <c r="BB73" t="s">
        <v>856</v>
      </c>
      <c r="BC73" t="s">
        <v>1655</v>
      </c>
      <c r="BD73" t="s">
        <v>1656</v>
      </c>
    </row>
    <row r="74" ht="20" spans="1:56">
      <c r="A74" t="str">
        <f>_xlfn.DISPIMG("ID_483305CF252249D1AC3FAAE06499E4E2",1)</f>
        <v>=DISPIMG("ID_483305CF252249D1AC3FAAE06499E4E2",1)</v>
      </c>
      <c r="B74" t="s">
        <v>1657</v>
      </c>
      <c r="C74" t="s">
        <v>1657</v>
      </c>
      <c r="D74" t="s">
        <v>65</v>
      </c>
      <c r="E74" t="s">
        <v>1658</v>
      </c>
      <c r="F74" t="s">
        <v>1659</v>
      </c>
      <c r="G74" t="s">
        <v>1660</v>
      </c>
      <c r="H74" t="s">
        <v>1661</v>
      </c>
      <c r="I74" t="s">
        <v>1662</v>
      </c>
      <c r="J74" t="s">
        <v>1634</v>
      </c>
      <c r="K74" t="s">
        <v>850</v>
      </c>
      <c r="L74" t="s">
        <v>851</v>
      </c>
      <c r="M74">
        <v>15808</v>
      </c>
      <c r="N74" t="s">
        <v>852</v>
      </c>
      <c r="O74" t="s">
        <v>1663</v>
      </c>
      <c r="P74" t="s">
        <v>2809</v>
      </c>
      <c r="Q74">
        <v>24</v>
      </c>
      <c r="R74" t="s">
        <v>2991</v>
      </c>
      <c r="S74">
        <v>22.704</v>
      </c>
      <c r="T74" t="s">
        <v>2992</v>
      </c>
      <c r="U74" t="s">
        <v>2877</v>
      </c>
      <c r="V74" t="s">
        <v>2836</v>
      </c>
      <c r="W74" t="s">
        <v>2894</v>
      </c>
      <c r="X74" t="s">
        <v>2844</v>
      </c>
      <c r="Y74" t="s">
        <v>2815</v>
      </c>
      <c r="Z74" t="s">
        <v>2817</v>
      </c>
      <c r="AA74" t="s">
        <v>2817</v>
      </c>
      <c r="AB74" t="s">
        <v>2816</v>
      </c>
      <c r="AC74" t="s">
        <v>2912</v>
      </c>
      <c r="AD74" t="s">
        <v>2839</v>
      </c>
      <c r="AE74" t="s">
        <v>2906</v>
      </c>
      <c r="AF74" t="s">
        <v>2883</v>
      </c>
      <c r="AG74" t="s">
        <v>2930</v>
      </c>
      <c r="AH74" t="s">
        <v>2940</v>
      </c>
      <c r="AI74">
        <v>1</v>
      </c>
      <c r="AJ74">
        <v>600</v>
      </c>
      <c r="AK74">
        <v>71994</v>
      </c>
      <c r="AL74">
        <v>119.99</v>
      </c>
      <c r="AM74">
        <v>0.6149</v>
      </c>
      <c r="AN74">
        <v>28.21</v>
      </c>
      <c r="AO74">
        <v>4.2</v>
      </c>
      <c r="AP74">
        <v>121</v>
      </c>
      <c r="AQ74">
        <v>0.0617</v>
      </c>
      <c r="AR74">
        <v>37</v>
      </c>
      <c r="AT74" t="s">
        <v>1267</v>
      </c>
      <c r="AU74" t="s">
        <v>1664</v>
      </c>
      <c r="AV74">
        <v>187</v>
      </c>
      <c r="AW74">
        <v>1</v>
      </c>
      <c r="AX74">
        <v>1</v>
      </c>
      <c r="AY74" t="s">
        <v>1665</v>
      </c>
      <c r="AZ74" t="s">
        <v>65</v>
      </c>
      <c r="BA74" t="s">
        <v>1666</v>
      </c>
      <c r="BB74" t="s">
        <v>856</v>
      </c>
      <c r="BC74" t="s">
        <v>1667</v>
      </c>
      <c r="BD74" t="s">
        <v>1668</v>
      </c>
    </row>
    <row r="75" ht="20" spans="1:56">
      <c r="A75" t="str">
        <f>_xlfn.DISPIMG("ID_2795715DC5D74671AD3CB580CAED5E6A",1)</f>
        <v>=DISPIMG("ID_2795715DC5D74671AD3CB580CAED5E6A",1)</v>
      </c>
      <c r="B75" t="s">
        <v>1669</v>
      </c>
      <c r="C75" t="s">
        <v>1669</v>
      </c>
      <c r="D75" t="s">
        <v>65</v>
      </c>
      <c r="E75" t="s">
        <v>1670</v>
      </c>
      <c r="F75" t="s">
        <v>1671</v>
      </c>
      <c r="G75" t="s">
        <v>931</v>
      </c>
      <c r="H75" t="s">
        <v>1672</v>
      </c>
      <c r="I75" t="s">
        <v>1673</v>
      </c>
      <c r="J75" t="s">
        <v>934</v>
      </c>
      <c r="K75" t="s">
        <v>850</v>
      </c>
      <c r="L75" t="s">
        <v>851</v>
      </c>
      <c r="M75">
        <v>11157</v>
      </c>
      <c r="N75" t="s">
        <v>852</v>
      </c>
      <c r="O75" t="s">
        <v>1674</v>
      </c>
      <c r="P75" t="s">
        <v>2881</v>
      </c>
      <c r="Q75">
        <v>6</v>
      </c>
      <c r="R75" t="s">
        <v>2841</v>
      </c>
      <c r="S75">
        <v>5.676</v>
      </c>
      <c r="T75" t="s">
        <v>2842</v>
      </c>
      <c r="U75" t="s">
        <v>64</v>
      </c>
      <c r="V75" t="s">
        <v>2812</v>
      </c>
      <c r="W75" t="s">
        <v>2861</v>
      </c>
      <c r="X75" t="s">
        <v>2844</v>
      </c>
      <c r="Y75" t="s">
        <v>2815</v>
      </c>
      <c r="Z75" t="s">
        <v>2816</v>
      </c>
      <c r="AA75" t="s">
        <v>2816</v>
      </c>
      <c r="AB75" t="s">
        <v>2816</v>
      </c>
      <c r="AC75" t="s">
        <v>2863</v>
      </c>
      <c r="AD75" t="s">
        <v>2819</v>
      </c>
      <c r="AE75" t="s">
        <v>2866</v>
      </c>
      <c r="AF75" t="s">
        <v>2821</v>
      </c>
      <c r="AG75" t="s">
        <v>2822</v>
      </c>
      <c r="AH75" t="s">
        <v>2823</v>
      </c>
      <c r="AI75">
        <v>1</v>
      </c>
      <c r="AJ75">
        <v>500</v>
      </c>
      <c r="AK75">
        <v>28425</v>
      </c>
      <c r="AL75">
        <v>56.85</v>
      </c>
      <c r="AM75">
        <v>0.5163</v>
      </c>
      <c r="AN75">
        <v>18.97</v>
      </c>
      <c r="AO75">
        <v>4.6</v>
      </c>
      <c r="AP75">
        <v>11972</v>
      </c>
      <c r="AQ75">
        <v>0.038</v>
      </c>
      <c r="AR75">
        <v>19</v>
      </c>
      <c r="AT75" t="s">
        <v>854</v>
      </c>
      <c r="AU75" t="s">
        <v>1675</v>
      </c>
      <c r="AV75">
        <v>1680</v>
      </c>
      <c r="AW75">
        <v>1</v>
      </c>
      <c r="AX75">
        <v>2</v>
      </c>
      <c r="AY75" t="s">
        <v>867</v>
      </c>
      <c r="AZ75" t="s">
        <v>65</v>
      </c>
      <c r="BA75" t="s">
        <v>65</v>
      </c>
      <c r="BB75" t="s">
        <v>856</v>
      </c>
      <c r="BC75" t="s">
        <v>1676</v>
      </c>
      <c r="BD75" t="s">
        <v>1677</v>
      </c>
    </row>
    <row r="76" ht="20" spans="1:56">
      <c r="A76" t="str">
        <f>_xlfn.DISPIMG("ID_35B0A37ECC2647E99C4330092C5B67A9",1)</f>
        <v>=DISPIMG("ID_35B0A37ECC2647E99C4330092C5B67A9",1)</v>
      </c>
      <c r="B76" t="s">
        <v>95</v>
      </c>
      <c r="C76" t="s">
        <v>95</v>
      </c>
      <c r="D76" t="s">
        <v>65</v>
      </c>
      <c r="E76" t="s">
        <v>1678</v>
      </c>
      <c r="F76" t="s">
        <v>1679</v>
      </c>
      <c r="G76" t="s">
        <v>861</v>
      </c>
      <c r="H76" t="s">
        <v>1680</v>
      </c>
      <c r="I76" t="s">
        <v>1681</v>
      </c>
      <c r="J76" t="s">
        <v>1012</v>
      </c>
      <c r="K76" t="s">
        <v>850</v>
      </c>
      <c r="L76" t="s">
        <v>851</v>
      </c>
      <c r="M76">
        <v>13280</v>
      </c>
      <c r="N76" t="s">
        <v>852</v>
      </c>
      <c r="O76" t="s">
        <v>1682</v>
      </c>
      <c r="P76" t="s">
        <v>2809</v>
      </c>
      <c r="Q76">
        <v>5.8</v>
      </c>
      <c r="R76" t="s">
        <v>2847</v>
      </c>
      <c r="S76">
        <v>5.4868</v>
      </c>
      <c r="T76" t="s">
        <v>2848</v>
      </c>
      <c r="U76" t="s">
        <v>64</v>
      </c>
      <c r="V76" t="s">
        <v>2812</v>
      </c>
      <c r="W76" t="s">
        <v>2920</v>
      </c>
      <c r="X76" t="s">
        <v>2844</v>
      </c>
      <c r="Y76" t="s">
        <v>2815</v>
      </c>
      <c r="Z76" t="s">
        <v>2816</v>
      </c>
      <c r="AA76" t="s">
        <v>2817</v>
      </c>
      <c r="AB76" t="s">
        <v>2817</v>
      </c>
      <c r="AC76" t="s">
        <v>2922</v>
      </c>
      <c r="AD76" t="s">
        <v>2850</v>
      </c>
      <c r="AE76" t="s">
        <v>2906</v>
      </c>
      <c r="AF76" t="s">
        <v>2883</v>
      </c>
      <c r="AG76" t="s">
        <v>2993</v>
      </c>
      <c r="AH76" t="s">
        <v>2979</v>
      </c>
      <c r="AI76">
        <v>1</v>
      </c>
      <c r="AJ76">
        <v>981</v>
      </c>
      <c r="AK76">
        <v>117710.19</v>
      </c>
      <c r="AL76">
        <v>119.99</v>
      </c>
      <c r="AM76">
        <v>0.6884</v>
      </c>
      <c r="AN76">
        <v>19.39</v>
      </c>
      <c r="AO76">
        <v>4</v>
      </c>
      <c r="AP76">
        <v>55</v>
      </c>
      <c r="AQ76">
        <v>0.0306</v>
      </c>
      <c r="AR76">
        <v>30</v>
      </c>
      <c r="AT76" t="s">
        <v>947</v>
      </c>
      <c r="AU76" t="s">
        <v>1683</v>
      </c>
      <c r="AV76">
        <v>203</v>
      </c>
      <c r="AW76">
        <v>1</v>
      </c>
      <c r="AX76">
        <v>1</v>
      </c>
      <c r="AY76" t="s">
        <v>867</v>
      </c>
      <c r="AZ76" t="s">
        <v>65</v>
      </c>
      <c r="BA76" t="s">
        <v>65</v>
      </c>
      <c r="BB76" t="s">
        <v>856</v>
      </c>
      <c r="BC76" t="s">
        <v>1684</v>
      </c>
      <c r="BD76" t="s">
        <v>1685</v>
      </c>
    </row>
    <row r="77" ht="20" spans="1:56">
      <c r="A77" t="str">
        <f>_xlfn.DISPIMG("ID_BB253EF55B6C4CAC9D7887F594953095",1)</f>
        <v>=DISPIMG("ID_BB253EF55B6C4CAC9D7887F594953095",1)</v>
      </c>
      <c r="B77" t="s">
        <v>1703</v>
      </c>
      <c r="C77" t="s">
        <v>1703</v>
      </c>
      <c r="D77" t="s">
        <v>65</v>
      </c>
      <c r="E77" t="s">
        <v>1704</v>
      </c>
      <c r="F77" t="s">
        <v>1705</v>
      </c>
      <c r="G77" t="s">
        <v>1152</v>
      </c>
      <c r="H77" t="s">
        <v>1706</v>
      </c>
      <c r="I77" t="s">
        <v>1707</v>
      </c>
      <c r="J77" t="s">
        <v>934</v>
      </c>
      <c r="K77" t="s">
        <v>850</v>
      </c>
      <c r="L77" t="s">
        <v>851</v>
      </c>
      <c r="M77">
        <v>15830</v>
      </c>
      <c r="N77" t="s">
        <v>852</v>
      </c>
      <c r="O77" t="s">
        <v>1708</v>
      </c>
      <c r="P77" t="s">
        <v>2809</v>
      </c>
      <c r="Q77">
        <v>12.5</v>
      </c>
      <c r="R77" t="s">
        <v>2994</v>
      </c>
      <c r="S77">
        <v>11.825</v>
      </c>
      <c r="T77" t="s">
        <v>2995</v>
      </c>
      <c r="U77" t="s">
        <v>2877</v>
      </c>
      <c r="V77" t="s">
        <v>2904</v>
      </c>
      <c r="W77" t="s">
        <v>2878</v>
      </c>
      <c r="X77" t="s">
        <v>2844</v>
      </c>
      <c r="Y77" t="s">
        <v>2815</v>
      </c>
      <c r="Z77" t="s">
        <v>2817</v>
      </c>
      <c r="AA77" t="s">
        <v>2817</v>
      </c>
      <c r="AB77" t="s">
        <v>2816</v>
      </c>
      <c r="AC77" t="s">
        <v>2818</v>
      </c>
      <c r="AD77" t="s">
        <v>2850</v>
      </c>
      <c r="AE77" t="s">
        <v>2906</v>
      </c>
      <c r="AF77" t="s">
        <v>2821</v>
      </c>
      <c r="AG77" t="s">
        <v>2865</v>
      </c>
      <c r="AH77" t="s">
        <v>2823</v>
      </c>
      <c r="AI77">
        <v>1</v>
      </c>
      <c r="AJ77">
        <v>1010</v>
      </c>
      <c r="AK77">
        <v>85829.805</v>
      </c>
      <c r="AL77">
        <v>119.99</v>
      </c>
      <c r="AM77">
        <v>0.5922</v>
      </c>
      <c r="AN77">
        <v>21.91</v>
      </c>
      <c r="AO77">
        <v>4.5</v>
      </c>
      <c r="AP77">
        <v>13845</v>
      </c>
      <c r="AQ77">
        <v>0.095</v>
      </c>
      <c r="AR77">
        <v>96</v>
      </c>
      <c r="AT77" t="s">
        <v>854</v>
      </c>
      <c r="AU77" t="s">
        <v>1709</v>
      </c>
      <c r="AV77">
        <v>1225</v>
      </c>
      <c r="AW77">
        <v>1</v>
      </c>
      <c r="AX77">
        <v>4</v>
      </c>
      <c r="AY77" t="s">
        <v>65</v>
      </c>
      <c r="AZ77" t="s">
        <v>65</v>
      </c>
      <c r="BA77" t="s">
        <v>65</v>
      </c>
      <c r="BB77" t="s">
        <v>856</v>
      </c>
      <c r="BC77" t="s">
        <v>1710</v>
      </c>
      <c r="BD77" t="s">
        <v>1711</v>
      </c>
    </row>
    <row r="78" ht="20" spans="1:56">
      <c r="A78" t="str">
        <f>_xlfn.DISPIMG("ID_B039124550CD4981B557EE255393115B",1)</f>
        <v>=DISPIMG("ID_B039124550CD4981B557EE255393115B",1)</v>
      </c>
      <c r="B78" t="s">
        <v>1712</v>
      </c>
      <c r="C78" t="s">
        <v>1712</v>
      </c>
      <c r="D78" t="s">
        <v>65</v>
      </c>
      <c r="E78" t="s">
        <v>1713</v>
      </c>
      <c r="F78" t="s">
        <v>1714</v>
      </c>
      <c r="G78" t="s">
        <v>1715</v>
      </c>
      <c r="H78" t="s">
        <v>1716</v>
      </c>
      <c r="I78" t="s">
        <v>1717</v>
      </c>
      <c r="J78" t="s">
        <v>974</v>
      </c>
      <c r="K78" t="s">
        <v>850</v>
      </c>
      <c r="L78" t="s">
        <v>851</v>
      </c>
      <c r="M78">
        <v>23256</v>
      </c>
      <c r="N78" t="s">
        <v>852</v>
      </c>
      <c r="O78" t="s">
        <v>1718</v>
      </c>
      <c r="P78" t="s">
        <v>2832</v>
      </c>
      <c r="Q78">
        <v>31.4</v>
      </c>
      <c r="R78" t="s">
        <v>2996</v>
      </c>
      <c r="S78">
        <v>29.7044</v>
      </c>
      <c r="T78" t="s">
        <v>2997</v>
      </c>
      <c r="U78" t="s">
        <v>2877</v>
      </c>
      <c r="V78" t="s">
        <v>2836</v>
      </c>
      <c r="W78" t="s">
        <v>2998</v>
      </c>
      <c r="X78" t="s">
        <v>2874</v>
      </c>
      <c r="Y78" t="s">
        <v>2829</v>
      </c>
      <c r="Z78" t="s">
        <v>2817</v>
      </c>
      <c r="AA78" t="s">
        <v>2817</v>
      </c>
      <c r="AB78" t="s">
        <v>2816</v>
      </c>
      <c r="AC78" t="s">
        <v>2845</v>
      </c>
      <c r="AD78" t="s">
        <v>2839</v>
      </c>
      <c r="AE78" t="s">
        <v>2857</v>
      </c>
      <c r="AF78" t="s">
        <v>2917</v>
      </c>
      <c r="AG78" t="s">
        <v>2933</v>
      </c>
      <c r="AH78" t="s">
        <v>2934</v>
      </c>
      <c r="AI78">
        <v>1</v>
      </c>
      <c r="AJ78">
        <v>231</v>
      </c>
      <c r="AK78">
        <v>43887.69</v>
      </c>
      <c r="AL78">
        <v>239.99</v>
      </c>
      <c r="AM78">
        <v>0.6949</v>
      </c>
      <c r="AN78">
        <v>29.47</v>
      </c>
      <c r="AO78">
        <v>4.9</v>
      </c>
      <c r="AP78">
        <v>11</v>
      </c>
      <c r="AQ78">
        <v>0.0433</v>
      </c>
      <c r="AR78">
        <v>10</v>
      </c>
      <c r="AT78" t="s">
        <v>65</v>
      </c>
      <c r="AU78" t="s">
        <v>1719</v>
      </c>
      <c r="AV78">
        <v>85</v>
      </c>
      <c r="AW78">
        <v>1</v>
      </c>
      <c r="AX78">
        <v>2</v>
      </c>
      <c r="AY78" t="s">
        <v>1720</v>
      </c>
      <c r="AZ78" t="s">
        <v>1401</v>
      </c>
      <c r="BA78" t="s">
        <v>1721</v>
      </c>
      <c r="BB78" t="s">
        <v>856</v>
      </c>
      <c r="BC78" t="s">
        <v>1722</v>
      </c>
      <c r="BD78" t="s">
        <v>1723</v>
      </c>
    </row>
    <row r="79" ht="20" spans="1:56">
      <c r="A79" t="str">
        <f>_xlfn.DISPIMG("ID_879CF2E30A904DAFA7C2843A597570A3",1)</f>
        <v>=DISPIMG("ID_879CF2E30A904DAFA7C2843A597570A3",1)</v>
      </c>
      <c r="B79" t="s">
        <v>1736</v>
      </c>
      <c r="C79" t="s">
        <v>1736</v>
      </c>
      <c r="D79" t="s">
        <v>65</v>
      </c>
      <c r="E79" t="s">
        <v>1737</v>
      </c>
      <c r="F79" t="s">
        <v>1738</v>
      </c>
      <c r="G79" t="s">
        <v>1408</v>
      </c>
      <c r="H79" t="s">
        <v>1739</v>
      </c>
      <c r="I79" t="s">
        <v>1740</v>
      </c>
      <c r="J79" t="s">
        <v>934</v>
      </c>
      <c r="K79" t="s">
        <v>850</v>
      </c>
      <c r="L79" t="s">
        <v>851</v>
      </c>
      <c r="M79">
        <v>17477</v>
      </c>
      <c r="N79" t="s">
        <v>1029</v>
      </c>
      <c r="O79" t="s">
        <v>1741</v>
      </c>
      <c r="P79" t="s">
        <v>2832</v>
      </c>
      <c r="Q79">
        <v>6</v>
      </c>
      <c r="R79" t="s">
        <v>2841</v>
      </c>
      <c r="S79">
        <v>5.676</v>
      </c>
      <c r="T79" t="s">
        <v>2842</v>
      </c>
      <c r="U79" t="s">
        <v>2907</v>
      </c>
      <c r="V79" t="s">
        <v>2812</v>
      </c>
      <c r="W79" t="s">
        <v>2849</v>
      </c>
      <c r="X79" t="s">
        <v>2814</v>
      </c>
      <c r="Y79" t="s">
        <v>2895</v>
      </c>
      <c r="Z79" t="s">
        <v>2817</v>
      </c>
      <c r="AA79" t="s">
        <v>2817</v>
      </c>
      <c r="AB79" t="s">
        <v>2816</v>
      </c>
      <c r="AC79" t="s">
        <v>2845</v>
      </c>
      <c r="AD79" t="s">
        <v>2839</v>
      </c>
      <c r="AE79" t="s">
        <v>2840</v>
      </c>
      <c r="AF79" t="s">
        <v>2900</v>
      </c>
      <c r="AG79" t="s">
        <v>2865</v>
      </c>
      <c r="AH79" t="s">
        <v>2823</v>
      </c>
      <c r="AI79">
        <v>1</v>
      </c>
      <c r="AJ79">
        <v>540</v>
      </c>
      <c r="AK79">
        <v>55614.598</v>
      </c>
      <c r="AL79">
        <v>102.99</v>
      </c>
      <c r="AM79">
        <v>0.6332</v>
      </c>
      <c r="AN79">
        <v>22.33</v>
      </c>
      <c r="AO79">
        <v>4.5</v>
      </c>
      <c r="AP79">
        <v>2593</v>
      </c>
      <c r="AQ79">
        <v>0.0963</v>
      </c>
      <c r="AR79">
        <v>52</v>
      </c>
      <c r="AT79" t="s">
        <v>876</v>
      </c>
      <c r="AU79" t="s">
        <v>1268</v>
      </c>
      <c r="AV79">
        <v>896</v>
      </c>
      <c r="AW79">
        <v>1</v>
      </c>
      <c r="AX79">
        <v>1</v>
      </c>
      <c r="AY79" t="s">
        <v>1032</v>
      </c>
      <c r="AZ79" t="s">
        <v>65</v>
      </c>
      <c r="BA79" t="s">
        <v>1033</v>
      </c>
      <c r="BB79" t="s">
        <v>856</v>
      </c>
      <c r="BC79" t="s">
        <v>1742</v>
      </c>
      <c r="BD79" t="s">
        <v>1743</v>
      </c>
    </row>
    <row r="80" ht="20" spans="1:56">
      <c r="A80" t="str">
        <f>_xlfn.DISPIMG("ID_B36370CE9DE24B8A8FBAB44B1FB4C28F",1)</f>
        <v>=DISPIMG("ID_B36370CE9DE24B8A8FBAB44B1FB4C28F",1)</v>
      </c>
      <c r="B80" t="s">
        <v>1744</v>
      </c>
      <c r="C80" t="s">
        <v>1744</v>
      </c>
      <c r="D80" t="s">
        <v>65</v>
      </c>
      <c r="E80" t="s">
        <v>1745</v>
      </c>
      <c r="F80" t="s">
        <v>1746</v>
      </c>
      <c r="G80" t="s">
        <v>1059</v>
      </c>
      <c r="H80" t="s">
        <v>1747</v>
      </c>
      <c r="I80" t="s">
        <v>1748</v>
      </c>
      <c r="J80" t="s">
        <v>864</v>
      </c>
      <c r="K80" t="s">
        <v>850</v>
      </c>
      <c r="L80" t="s">
        <v>851</v>
      </c>
      <c r="M80">
        <v>13708</v>
      </c>
      <c r="N80" t="s">
        <v>852</v>
      </c>
      <c r="O80" t="s">
        <v>1749</v>
      </c>
      <c r="P80" t="s">
        <v>2852</v>
      </c>
      <c r="Q80">
        <v>20</v>
      </c>
      <c r="R80" t="s">
        <v>2961</v>
      </c>
      <c r="S80">
        <v>18.92</v>
      </c>
      <c r="T80" t="s">
        <v>2962</v>
      </c>
      <c r="U80" t="s">
        <v>2877</v>
      </c>
      <c r="V80" t="s">
        <v>2836</v>
      </c>
      <c r="W80" t="s">
        <v>2837</v>
      </c>
      <c r="X80" t="s">
        <v>2874</v>
      </c>
      <c r="Y80" t="s">
        <v>2829</v>
      </c>
      <c r="Z80" t="s">
        <v>2817</v>
      </c>
      <c r="AA80" t="s">
        <v>2816</v>
      </c>
      <c r="AB80" t="s">
        <v>2816</v>
      </c>
      <c r="AC80" t="s">
        <v>2863</v>
      </c>
      <c r="AD80" t="s">
        <v>2839</v>
      </c>
      <c r="AE80" t="s">
        <v>2937</v>
      </c>
      <c r="AF80" t="s">
        <v>2851</v>
      </c>
      <c r="AG80" t="s">
        <v>2865</v>
      </c>
      <c r="AH80" t="s">
        <v>2823</v>
      </c>
      <c r="AI80">
        <v>1</v>
      </c>
      <c r="AJ80">
        <v>585</v>
      </c>
      <c r="AK80">
        <v>76044.16</v>
      </c>
      <c r="AL80">
        <v>129.99</v>
      </c>
      <c r="AM80">
        <v>0.6491</v>
      </c>
      <c r="AN80">
        <v>26.11</v>
      </c>
      <c r="AO80">
        <v>4.3</v>
      </c>
      <c r="AP80">
        <v>1422</v>
      </c>
      <c r="AQ80">
        <v>0.1111</v>
      </c>
      <c r="AR80">
        <v>65</v>
      </c>
      <c r="AT80" t="s">
        <v>854</v>
      </c>
      <c r="AU80" t="s">
        <v>1750</v>
      </c>
      <c r="AV80">
        <v>951</v>
      </c>
      <c r="AW80">
        <v>1</v>
      </c>
      <c r="AX80">
        <v>4</v>
      </c>
      <c r="AY80" t="s">
        <v>867</v>
      </c>
      <c r="AZ80" t="s">
        <v>65</v>
      </c>
      <c r="BA80" t="s">
        <v>65</v>
      </c>
      <c r="BB80" t="s">
        <v>856</v>
      </c>
      <c r="BC80" t="s">
        <v>1751</v>
      </c>
      <c r="BD80" t="s">
        <v>1752</v>
      </c>
    </row>
    <row r="81" ht="20" spans="1:56">
      <c r="A81" t="str">
        <f>_xlfn.DISPIMG("ID_72B4040D07174C6A87D1E8DBFE9FF175",1)</f>
        <v>=DISPIMG("ID_72B4040D07174C6A87D1E8DBFE9FF175",1)</v>
      </c>
      <c r="B81" t="s">
        <v>716</v>
      </c>
      <c r="C81" t="s">
        <v>716</v>
      </c>
      <c r="D81" t="s">
        <v>65</v>
      </c>
      <c r="E81" t="s">
        <v>1753</v>
      </c>
      <c r="F81" t="s">
        <v>1754</v>
      </c>
      <c r="G81" t="s">
        <v>1755</v>
      </c>
      <c r="H81" t="s">
        <v>1756</v>
      </c>
      <c r="I81" t="s">
        <v>1757</v>
      </c>
      <c r="J81" t="s">
        <v>934</v>
      </c>
      <c r="K81" t="s">
        <v>850</v>
      </c>
      <c r="L81" t="s">
        <v>851</v>
      </c>
      <c r="M81">
        <v>17635</v>
      </c>
      <c r="N81" t="s">
        <v>852</v>
      </c>
      <c r="O81" t="s">
        <v>1758</v>
      </c>
      <c r="P81" t="s">
        <v>2809</v>
      </c>
      <c r="Q81">
        <v>7</v>
      </c>
      <c r="R81" t="s">
        <v>2941</v>
      </c>
      <c r="S81">
        <v>6.622</v>
      </c>
      <c r="T81" t="s">
        <v>2942</v>
      </c>
      <c r="U81" t="s">
        <v>64</v>
      </c>
      <c r="V81" t="s">
        <v>2812</v>
      </c>
      <c r="W81" t="s">
        <v>2843</v>
      </c>
      <c r="X81" t="s">
        <v>2874</v>
      </c>
      <c r="Y81" t="s">
        <v>2815</v>
      </c>
      <c r="Z81" t="s">
        <v>2816</v>
      </c>
      <c r="AA81" t="s">
        <v>2817</v>
      </c>
      <c r="AB81" t="s">
        <v>2816</v>
      </c>
      <c r="AC81" t="s">
        <v>2818</v>
      </c>
      <c r="AD81" t="s">
        <v>2819</v>
      </c>
      <c r="AE81" t="s">
        <v>2820</v>
      </c>
      <c r="AF81" t="s">
        <v>2831</v>
      </c>
      <c r="AG81" t="s">
        <v>2822</v>
      </c>
      <c r="AH81" t="s">
        <v>2868</v>
      </c>
      <c r="AI81">
        <v>1</v>
      </c>
      <c r="AJ81">
        <v>372</v>
      </c>
      <c r="AK81">
        <v>27505.682</v>
      </c>
      <c r="AL81">
        <v>89.99</v>
      </c>
      <c r="AM81">
        <v>0.5821</v>
      </c>
      <c r="AN81">
        <v>19.81</v>
      </c>
      <c r="AO81">
        <v>4.6</v>
      </c>
      <c r="AP81">
        <v>806</v>
      </c>
      <c r="AQ81">
        <v>0.1075</v>
      </c>
      <c r="AR81">
        <v>40</v>
      </c>
      <c r="AT81" t="s">
        <v>876</v>
      </c>
      <c r="AU81" t="s">
        <v>1759</v>
      </c>
      <c r="AV81">
        <v>574</v>
      </c>
      <c r="AW81">
        <v>1</v>
      </c>
      <c r="AX81">
        <v>2</v>
      </c>
      <c r="AY81" t="s">
        <v>1760</v>
      </c>
      <c r="AZ81" t="s">
        <v>1288</v>
      </c>
      <c r="BA81" t="s">
        <v>1761</v>
      </c>
      <c r="BB81" t="s">
        <v>856</v>
      </c>
      <c r="BC81" t="s">
        <v>1484</v>
      </c>
      <c r="BD81" t="s">
        <v>1762</v>
      </c>
    </row>
    <row r="82" ht="20" spans="1:56">
      <c r="A82" t="str">
        <f>_xlfn.DISPIMG("ID_969655FD644345AB81031DDDED4C2B1D",1)</f>
        <v>=DISPIMG("ID_969655FD644345AB81031DDDED4C2B1D",1)</v>
      </c>
      <c r="B82" t="s">
        <v>1776</v>
      </c>
      <c r="C82" t="s">
        <v>1776</v>
      </c>
      <c r="D82" t="s">
        <v>65</v>
      </c>
      <c r="E82" t="s">
        <v>1777</v>
      </c>
      <c r="F82" t="s">
        <v>1778</v>
      </c>
      <c r="G82" t="s">
        <v>991</v>
      </c>
      <c r="H82" t="s">
        <v>1779</v>
      </c>
      <c r="I82" t="s">
        <v>1780</v>
      </c>
      <c r="J82" t="s">
        <v>974</v>
      </c>
      <c r="K82" t="s">
        <v>850</v>
      </c>
      <c r="L82" t="s">
        <v>851</v>
      </c>
      <c r="M82">
        <v>16129</v>
      </c>
      <c r="N82" t="s">
        <v>852</v>
      </c>
      <c r="O82" t="s">
        <v>1781</v>
      </c>
      <c r="P82" t="s">
        <v>2809</v>
      </c>
      <c r="Q82">
        <v>26</v>
      </c>
      <c r="R82" t="s">
        <v>2891</v>
      </c>
      <c r="S82">
        <v>24.596</v>
      </c>
      <c r="T82" t="s">
        <v>2892</v>
      </c>
      <c r="U82" t="s">
        <v>2877</v>
      </c>
      <c r="V82" t="s">
        <v>2836</v>
      </c>
      <c r="W82" t="s">
        <v>2894</v>
      </c>
      <c r="X82" t="s">
        <v>2874</v>
      </c>
      <c r="Y82" t="s">
        <v>2829</v>
      </c>
      <c r="Z82" t="s">
        <v>2817</v>
      </c>
      <c r="AA82" t="s">
        <v>2817</v>
      </c>
      <c r="AB82" t="s">
        <v>2816</v>
      </c>
      <c r="AC82" t="s">
        <v>2845</v>
      </c>
      <c r="AD82" t="s">
        <v>2839</v>
      </c>
      <c r="AE82" t="s">
        <v>2887</v>
      </c>
      <c r="AF82" t="s">
        <v>2883</v>
      </c>
      <c r="AG82" t="s">
        <v>2822</v>
      </c>
      <c r="AH82" t="s">
        <v>2979</v>
      </c>
      <c r="AI82">
        <v>1</v>
      </c>
      <c r="AJ82">
        <v>815</v>
      </c>
      <c r="AK82">
        <v>122241.85</v>
      </c>
      <c r="AL82">
        <v>149.99</v>
      </c>
      <c r="AM82">
        <v>0.7291</v>
      </c>
      <c r="AN82">
        <v>18.13</v>
      </c>
      <c r="AO82">
        <v>4.6</v>
      </c>
      <c r="AP82">
        <v>66</v>
      </c>
      <c r="AQ82">
        <v>0.0282</v>
      </c>
      <c r="AR82">
        <v>23</v>
      </c>
      <c r="AT82" t="s">
        <v>1267</v>
      </c>
      <c r="AU82" t="s">
        <v>1782</v>
      </c>
      <c r="AV82">
        <v>292</v>
      </c>
      <c r="AW82">
        <v>1</v>
      </c>
      <c r="AX82">
        <v>1</v>
      </c>
      <c r="AY82" t="s">
        <v>1783</v>
      </c>
      <c r="AZ82" t="s">
        <v>1288</v>
      </c>
      <c r="BA82" t="s">
        <v>1784</v>
      </c>
      <c r="BB82" t="s">
        <v>856</v>
      </c>
      <c r="BC82" t="s">
        <v>1785</v>
      </c>
      <c r="BD82" t="s">
        <v>1786</v>
      </c>
    </row>
    <row r="83" ht="20" spans="1:56">
      <c r="A83" t="str">
        <f>_xlfn.DISPIMG("ID_F217E099E8CF428AA89D30A138B55E1A",1)</f>
        <v>=DISPIMG("ID_F217E099E8CF428AA89D30A138B55E1A",1)</v>
      </c>
      <c r="B83" t="s">
        <v>640</v>
      </c>
      <c r="C83" t="s">
        <v>640</v>
      </c>
      <c r="D83" t="s">
        <v>65</v>
      </c>
      <c r="E83" t="s">
        <v>1797</v>
      </c>
      <c r="F83" t="s">
        <v>1798</v>
      </c>
      <c r="G83" t="s">
        <v>1799</v>
      </c>
      <c r="H83" t="s">
        <v>1800</v>
      </c>
      <c r="I83" t="s">
        <v>1801</v>
      </c>
      <c r="J83" t="s">
        <v>974</v>
      </c>
      <c r="K83" t="s">
        <v>850</v>
      </c>
      <c r="L83" t="s">
        <v>851</v>
      </c>
      <c r="M83">
        <v>15746</v>
      </c>
      <c r="N83" t="s">
        <v>852</v>
      </c>
      <c r="O83" t="s">
        <v>1758</v>
      </c>
      <c r="P83" t="s">
        <v>2809</v>
      </c>
      <c r="Q83">
        <v>5.3</v>
      </c>
      <c r="R83" t="s">
        <v>2999</v>
      </c>
      <c r="S83">
        <v>5.0138</v>
      </c>
      <c r="T83" t="s">
        <v>3000</v>
      </c>
      <c r="U83" t="s">
        <v>64</v>
      </c>
      <c r="V83" t="s">
        <v>2812</v>
      </c>
      <c r="W83" t="s">
        <v>2861</v>
      </c>
      <c r="X83" t="s">
        <v>2844</v>
      </c>
      <c r="Y83" t="s">
        <v>2815</v>
      </c>
      <c r="Z83" t="s">
        <v>2816</v>
      </c>
      <c r="AA83" t="s">
        <v>2816</v>
      </c>
      <c r="AB83" t="s">
        <v>2816</v>
      </c>
      <c r="AC83" t="s">
        <v>2863</v>
      </c>
      <c r="AD83" t="s">
        <v>2819</v>
      </c>
      <c r="AE83" t="s">
        <v>2882</v>
      </c>
      <c r="AF83" t="s">
        <v>2821</v>
      </c>
      <c r="AG83" t="s">
        <v>2822</v>
      </c>
      <c r="AH83" t="s">
        <v>2823</v>
      </c>
      <c r="AI83">
        <v>1</v>
      </c>
      <c r="AJ83">
        <v>3104</v>
      </c>
      <c r="AK83">
        <v>207129.94</v>
      </c>
      <c r="AL83">
        <v>66.73</v>
      </c>
      <c r="AM83">
        <v>0.5405</v>
      </c>
      <c r="AN83">
        <v>20.65</v>
      </c>
      <c r="AO83">
        <v>4.7</v>
      </c>
      <c r="AP83">
        <v>6211</v>
      </c>
      <c r="AQ83">
        <v>0.0409</v>
      </c>
      <c r="AR83">
        <v>127</v>
      </c>
      <c r="AT83" t="s">
        <v>854</v>
      </c>
      <c r="AU83" t="s">
        <v>1802</v>
      </c>
      <c r="AV83">
        <v>2187</v>
      </c>
      <c r="AW83">
        <v>1</v>
      </c>
      <c r="AX83">
        <v>2</v>
      </c>
      <c r="AY83" t="s">
        <v>867</v>
      </c>
      <c r="AZ83" t="s">
        <v>65</v>
      </c>
      <c r="BA83" t="s">
        <v>65</v>
      </c>
      <c r="BB83" t="s">
        <v>856</v>
      </c>
      <c r="BC83" t="s">
        <v>1803</v>
      </c>
      <c r="BD83" t="s">
        <v>1804</v>
      </c>
    </row>
    <row r="84" ht="20" spans="1:56">
      <c r="A84" t="str">
        <f>_xlfn.DISPIMG("ID_464ED34DBB5B474FAA9ABB287749C488",1)</f>
        <v>=DISPIMG("ID_464ED34DBB5B474FAA9ABB287749C488",1)</v>
      </c>
      <c r="B84" t="s">
        <v>1805</v>
      </c>
      <c r="C84" t="s">
        <v>1805</v>
      </c>
      <c r="D84" t="s">
        <v>65</v>
      </c>
      <c r="E84" t="s">
        <v>1806</v>
      </c>
      <c r="F84" t="s">
        <v>1807</v>
      </c>
      <c r="G84" t="s">
        <v>1408</v>
      </c>
      <c r="H84" t="s">
        <v>1808</v>
      </c>
      <c r="I84" t="s">
        <v>1809</v>
      </c>
      <c r="J84" t="s">
        <v>974</v>
      </c>
      <c r="K84" t="s">
        <v>850</v>
      </c>
      <c r="L84" t="s">
        <v>851</v>
      </c>
      <c r="M84">
        <v>14217</v>
      </c>
      <c r="N84" t="s">
        <v>1029</v>
      </c>
      <c r="O84" t="s">
        <v>1810</v>
      </c>
      <c r="P84" t="s">
        <v>2824</v>
      </c>
      <c r="Q84">
        <v>10</v>
      </c>
      <c r="R84" t="s">
        <v>2833</v>
      </c>
      <c r="S84">
        <v>9.46</v>
      </c>
      <c r="T84" t="s">
        <v>2834</v>
      </c>
      <c r="U84" t="s">
        <v>64</v>
      </c>
      <c r="V84" t="s">
        <v>2812</v>
      </c>
      <c r="W84" t="s">
        <v>2894</v>
      </c>
      <c r="X84" t="s">
        <v>2844</v>
      </c>
      <c r="Y84" t="s">
        <v>2815</v>
      </c>
      <c r="Z84" t="s">
        <v>2817</v>
      </c>
      <c r="AA84" t="s">
        <v>2817</v>
      </c>
      <c r="AB84" t="s">
        <v>2816</v>
      </c>
      <c r="AC84" t="s">
        <v>2818</v>
      </c>
      <c r="AD84" t="s">
        <v>2819</v>
      </c>
      <c r="AE84" t="s">
        <v>2830</v>
      </c>
      <c r="AF84" t="s">
        <v>2900</v>
      </c>
      <c r="AG84" t="s">
        <v>2865</v>
      </c>
      <c r="AH84" t="s">
        <v>2823</v>
      </c>
      <c r="AI84">
        <v>1</v>
      </c>
      <c r="AJ84">
        <v>234</v>
      </c>
      <c r="AK84">
        <v>21993.66</v>
      </c>
      <c r="AL84">
        <v>93.99</v>
      </c>
      <c r="AM84">
        <v>0.599</v>
      </c>
      <c r="AN84">
        <v>23.59</v>
      </c>
      <c r="AO84">
        <v>4.5</v>
      </c>
      <c r="AP84">
        <v>1506</v>
      </c>
      <c r="AQ84">
        <v>0</v>
      </c>
      <c r="AR84">
        <v>358</v>
      </c>
      <c r="AS84">
        <v>130</v>
      </c>
      <c r="AT84" t="s">
        <v>854</v>
      </c>
      <c r="AU84" t="s">
        <v>1811</v>
      </c>
      <c r="AV84">
        <v>900</v>
      </c>
      <c r="AW84">
        <v>1</v>
      </c>
      <c r="AX84">
        <v>1</v>
      </c>
      <c r="AY84" t="s">
        <v>1032</v>
      </c>
      <c r="AZ84" t="s">
        <v>65</v>
      </c>
      <c r="BA84" t="s">
        <v>1033</v>
      </c>
      <c r="BB84" t="s">
        <v>856</v>
      </c>
      <c r="BC84" t="s">
        <v>1812</v>
      </c>
      <c r="BD84" t="s">
        <v>1813</v>
      </c>
    </row>
    <row r="85" ht="19.95" spans="1:56">
      <c r="A85" t="str">
        <f>_xlfn.DISPIMG("ID_5C0C6AB0FB064505A0A3A4249472B177",1)</f>
        <v>=DISPIMG("ID_5C0C6AB0FB064505A0A3A4249472B177",1)</v>
      </c>
      <c r="B85" t="s">
        <v>1814</v>
      </c>
      <c r="C85" t="s">
        <v>1814</v>
      </c>
      <c r="D85" t="s">
        <v>65</v>
      </c>
      <c r="E85" t="s">
        <v>1815</v>
      </c>
      <c r="F85" t="s">
        <v>1816</v>
      </c>
      <c r="G85" t="s">
        <v>1173</v>
      </c>
      <c r="H85" t="s">
        <v>1817</v>
      </c>
      <c r="I85" t="s">
        <v>1818</v>
      </c>
      <c r="J85" t="s">
        <v>974</v>
      </c>
      <c r="K85" t="s">
        <v>850</v>
      </c>
      <c r="L85" t="s">
        <v>851</v>
      </c>
      <c r="M85">
        <v>21578</v>
      </c>
      <c r="N85" t="s">
        <v>852</v>
      </c>
      <c r="O85" t="s">
        <v>1624</v>
      </c>
      <c r="P85" t="s">
        <v>2809</v>
      </c>
      <c r="Q85">
        <v>3.7</v>
      </c>
      <c r="R85" t="s">
        <v>2931</v>
      </c>
      <c r="S85">
        <v>3.5002</v>
      </c>
      <c r="T85" t="s">
        <v>2932</v>
      </c>
      <c r="U85" t="s">
        <v>64</v>
      </c>
      <c r="V85" t="s">
        <v>2812</v>
      </c>
      <c r="W85" t="s">
        <v>2878</v>
      </c>
      <c r="X85" t="s">
        <v>2921</v>
      </c>
      <c r="Y85" t="s">
        <v>2815</v>
      </c>
      <c r="Z85" t="s">
        <v>2816</v>
      </c>
      <c r="AA85" t="s">
        <v>2816</v>
      </c>
      <c r="AB85" t="s">
        <v>2816</v>
      </c>
      <c r="AC85" t="s">
        <v>2818</v>
      </c>
      <c r="AD85" t="s">
        <v>2819</v>
      </c>
      <c r="AE85" t="s">
        <v>2882</v>
      </c>
      <c r="AF85" t="s">
        <v>2821</v>
      </c>
      <c r="AG85" t="s">
        <v>2822</v>
      </c>
      <c r="AH85" t="s">
        <v>2823</v>
      </c>
      <c r="AI85">
        <v>1</v>
      </c>
      <c r="AJ85">
        <v>577</v>
      </c>
      <c r="AK85">
        <v>35623.98</v>
      </c>
      <c r="AL85">
        <v>61.74</v>
      </c>
      <c r="AM85">
        <v>0.5496</v>
      </c>
      <c r="AN85">
        <v>18.55</v>
      </c>
      <c r="AO85">
        <v>4.6</v>
      </c>
      <c r="AP85">
        <v>15252</v>
      </c>
      <c r="AQ85">
        <v>0.1265</v>
      </c>
      <c r="AR85">
        <v>73</v>
      </c>
      <c r="AT85" t="s">
        <v>876</v>
      </c>
      <c r="AU85" t="s">
        <v>1819</v>
      </c>
      <c r="AV85">
        <v>2419</v>
      </c>
      <c r="AW85">
        <v>1</v>
      </c>
      <c r="AX85">
        <v>1</v>
      </c>
      <c r="AY85" t="s">
        <v>867</v>
      </c>
      <c r="AZ85" t="s">
        <v>65</v>
      </c>
      <c r="BA85" t="s">
        <v>65</v>
      </c>
      <c r="BB85" t="s">
        <v>856</v>
      </c>
      <c r="BC85" t="s">
        <v>1820</v>
      </c>
      <c r="BD85" t="s">
        <v>1821</v>
      </c>
    </row>
    <row r="86" ht="19.95" spans="1:56">
      <c r="A86" t="str">
        <f>_xlfn.DISPIMG("ID_CB0487FB602744618A7F91CD508B1A11",1)</f>
        <v>=DISPIMG("ID_CB0487FB602744618A7F91CD508B1A11",1)</v>
      </c>
      <c r="B86" t="s">
        <v>148</v>
      </c>
      <c r="C86" t="s">
        <v>148</v>
      </c>
      <c r="D86" t="s">
        <v>65</v>
      </c>
      <c r="E86" t="s">
        <v>1822</v>
      </c>
      <c r="F86" t="s">
        <v>1823</v>
      </c>
      <c r="G86" t="s">
        <v>1408</v>
      </c>
      <c r="H86" t="s">
        <v>1824</v>
      </c>
      <c r="I86" t="s">
        <v>1825</v>
      </c>
      <c r="J86" t="s">
        <v>974</v>
      </c>
      <c r="K86" t="s">
        <v>850</v>
      </c>
      <c r="L86" t="s">
        <v>851</v>
      </c>
      <c r="M86">
        <v>17956</v>
      </c>
      <c r="N86" t="s">
        <v>1029</v>
      </c>
      <c r="O86" t="s">
        <v>1826</v>
      </c>
      <c r="P86" t="s">
        <v>2809</v>
      </c>
      <c r="Q86">
        <v>4.7</v>
      </c>
      <c r="R86" t="s">
        <v>3001</v>
      </c>
      <c r="S86">
        <v>4.4462</v>
      </c>
      <c r="T86" t="s">
        <v>3002</v>
      </c>
      <c r="U86" t="s">
        <v>2877</v>
      </c>
      <c r="V86" t="s">
        <v>2836</v>
      </c>
      <c r="W86" t="s">
        <v>2878</v>
      </c>
      <c r="X86" t="s">
        <v>2828</v>
      </c>
      <c r="Y86" t="s">
        <v>2829</v>
      </c>
      <c r="Z86" t="s">
        <v>2817</v>
      </c>
      <c r="AA86" t="s">
        <v>2816</v>
      </c>
      <c r="AB86" t="s">
        <v>2816</v>
      </c>
      <c r="AC86" t="s">
        <v>2863</v>
      </c>
      <c r="AD86" t="s">
        <v>2839</v>
      </c>
      <c r="AE86" t="s">
        <v>2937</v>
      </c>
      <c r="AF86" t="s">
        <v>2851</v>
      </c>
      <c r="AG86" t="s">
        <v>2930</v>
      </c>
      <c r="AH86" t="s">
        <v>2823</v>
      </c>
      <c r="AI86">
        <v>1</v>
      </c>
      <c r="AJ86">
        <v>561</v>
      </c>
      <c r="AK86">
        <v>72369</v>
      </c>
      <c r="AL86">
        <v>129</v>
      </c>
      <c r="AM86">
        <v>0.6509</v>
      </c>
      <c r="AN86">
        <v>25.69</v>
      </c>
      <c r="AO86">
        <v>4.2</v>
      </c>
      <c r="AP86">
        <v>7603</v>
      </c>
      <c r="AQ86">
        <v>0.1123</v>
      </c>
      <c r="AR86">
        <v>63</v>
      </c>
      <c r="AT86" t="s">
        <v>947</v>
      </c>
      <c r="AU86" t="s">
        <v>1827</v>
      </c>
      <c r="AV86">
        <v>1092</v>
      </c>
      <c r="AW86">
        <v>1</v>
      </c>
      <c r="AX86">
        <v>1</v>
      </c>
      <c r="AY86" t="s">
        <v>65</v>
      </c>
      <c r="AZ86" t="s">
        <v>65</v>
      </c>
      <c r="BA86" t="s">
        <v>65</v>
      </c>
      <c r="BB86" t="s">
        <v>856</v>
      </c>
      <c r="BC86" t="s">
        <v>1828</v>
      </c>
      <c r="BD86" t="s">
        <v>1829</v>
      </c>
    </row>
    <row r="87" ht="19.95" spans="1:56">
      <c r="A87" t="str">
        <f>_xlfn.DISPIMG("ID_CC1202716ADD48108E8CA742BBC48881",1)</f>
        <v>=DISPIMG("ID_CC1202716ADD48108E8CA742BBC48881",1)</v>
      </c>
      <c r="B87" t="s">
        <v>1830</v>
      </c>
      <c r="C87" t="s">
        <v>1830</v>
      </c>
      <c r="D87" t="s">
        <v>65</v>
      </c>
      <c r="E87" t="s">
        <v>1831</v>
      </c>
      <c r="F87" t="s">
        <v>1832</v>
      </c>
      <c r="G87" t="s">
        <v>1833</v>
      </c>
      <c r="H87" t="s">
        <v>1834</v>
      </c>
      <c r="I87" t="s">
        <v>1835</v>
      </c>
      <c r="J87" t="s">
        <v>974</v>
      </c>
      <c r="K87" t="s">
        <v>850</v>
      </c>
      <c r="L87" t="s">
        <v>851</v>
      </c>
      <c r="M87">
        <v>20148</v>
      </c>
      <c r="N87" t="s">
        <v>852</v>
      </c>
      <c r="O87" t="s">
        <v>1836</v>
      </c>
      <c r="P87" t="s">
        <v>2832</v>
      </c>
      <c r="Q87">
        <v>6</v>
      </c>
      <c r="R87" t="s">
        <v>2841</v>
      </c>
      <c r="S87">
        <v>5.676</v>
      </c>
      <c r="T87" t="s">
        <v>2842</v>
      </c>
      <c r="U87" t="s">
        <v>2877</v>
      </c>
      <c r="V87" t="s">
        <v>2812</v>
      </c>
      <c r="W87" t="s">
        <v>2813</v>
      </c>
      <c r="X87" t="s">
        <v>2908</v>
      </c>
      <c r="Y87" t="s">
        <v>2895</v>
      </c>
      <c r="Z87" t="s">
        <v>2816</v>
      </c>
      <c r="AA87" t="s">
        <v>2817</v>
      </c>
      <c r="AB87" t="s">
        <v>2816</v>
      </c>
      <c r="AC87" t="s">
        <v>2818</v>
      </c>
      <c r="AD87" t="s">
        <v>2850</v>
      </c>
      <c r="AE87" t="s">
        <v>2882</v>
      </c>
      <c r="AF87" t="s">
        <v>2821</v>
      </c>
      <c r="AG87" t="s">
        <v>2822</v>
      </c>
      <c r="AH87" t="s">
        <v>2911</v>
      </c>
      <c r="AI87">
        <v>1</v>
      </c>
      <c r="AJ87">
        <v>241</v>
      </c>
      <c r="AK87">
        <v>16867.59</v>
      </c>
      <c r="AL87">
        <v>69.99</v>
      </c>
      <c r="AM87">
        <v>0.537</v>
      </c>
      <c r="AN87">
        <v>21.91</v>
      </c>
      <c r="AO87">
        <v>4.7</v>
      </c>
      <c r="AP87">
        <v>547</v>
      </c>
      <c r="AQ87">
        <v>0.0664</v>
      </c>
      <c r="AR87">
        <v>16</v>
      </c>
      <c r="AT87" t="s">
        <v>854</v>
      </c>
      <c r="AU87" t="s">
        <v>1837</v>
      </c>
      <c r="AV87">
        <v>1153</v>
      </c>
      <c r="AW87">
        <v>1</v>
      </c>
      <c r="AX87">
        <v>1</v>
      </c>
      <c r="AY87" t="s">
        <v>1330</v>
      </c>
      <c r="AZ87" t="s">
        <v>65</v>
      </c>
      <c r="BA87" t="s">
        <v>1331</v>
      </c>
      <c r="BB87" t="s">
        <v>856</v>
      </c>
      <c r="BC87" t="s">
        <v>1838</v>
      </c>
      <c r="BD87" t="s">
        <v>1839</v>
      </c>
    </row>
    <row r="88" ht="19.95" spans="1:56">
      <c r="A88" t="str">
        <f>_xlfn.DISPIMG("ID_9572C02FFE664DA5B1B4E2E84F048994",1)</f>
        <v>=DISPIMG("ID_9572C02FFE664DA5B1B4E2E84F048994",1)</v>
      </c>
      <c r="B88" t="s">
        <v>1840</v>
      </c>
      <c r="C88" t="s">
        <v>1840</v>
      </c>
      <c r="D88" t="s">
        <v>65</v>
      </c>
      <c r="E88" t="s">
        <v>1841</v>
      </c>
      <c r="F88" t="s">
        <v>1842</v>
      </c>
      <c r="G88" t="s">
        <v>1843</v>
      </c>
      <c r="H88" t="s">
        <v>1844</v>
      </c>
      <c r="I88" t="s">
        <v>1845</v>
      </c>
      <c r="J88" t="s">
        <v>934</v>
      </c>
      <c r="K88" t="s">
        <v>1846</v>
      </c>
      <c r="L88" t="s">
        <v>851</v>
      </c>
      <c r="M88">
        <v>8604</v>
      </c>
      <c r="N88" t="s">
        <v>1847</v>
      </c>
      <c r="O88" t="s">
        <v>965</v>
      </c>
      <c r="P88" t="s">
        <v>2809</v>
      </c>
      <c r="Q88">
        <v>4.4</v>
      </c>
      <c r="R88" t="s">
        <v>3003</v>
      </c>
      <c r="S88">
        <v>4.1624</v>
      </c>
      <c r="T88" t="s">
        <v>3004</v>
      </c>
      <c r="U88" t="s">
        <v>2877</v>
      </c>
      <c r="V88" t="s">
        <v>2836</v>
      </c>
      <c r="W88" t="s">
        <v>2947</v>
      </c>
      <c r="X88" t="s">
        <v>2874</v>
      </c>
      <c r="Y88" t="s">
        <v>2895</v>
      </c>
      <c r="Z88" t="s">
        <v>2817</v>
      </c>
      <c r="AA88" t="s">
        <v>2817</v>
      </c>
      <c r="AB88" t="s">
        <v>2816</v>
      </c>
      <c r="AC88" t="s">
        <v>2818</v>
      </c>
      <c r="AD88" t="s">
        <v>2889</v>
      </c>
      <c r="AE88" t="s">
        <v>2857</v>
      </c>
      <c r="AF88" t="s">
        <v>2883</v>
      </c>
      <c r="AG88" t="s">
        <v>2865</v>
      </c>
      <c r="AH88" t="s">
        <v>2823</v>
      </c>
      <c r="AI88">
        <v>1</v>
      </c>
      <c r="AJ88">
        <v>956</v>
      </c>
      <c r="AK88">
        <v>334552.22</v>
      </c>
      <c r="AL88">
        <v>279.95</v>
      </c>
      <c r="AM88">
        <v>0.7634</v>
      </c>
      <c r="AN88">
        <v>30.31</v>
      </c>
      <c r="AO88">
        <v>4.5</v>
      </c>
      <c r="AP88">
        <v>1271</v>
      </c>
      <c r="AQ88">
        <v>0.0617</v>
      </c>
      <c r="AR88">
        <v>59</v>
      </c>
      <c r="AT88" t="s">
        <v>1098</v>
      </c>
      <c r="AU88" t="s">
        <v>1848</v>
      </c>
      <c r="AV88">
        <v>290</v>
      </c>
      <c r="AW88">
        <v>1</v>
      </c>
      <c r="AX88">
        <v>7</v>
      </c>
      <c r="AY88" t="s">
        <v>1849</v>
      </c>
      <c r="AZ88" t="s">
        <v>65</v>
      </c>
      <c r="BA88" t="s">
        <v>1850</v>
      </c>
      <c r="BB88" t="s">
        <v>856</v>
      </c>
      <c r="BC88" t="s">
        <v>1851</v>
      </c>
      <c r="BD88" t="s">
        <v>1852</v>
      </c>
    </row>
    <row r="89" ht="19.95" spans="1:56">
      <c r="A89" t="str">
        <f>_xlfn.DISPIMG("ID_73E1886387174503B4B3E5EFA3C065D9",1)</f>
        <v>=DISPIMG("ID_73E1886387174503B4B3E5EFA3C065D9",1)</v>
      </c>
      <c r="B89" t="s">
        <v>1853</v>
      </c>
      <c r="C89" t="s">
        <v>1853</v>
      </c>
      <c r="D89" t="s">
        <v>65</v>
      </c>
      <c r="E89" t="s">
        <v>1854</v>
      </c>
      <c r="F89" t="s">
        <v>1855</v>
      </c>
      <c r="G89" t="s">
        <v>1856</v>
      </c>
      <c r="H89" t="s">
        <v>1857</v>
      </c>
      <c r="I89" t="s">
        <v>1858</v>
      </c>
      <c r="J89" t="s">
        <v>864</v>
      </c>
      <c r="K89" t="s">
        <v>850</v>
      </c>
      <c r="L89" t="s">
        <v>851</v>
      </c>
      <c r="M89">
        <v>28125</v>
      </c>
      <c r="N89" t="s">
        <v>1859</v>
      </c>
      <c r="O89" t="s">
        <v>1860</v>
      </c>
      <c r="P89" t="s">
        <v>2809</v>
      </c>
      <c r="Q89">
        <v>19</v>
      </c>
      <c r="R89" t="s">
        <v>2973</v>
      </c>
      <c r="S89">
        <v>17.974</v>
      </c>
      <c r="T89" t="s">
        <v>2974</v>
      </c>
      <c r="U89" t="s">
        <v>2877</v>
      </c>
      <c r="V89" t="s">
        <v>2904</v>
      </c>
      <c r="W89" t="s">
        <v>2920</v>
      </c>
      <c r="X89" t="s">
        <v>2844</v>
      </c>
      <c r="Y89" t="s">
        <v>2829</v>
      </c>
      <c r="Z89" t="s">
        <v>2817</v>
      </c>
      <c r="AA89" t="s">
        <v>2817</v>
      </c>
      <c r="AB89" t="s">
        <v>2817</v>
      </c>
      <c r="AC89" t="s">
        <v>2922</v>
      </c>
      <c r="AD89" t="s">
        <v>2839</v>
      </c>
      <c r="AE89" t="s">
        <v>2984</v>
      </c>
      <c r="AF89" t="s">
        <v>2821</v>
      </c>
      <c r="AG89" t="s">
        <v>2865</v>
      </c>
      <c r="AH89" t="s">
        <v>2823</v>
      </c>
      <c r="AI89">
        <v>1</v>
      </c>
      <c r="AJ89">
        <v>406</v>
      </c>
      <c r="AK89">
        <v>54805.94</v>
      </c>
      <c r="AL89">
        <v>134.99</v>
      </c>
      <c r="AM89">
        <v>0.6752</v>
      </c>
      <c r="AN89">
        <v>23.59</v>
      </c>
      <c r="AO89">
        <v>4.4</v>
      </c>
      <c r="AP89">
        <v>1772</v>
      </c>
      <c r="AQ89">
        <v>0</v>
      </c>
      <c r="AR89">
        <v>0</v>
      </c>
      <c r="AT89" t="s">
        <v>947</v>
      </c>
      <c r="AU89" t="s">
        <v>1861</v>
      </c>
      <c r="AV89">
        <v>2557</v>
      </c>
      <c r="AW89">
        <v>1</v>
      </c>
      <c r="AX89">
        <v>22</v>
      </c>
      <c r="AY89" t="s">
        <v>1862</v>
      </c>
      <c r="AZ89" t="s">
        <v>1401</v>
      </c>
      <c r="BA89" t="s">
        <v>1863</v>
      </c>
      <c r="BB89" t="s">
        <v>856</v>
      </c>
      <c r="BC89" t="s">
        <v>1864</v>
      </c>
      <c r="BD89" t="s">
        <v>1865</v>
      </c>
    </row>
    <row r="90" ht="19.95" spans="1:56">
      <c r="A90" t="str">
        <f>_xlfn.DISPIMG("ID_8DB36B4766DF4617B57CCA29E23B4451",1)</f>
        <v>=DISPIMG("ID_8DB36B4766DF4617B57CCA29E23B4451",1)</v>
      </c>
      <c r="B90" t="s">
        <v>164</v>
      </c>
      <c r="C90" t="s">
        <v>164</v>
      </c>
      <c r="D90" t="s">
        <v>65</v>
      </c>
      <c r="E90" t="s">
        <v>1866</v>
      </c>
      <c r="F90" t="s">
        <v>1867</v>
      </c>
      <c r="G90" t="s">
        <v>1868</v>
      </c>
      <c r="H90" t="s">
        <v>1869</v>
      </c>
      <c r="I90" t="s">
        <v>1870</v>
      </c>
      <c r="J90" t="s">
        <v>65</v>
      </c>
      <c r="K90" t="s">
        <v>850</v>
      </c>
      <c r="L90" t="s">
        <v>851</v>
      </c>
      <c r="M90">
        <v>10397</v>
      </c>
      <c r="N90" t="s">
        <v>852</v>
      </c>
      <c r="O90" t="s">
        <v>1871</v>
      </c>
      <c r="P90" t="s">
        <v>3005</v>
      </c>
      <c r="Q90">
        <v>2.6</v>
      </c>
      <c r="R90" t="s">
        <v>2859</v>
      </c>
      <c r="S90">
        <v>2.4596</v>
      </c>
      <c r="T90" t="s">
        <v>2860</v>
      </c>
      <c r="U90" t="s">
        <v>64</v>
      </c>
      <c r="V90" t="s">
        <v>2812</v>
      </c>
      <c r="W90" t="s">
        <v>2861</v>
      </c>
      <c r="X90" t="s">
        <v>2989</v>
      </c>
      <c r="Y90" t="s">
        <v>2903</v>
      </c>
      <c r="Z90" t="s">
        <v>2816</v>
      </c>
      <c r="AA90" t="s">
        <v>2816</v>
      </c>
      <c r="AB90" t="s">
        <v>2816</v>
      </c>
      <c r="AC90" t="s">
        <v>2863</v>
      </c>
      <c r="AD90" t="s">
        <v>2819</v>
      </c>
      <c r="AE90" t="s">
        <v>3006</v>
      </c>
      <c r="AF90" t="s">
        <v>2851</v>
      </c>
      <c r="AG90" t="s">
        <v>3007</v>
      </c>
      <c r="AH90" t="s">
        <v>2979</v>
      </c>
      <c r="AI90">
        <v>1</v>
      </c>
      <c r="AJ90">
        <v>3836</v>
      </c>
      <c r="AK90">
        <v>22478.96</v>
      </c>
      <c r="AL90">
        <v>5.86</v>
      </c>
      <c r="AM90">
        <v>0.85</v>
      </c>
      <c r="AO90">
        <v>2</v>
      </c>
      <c r="AP90">
        <v>64</v>
      </c>
      <c r="AQ90">
        <v>0.0102</v>
      </c>
      <c r="AR90">
        <v>39</v>
      </c>
      <c r="AS90">
        <v>3</v>
      </c>
      <c r="AT90" t="s">
        <v>1098</v>
      </c>
      <c r="AU90" t="s">
        <v>1145</v>
      </c>
      <c r="AV90">
        <v>1084</v>
      </c>
      <c r="AW90">
        <v>1</v>
      </c>
      <c r="AX90">
        <v>1</v>
      </c>
      <c r="AY90" t="s">
        <v>1872</v>
      </c>
      <c r="AZ90" t="s">
        <v>65</v>
      </c>
      <c r="BA90" t="s">
        <v>65</v>
      </c>
      <c r="BB90" t="s">
        <v>856</v>
      </c>
      <c r="BC90" t="s">
        <v>1403</v>
      </c>
      <c r="BD90" t="s">
        <v>1873</v>
      </c>
    </row>
    <row r="91" ht="19.95" spans="1:56">
      <c r="A91" t="str">
        <f>_xlfn.DISPIMG("ID_F98384A16BC64D7BA97CBA86855B88C3",1)</f>
        <v>=DISPIMG("ID_F98384A16BC64D7BA97CBA86855B88C3",1)</v>
      </c>
      <c r="B91" t="s">
        <v>1883</v>
      </c>
      <c r="C91" t="s">
        <v>1883</v>
      </c>
      <c r="D91" t="s">
        <v>65</v>
      </c>
      <c r="E91" t="s">
        <v>1884</v>
      </c>
      <c r="F91" t="s">
        <v>1885</v>
      </c>
      <c r="G91" t="s">
        <v>1886</v>
      </c>
      <c r="H91" t="s">
        <v>1887</v>
      </c>
      <c r="I91" t="s">
        <v>1888</v>
      </c>
      <c r="J91" t="s">
        <v>974</v>
      </c>
      <c r="K91" t="s">
        <v>850</v>
      </c>
      <c r="L91" t="s">
        <v>851</v>
      </c>
      <c r="M91">
        <v>17516</v>
      </c>
      <c r="N91" t="s">
        <v>1889</v>
      </c>
      <c r="O91" t="s">
        <v>1890</v>
      </c>
      <c r="P91" t="s">
        <v>2809</v>
      </c>
      <c r="Q91">
        <v>26</v>
      </c>
      <c r="R91" t="s">
        <v>2891</v>
      </c>
      <c r="S91">
        <v>24.596</v>
      </c>
      <c r="T91" t="s">
        <v>2892</v>
      </c>
      <c r="U91" t="s">
        <v>2877</v>
      </c>
      <c r="V91" t="s">
        <v>2904</v>
      </c>
      <c r="W91" t="s">
        <v>2837</v>
      </c>
      <c r="X91" t="s">
        <v>2828</v>
      </c>
      <c r="Y91" t="s">
        <v>2815</v>
      </c>
      <c r="Z91" t="s">
        <v>2817</v>
      </c>
      <c r="AA91" t="s">
        <v>2816</v>
      </c>
      <c r="AB91" t="s">
        <v>2816</v>
      </c>
      <c r="AC91" t="s">
        <v>2863</v>
      </c>
      <c r="AD91" t="s">
        <v>2839</v>
      </c>
      <c r="AE91" t="s">
        <v>2906</v>
      </c>
      <c r="AF91" t="s">
        <v>2883</v>
      </c>
      <c r="AG91" t="s">
        <v>2993</v>
      </c>
      <c r="AH91" t="s">
        <v>2940</v>
      </c>
      <c r="AI91">
        <v>1</v>
      </c>
      <c r="AJ91">
        <v>510</v>
      </c>
      <c r="AK91">
        <v>60894</v>
      </c>
      <c r="AL91">
        <v>119.4</v>
      </c>
      <c r="AM91">
        <v>0.6288</v>
      </c>
      <c r="AN91">
        <v>25.69</v>
      </c>
      <c r="AO91">
        <v>3.9</v>
      </c>
      <c r="AP91">
        <v>199</v>
      </c>
      <c r="AQ91">
        <v>0.0471</v>
      </c>
      <c r="AR91">
        <v>24</v>
      </c>
      <c r="AT91" t="s">
        <v>65</v>
      </c>
      <c r="AU91" t="s">
        <v>1891</v>
      </c>
      <c r="AV91">
        <v>346</v>
      </c>
      <c r="AW91">
        <v>1</v>
      </c>
      <c r="AX91">
        <v>1</v>
      </c>
      <c r="AY91" t="s">
        <v>867</v>
      </c>
      <c r="AZ91" t="s">
        <v>65</v>
      </c>
      <c r="BA91" t="s">
        <v>65</v>
      </c>
      <c r="BB91" t="s">
        <v>856</v>
      </c>
      <c r="BC91" t="s">
        <v>1435</v>
      </c>
      <c r="BD91" t="s">
        <v>1892</v>
      </c>
    </row>
    <row r="92" ht="19.95" spans="1:56">
      <c r="A92" t="str">
        <f>_xlfn.DISPIMG("ID_2352E1B134914D12BF01409D0D810953",1)</f>
        <v>=DISPIMG("ID_2352E1B134914D12BF01409D0D810953",1)</v>
      </c>
      <c r="B92" t="s">
        <v>1900</v>
      </c>
      <c r="C92" t="s">
        <v>1900</v>
      </c>
      <c r="D92" t="s">
        <v>65</v>
      </c>
      <c r="E92" t="s">
        <v>1901</v>
      </c>
      <c r="F92" t="s">
        <v>1902</v>
      </c>
      <c r="G92" t="s">
        <v>1302</v>
      </c>
      <c r="H92" t="s">
        <v>1903</v>
      </c>
      <c r="I92" t="s">
        <v>1904</v>
      </c>
      <c r="J92" t="s">
        <v>934</v>
      </c>
      <c r="K92" t="s">
        <v>850</v>
      </c>
      <c r="L92" t="s">
        <v>851</v>
      </c>
      <c r="M92">
        <v>18419</v>
      </c>
      <c r="N92" t="s">
        <v>852</v>
      </c>
      <c r="O92" t="s">
        <v>1905</v>
      </c>
      <c r="P92" t="s">
        <v>2852</v>
      </c>
      <c r="Q92">
        <v>10.6</v>
      </c>
      <c r="R92" t="s">
        <v>3008</v>
      </c>
      <c r="S92">
        <v>10.0276</v>
      </c>
      <c r="T92" t="s">
        <v>3009</v>
      </c>
      <c r="U92" t="s">
        <v>2877</v>
      </c>
      <c r="V92" t="s">
        <v>2904</v>
      </c>
      <c r="W92" t="s">
        <v>2894</v>
      </c>
      <c r="X92" t="s">
        <v>2828</v>
      </c>
      <c r="Y92" t="s">
        <v>2815</v>
      </c>
      <c r="Z92" t="s">
        <v>2817</v>
      </c>
      <c r="AA92" t="s">
        <v>2817</v>
      </c>
      <c r="AB92" t="s">
        <v>2816</v>
      </c>
      <c r="AC92" t="s">
        <v>2818</v>
      </c>
      <c r="AD92" t="s">
        <v>2839</v>
      </c>
      <c r="AE92" t="s">
        <v>2939</v>
      </c>
      <c r="AF92" t="s">
        <v>2851</v>
      </c>
      <c r="AG92" t="s">
        <v>2865</v>
      </c>
      <c r="AH92" t="s">
        <v>2823</v>
      </c>
      <c r="AI92">
        <v>1</v>
      </c>
      <c r="AJ92">
        <v>589</v>
      </c>
      <c r="AK92">
        <v>53004.11</v>
      </c>
      <c r="AL92">
        <v>79.99</v>
      </c>
      <c r="AM92">
        <v>0.5972</v>
      </c>
      <c r="AN92">
        <v>22.75</v>
      </c>
      <c r="AO92">
        <v>4.5</v>
      </c>
      <c r="AP92">
        <v>7326</v>
      </c>
      <c r="AQ92">
        <v>0.1511</v>
      </c>
      <c r="AR92">
        <v>89</v>
      </c>
      <c r="AT92" t="s">
        <v>947</v>
      </c>
      <c r="AU92" t="s">
        <v>1906</v>
      </c>
      <c r="AV92">
        <v>1077</v>
      </c>
      <c r="AW92">
        <v>1</v>
      </c>
      <c r="AX92">
        <v>1</v>
      </c>
      <c r="AY92" t="s">
        <v>1307</v>
      </c>
      <c r="AZ92" t="s">
        <v>65</v>
      </c>
      <c r="BA92" t="s">
        <v>1308</v>
      </c>
      <c r="BB92" t="s">
        <v>856</v>
      </c>
      <c r="BC92" t="s">
        <v>1907</v>
      </c>
      <c r="BD92" t="s">
        <v>1908</v>
      </c>
    </row>
    <row r="93" ht="19.95" spans="1:56">
      <c r="A93" t="str">
        <f>_xlfn.DISPIMG("ID_3868C3AA8AB74668B4C622B8CE1F41E2",1)</f>
        <v>=DISPIMG("ID_3868C3AA8AB74668B4C622B8CE1F41E2",1)</v>
      </c>
      <c r="B93" t="s">
        <v>1909</v>
      </c>
      <c r="C93" t="s">
        <v>1909</v>
      </c>
      <c r="D93" t="s">
        <v>65</v>
      </c>
      <c r="E93" t="s">
        <v>1910</v>
      </c>
      <c r="F93" t="s">
        <v>1911</v>
      </c>
      <c r="G93" t="s">
        <v>1302</v>
      </c>
      <c r="H93" t="s">
        <v>1912</v>
      </c>
      <c r="I93" t="s">
        <v>1913</v>
      </c>
      <c r="J93" t="s">
        <v>934</v>
      </c>
      <c r="K93" t="s">
        <v>850</v>
      </c>
      <c r="L93" t="s">
        <v>851</v>
      </c>
      <c r="M93">
        <v>14404</v>
      </c>
      <c r="N93" t="s">
        <v>852</v>
      </c>
      <c r="O93" t="s">
        <v>1708</v>
      </c>
      <c r="P93" t="s">
        <v>2809</v>
      </c>
      <c r="Q93">
        <v>19</v>
      </c>
      <c r="R93" t="s">
        <v>2973</v>
      </c>
      <c r="S93">
        <v>17.974</v>
      </c>
      <c r="T93" t="s">
        <v>2974</v>
      </c>
      <c r="U93" t="s">
        <v>2877</v>
      </c>
      <c r="V93" t="s">
        <v>2836</v>
      </c>
      <c r="W93" t="s">
        <v>2894</v>
      </c>
      <c r="X93" t="s">
        <v>2814</v>
      </c>
      <c r="Y93" t="s">
        <v>2829</v>
      </c>
      <c r="Z93" t="s">
        <v>2817</v>
      </c>
      <c r="AA93" t="s">
        <v>2817</v>
      </c>
      <c r="AB93" t="s">
        <v>2816</v>
      </c>
      <c r="AC93" t="s">
        <v>2912</v>
      </c>
      <c r="AD93" t="s">
        <v>2839</v>
      </c>
      <c r="AE93" t="s">
        <v>2820</v>
      </c>
      <c r="AF93" t="s">
        <v>2851</v>
      </c>
      <c r="AG93" t="s">
        <v>2865</v>
      </c>
      <c r="AH93" t="s">
        <v>2823</v>
      </c>
      <c r="AI93">
        <v>1</v>
      </c>
      <c r="AJ93">
        <v>555</v>
      </c>
      <c r="AK93">
        <v>49944.45</v>
      </c>
      <c r="AL93">
        <v>89.99</v>
      </c>
      <c r="AM93">
        <v>0.5599</v>
      </c>
      <c r="AN93">
        <v>26.11</v>
      </c>
      <c r="AO93">
        <v>4.4</v>
      </c>
      <c r="AP93">
        <v>5402</v>
      </c>
      <c r="AQ93">
        <v>0.1207</v>
      </c>
      <c r="AR93">
        <v>67</v>
      </c>
      <c r="AT93" t="s">
        <v>947</v>
      </c>
      <c r="AU93" t="s">
        <v>1914</v>
      </c>
      <c r="AV93">
        <v>1061</v>
      </c>
      <c r="AW93">
        <v>1</v>
      </c>
      <c r="AX93">
        <v>1</v>
      </c>
      <c r="AY93" t="s">
        <v>1307</v>
      </c>
      <c r="AZ93" t="s">
        <v>65</v>
      </c>
      <c r="BA93" t="s">
        <v>1308</v>
      </c>
      <c r="BB93" t="s">
        <v>856</v>
      </c>
      <c r="BC93" t="s">
        <v>1915</v>
      </c>
      <c r="BD93" t="s">
        <v>1916</v>
      </c>
    </row>
    <row r="94" ht="19.95" spans="1:56">
      <c r="A94" t="str">
        <f>_xlfn.DISPIMG("ID_A032B38D857046A3BD39D6C51FA809AC",1)</f>
        <v>=DISPIMG("ID_A032B38D857046A3BD39D6C51FA809AC",1)</v>
      </c>
      <c r="B94" t="s">
        <v>1917</v>
      </c>
      <c r="C94" t="s">
        <v>1917</v>
      </c>
      <c r="D94" t="s">
        <v>65</v>
      </c>
      <c r="E94" t="s">
        <v>1918</v>
      </c>
      <c r="F94" t="s">
        <v>1919</v>
      </c>
      <c r="G94" t="s">
        <v>1920</v>
      </c>
      <c r="H94" t="s">
        <v>1921</v>
      </c>
      <c r="I94" t="s">
        <v>1922</v>
      </c>
      <c r="J94" t="s">
        <v>934</v>
      </c>
      <c r="K94" t="s">
        <v>850</v>
      </c>
      <c r="L94" t="s">
        <v>851</v>
      </c>
      <c r="M94">
        <v>16717</v>
      </c>
      <c r="N94" t="s">
        <v>852</v>
      </c>
      <c r="O94" t="s">
        <v>1923</v>
      </c>
      <c r="P94" t="s">
        <v>3005</v>
      </c>
      <c r="Q94">
        <v>4.5</v>
      </c>
      <c r="R94" t="s">
        <v>2959</v>
      </c>
      <c r="S94">
        <v>4.257</v>
      </c>
      <c r="T94" t="s">
        <v>2960</v>
      </c>
      <c r="U94" t="s">
        <v>64</v>
      </c>
      <c r="V94" t="s">
        <v>2812</v>
      </c>
      <c r="W94" t="s">
        <v>2878</v>
      </c>
      <c r="X94" t="s">
        <v>2828</v>
      </c>
      <c r="Y94" t="s">
        <v>2815</v>
      </c>
      <c r="Z94" t="s">
        <v>2816</v>
      </c>
      <c r="AA94" t="s">
        <v>2817</v>
      </c>
      <c r="AB94" t="s">
        <v>2816</v>
      </c>
      <c r="AC94" t="s">
        <v>2818</v>
      </c>
      <c r="AD94" t="s">
        <v>2819</v>
      </c>
      <c r="AE94" t="s">
        <v>2840</v>
      </c>
      <c r="AF94" t="s">
        <v>2831</v>
      </c>
      <c r="AG94" t="s">
        <v>2865</v>
      </c>
      <c r="AH94" t="s">
        <v>2868</v>
      </c>
      <c r="AI94">
        <v>1</v>
      </c>
      <c r="AJ94">
        <v>851</v>
      </c>
      <c r="AK94">
        <v>93601.484</v>
      </c>
      <c r="AL94">
        <v>109.99</v>
      </c>
      <c r="AM94">
        <v>0.689</v>
      </c>
      <c r="AN94">
        <v>17.71</v>
      </c>
      <c r="AO94">
        <v>4.5</v>
      </c>
      <c r="AP94">
        <v>848</v>
      </c>
      <c r="AQ94">
        <v>0.027</v>
      </c>
      <c r="AR94">
        <v>23</v>
      </c>
      <c r="AT94" t="s">
        <v>854</v>
      </c>
      <c r="AU94" t="s">
        <v>1924</v>
      </c>
      <c r="AV94">
        <v>638</v>
      </c>
      <c r="AW94">
        <v>1</v>
      </c>
      <c r="AX94">
        <v>1</v>
      </c>
      <c r="AY94" t="s">
        <v>1925</v>
      </c>
      <c r="AZ94" t="s">
        <v>65</v>
      </c>
      <c r="BA94" t="s">
        <v>1926</v>
      </c>
      <c r="BB94" t="s">
        <v>856</v>
      </c>
      <c r="BC94" t="s">
        <v>1927</v>
      </c>
      <c r="BD94" t="s">
        <v>1928</v>
      </c>
    </row>
    <row r="95" ht="19.95" spans="1:56">
      <c r="A95" t="str">
        <f>_xlfn.DISPIMG("ID_14325EF052B64C239526A059D2F20F7F",1)</f>
        <v>=DISPIMG("ID_14325EF052B64C239526A059D2F20F7F",1)</v>
      </c>
      <c r="B95" t="s">
        <v>1929</v>
      </c>
      <c r="C95" t="s">
        <v>1929</v>
      </c>
      <c r="D95" t="s">
        <v>65</v>
      </c>
      <c r="E95" t="s">
        <v>1930</v>
      </c>
      <c r="F95" t="s">
        <v>1931</v>
      </c>
      <c r="G95" t="s">
        <v>1932</v>
      </c>
      <c r="H95" t="s">
        <v>1933</v>
      </c>
      <c r="I95" t="s">
        <v>1934</v>
      </c>
      <c r="J95" t="s">
        <v>934</v>
      </c>
      <c r="K95" t="s">
        <v>850</v>
      </c>
      <c r="L95" t="s">
        <v>851</v>
      </c>
      <c r="M95">
        <v>19139</v>
      </c>
      <c r="N95" t="s">
        <v>852</v>
      </c>
      <c r="O95" t="s">
        <v>1935</v>
      </c>
      <c r="P95" t="s">
        <v>2809</v>
      </c>
      <c r="Q95">
        <v>2.9</v>
      </c>
      <c r="R95" t="s">
        <v>3010</v>
      </c>
      <c r="S95">
        <v>2.7434</v>
      </c>
      <c r="T95" t="s">
        <v>3011</v>
      </c>
      <c r="U95" t="s">
        <v>64</v>
      </c>
      <c r="V95" t="s">
        <v>2812</v>
      </c>
      <c r="W95" t="s">
        <v>2938</v>
      </c>
      <c r="X95" t="s">
        <v>2921</v>
      </c>
      <c r="Y95" t="s">
        <v>2815</v>
      </c>
      <c r="Z95" t="s">
        <v>2816</v>
      </c>
      <c r="AA95" t="s">
        <v>2817</v>
      </c>
      <c r="AB95" t="s">
        <v>2816</v>
      </c>
      <c r="AC95" t="s">
        <v>2818</v>
      </c>
      <c r="AD95" t="s">
        <v>2819</v>
      </c>
      <c r="AE95" t="s">
        <v>2916</v>
      </c>
      <c r="AF95" t="s">
        <v>2831</v>
      </c>
      <c r="AG95" t="s">
        <v>2822</v>
      </c>
      <c r="AH95" t="s">
        <v>2823</v>
      </c>
      <c r="AI95">
        <v>1</v>
      </c>
      <c r="AJ95">
        <v>309</v>
      </c>
      <c r="AK95">
        <v>15357.3</v>
      </c>
      <c r="AL95">
        <v>49.7</v>
      </c>
      <c r="AM95">
        <v>0.5444</v>
      </c>
      <c r="AN95">
        <v>15.19</v>
      </c>
      <c r="AO95">
        <v>4.6</v>
      </c>
      <c r="AP95">
        <v>1625</v>
      </c>
      <c r="AQ95">
        <v>0.1553</v>
      </c>
      <c r="AR95">
        <v>48</v>
      </c>
      <c r="AT95" t="s">
        <v>854</v>
      </c>
      <c r="AU95" t="s">
        <v>1936</v>
      </c>
      <c r="AV95">
        <v>666</v>
      </c>
      <c r="AW95">
        <v>1</v>
      </c>
      <c r="AX95">
        <v>1</v>
      </c>
      <c r="AY95" t="s">
        <v>867</v>
      </c>
      <c r="AZ95" t="s">
        <v>65</v>
      </c>
      <c r="BA95" t="s">
        <v>65</v>
      </c>
      <c r="BB95" t="s">
        <v>856</v>
      </c>
      <c r="BC95" t="s">
        <v>1937</v>
      </c>
      <c r="BD95" t="s">
        <v>1938</v>
      </c>
    </row>
    <row r="96" ht="19.95" spans="1:56">
      <c r="A96" t="str">
        <f>_xlfn.DISPIMG("ID_CAFA875542924B7C8C1FF07E87DC82F6",1)</f>
        <v>=DISPIMG("ID_CAFA875542924B7C8C1FF07E87DC82F6",1)</v>
      </c>
      <c r="B96" t="s">
        <v>1939</v>
      </c>
      <c r="C96" t="s">
        <v>1939</v>
      </c>
      <c r="D96" t="s">
        <v>65</v>
      </c>
      <c r="E96" t="s">
        <v>1940</v>
      </c>
      <c r="F96" t="s">
        <v>1941</v>
      </c>
      <c r="G96" t="s">
        <v>1942</v>
      </c>
      <c r="H96" t="s">
        <v>1943</v>
      </c>
      <c r="I96" t="s">
        <v>1944</v>
      </c>
      <c r="J96" t="s">
        <v>1634</v>
      </c>
      <c r="K96" t="s">
        <v>850</v>
      </c>
      <c r="L96" t="s">
        <v>851</v>
      </c>
      <c r="M96">
        <v>24418</v>
      </c>
      <c r="N96" t="s">
        <v>852</v>
      </c>
      <c r="O96" t="s">
        <v>1945</v>
      </c>
      <c r="P96" t="s">
        <v>2809</v>
      </c>
      <c r="Q96">
        <v>7</v>
      </c>
      <c r="R96" t="s">
        <v>2941</v>
      </c>
      <c r="S96">
        <v>6.622</v>
      </c>
      <c r="T96" t="s">
        <v>2942</v>
      </c>
      <c r="U96" t="s">
        <v>64</v>
      </c>
      <c r="V96" t="s">
        <v>2812</v>
      </c>
      <c r="W96" t="s">
        <v>2888</v>
      </c>
      <c r="X96" t="s">
        <v>2844</v>
      </c>
      <c r="Y96" t="s">
        <v>2815</v>
      </c>
      <c r="Z96" t="s">
        <v>2816</v>
      </c>
      <c r="AA96" t="s">
        <v>2817</v>
      </c>
      <c r="AB96" t="s">
        <v>2816</v>
      </c>
      <c r="AC96" t="s">
        <v>2818</v>
      </c>
      <c r="AD96" t="s">
        <v>2819</v>
      </c>
      <c r="AE96" t="s">
        <v>2882</v>
      </c>
      <c r="AF96" t="s">
        <v>2883</v>
      </c>
      <c r="AG96" t="s">
        <v>2930</v>
      </c>
      <c r="AH96" t="s">
        <v>2940</v>
      </c>
      <c r="AI96">
        <v>1</v>
      </c>
      <c r="AJ96">
        <v>578</v>
      </c>
      <c r="AK96">
        <v>35830.223</v>
      </c>
      <c r="AL96">
        <v>61.99</v>
      </c>
      <c r="AM96">
        <v>0.4898</v>
      </c>
      <c r="AN96">
        <v>22.33</v>
      </c>
      <c r="AO96">
        <v>4.2</v>
      </c>
      <c r="AP96">
        <v>239</v>
      </c>
      <c r="AQ96">
        <v>0.0848</v>
      </c>
      <c r="AR96">
        <v>49</v>
      </c>
      <c r="AT96" t="s">
        <v>876</v>
      </c>
      <c r="AU96" t="s">
        <v>1946</v>
      </c>
      <c r="AV96">
        <v>230</v>
      </c>
      <c r="AW96">
        <v>1</v>
      </c>
      <c r="AX96">
        <v>1</v>
      </c>
      <c r="AY96" t="s">
        <v>1947</v>
      </c>
      <c r="AZ96" t="s">
        <v>1288</v>
      </c>
      <c r="BA96" t="s">
        <v>1948</v>
      </c>
      <c r="BB96" t="s">
        <v>856</v>
      </c>
      <c r="BC96" t="s">
        <v>1949</v>
      </c>
      <c r="BD96" t="s">
        <v>1950</v>
      </c>
    </row>
    <row r="97" ht="19.95" spans="1:56">
      <c r="A97" t="str">
        <f>_xlfn.DISPIMG("ID_F9B083DFE5154E15A17EC7936B463F2F",1)</f>
        <v>=DISPIMG("ID_F9B083DFE5154E15A17EC7936B463F2F",1)</v>
      </c>
      <c r="B97" t="s">
        <v>1951</v>
      </c>
      <c r="C97" t="s">
        <v>1951</v>
      </c>
      <c r="D97" t="s">
        <v>65</v>
      </c>
      <c r="E97" t="s">
        <v>1952</v>
      </c>
      <c r="F97" t="s">
        <v>1953</v>
      </c>
      <c r="G97" t="s">
        <v>1059</v>
      </c>
      <c r="H97" t="s">
        <v>1954</v>
      </c>
      <c r="I97" t="s">
        <v>1955</v>
      </c>
      <c r="J97" t="s">
        <v>864</v>
      </c>
      <c r="K97" t="s">
        <v>850</v>
      </c>
      <c r="L97" t="s">
        <v>851</v>
      </c>
      <c r="M97">
        <v>22603</v>
      </c>
      <c r="N97" t="s">
        <v>852</v>
      </c>
      <c r="O97" t="s">
        <v>1956</v>
      </c>
      <c r="P97" t="s">
        <v>2852</v>
      </c>
      <c r="Q97">
        <v>21</v>
      </c>
      <c r="R97" t="s">
        <v>3012</v>
      </c>
      <c r="S97">
        <v>19.866</v>
      </c>
      <c r="T97" t="s">
        <v>3013</v>
      </c>
      <c r="U97" t="s">
        <v>2877</v>
      </c>
      <c r="V97" t="s">
        <v>2836</v>
      </c>
      <c r="W97" t="s">
        <v>2827</v>
      </c>
      <c r="X97" t="s">
        <v>2874</v>
      </c>
      <c r="Y97" t="s">
        <v>2829</v>
      </c>
      <c r="Z97" t="s">
        <v>2817</v>
      </c>
      <c r="AA97" t="s">
        <v>2817</v>
      </c>
      <c r="AB97" t="s">
        <v>2816</v>
      </c>
      <c r="AC97" t="s">
        <v>2818</v>
      </c>
      <c r="AD97" t="s">
        <v>2839</v>
      </c>
      <c r="AE97" t="s">
        <v>2887</v>
      </c>
      <c r="AF97" t="s">
        <v>2851</v>
      </c>
      <c r="AG97" t="s">
        <v>2865</v>
      </c>
      <c r="AH97" t="s">
        <v>2823</v>
      </c>
      <c r="AI97">
        <v>1</v>
      </c>
      <c r="AJ97">
        <v>365</v>
      </c>
      <c r="AK97">
        <v>54746.35</v>
      </c>
      <c r="AL97">
        <v>149.99</v>
      </c>
      <c r="AM97">
        <v>0.6479</v>
      </c>
      <c r="AN97">
        <v>30.31</v>
      </c>
      <c r="AO97">
        <v>4.5</v>
      </c>
      <c r="AP97">
        <v>2652</v>
      </c>
      <c r="AQ97">
        <v>0.1288</v>
      </c>
      <c r="AR97">
        <v>47</v>
      </c>
      <c r="AT97" t="s">
        <v>947</v>
      </c>
      <c r="AU97" t="s">
        <v>1957</v>
      </c>
      <c r="AV97">
        <v>930</v>
      </c>
      <c r="AW97">
        <v>1</v>
      </c>
      <c r="AX97">
        <v>9</v>
      </c>
      <c r="AY97" t="s">
        <v>867</v>
      </c>
      <c r="AZ97" t="s">
        <v>65</v>
      </c>
      <c r="BA97" t="s">
        <v>65</v>
      </c>
      <c r="BB97" t="s">
        <v>856</v>
      </c>
      <c r="BC97" t="s">
        <v>1751</v>
      </c>
      <c r="BD97" t="s">
        <v>1958</v>
      </c>
    </row>
    <row r="98" ht="19.95" spans="1:56">
      <c r="A98" t="str">
        <f>_xlfn.DISPIMG("ID_C84511F9722846388FB698BCF9E760FB",1)</f>
        <v>=DISPIMG("ID_C84511F9722846388FB698BCF9E760FB",1)</v>
      </c>
      <c r="B98" t="s">
        <v>1959</v>
      </c>
      <c r="C98" t="s">
        <v>1959</v>
      </c>
      <c r="D98" t="s">
        <v>65</v>
      </c>
      <c r="E98" t="s">
        <v>1960</v>
      </c>
      <c r="F98" t="s">
        <v>1961</v>
      </c>
      <c r="G98" t="s">
        <v>1059</v>
      </c>
      <c r="H98" t="s">
        <v>1962</v>
      </c>
      <c r="I98" t="s">
        <v>1963</v>
      </c>
      <c r="J98" t="s">
        <v>934</v>
      </c>
      <c r="K98" t="s">
        <v>850</v>
      </c>
      <c r="L98" t="s">
        <v>851</v>
      </c>
      <c r="M98">
        <v>12961</v>
      </c>
      <c r="N98" t="s">
        <v>852</v>
      </c>
      <c r="O98" t="s">
        <v>1964</v>
      </c>
      <c r="P98" t="s">
        <v>2986</v>
      </c>
      <c r="Q98">
        <v>2</v>
      </c>
      <c r="R98" t="s">
        <v>2914</v>
      </c>
      <c r="S98">
        <v>1.892</v>
      </c>
      <c r="T98" t="s">
        <v>2915</v>
      </c>
      <c r="U98" t="s">
        <v>64</v>
      </c>
      <c r="V98" t="s">
        <v>2812</v>
      </c>
      <c r="W98" t="s">
        <v>2861</v>
      </c>
      <c r="X98" t="s">
        <v>2862</v>
      </c>
      <c r="Y98" t="s">
        <v>2815</v>
      </c>
      <c r="Z98" t="s">
        <v>2816</v>
      </c>
      <c r="AA98" t="s">
        <v>2816</v>
      </c>
      <c r="AB98" t="s">
        <v>2816</v>
      </c>
      <c r="AC98" t="s">
        <v>2863</v>
      </c>
      <c r="AD98" t="s">
        <v>2819</v>
      </c>
      <c r="AE98" t="s">
        <v>2916</v>
      </c>
      <c r="AF98" t="s">
        <v>2883</v>
      </c>
      <c r="AG98" t="s">
        <v>2865</v>
      </c>
      <c r="AH98" t="s">
        <v>2884</v>
      </c>
      <c r="AI98">
        <v>1</v>
      </c>
      <c r="AJ98">
        <v>610</v>
      </c>
      <c r="AK98">
        <v>30493.9</v>
      </c>
      <c r="AL98">
        <v>49.99</v>
      </c>
      <c r="AM98">
        <v>0.5629</v>
      </c>
      <c r="AN98">
        <v>14.35</v>
      </c>
      <c r="AO98">
        <v>4.3</v>
      </c>
      <c r="AP98">
        <v>357</v>
      </c>
      <c r="AQ98">
        <v>0</v>
      </c>
      <c r="AR98">
        <v>0</v>
      </c>
      <c r="AT98" t="s">
        <v>876</v>
      </c>
      <c r="AU98" t="s">
        <v>1965</v>
      </c>
      <c r="AV98">
        <v>276</v>
      </c>
      <c r="AW98">
        <v>1</v>
      </c>
      <c r="AX98">
        <v>12</v>
      </c>
      <c r="AY98" t="s">
        <v>867</v>
      </c>
      <c r="AZ98" t="s">
        <v>65</v>
      </c>
      <c r="BA98" t="s">
        <v>65</v>
      </c>
      <c r="BB98" t="s">
        <v>856</v>
      </c>
      <c r="BC98" t="s">
        <v>1966</v>
      </c>
      <c r="BD98" t="s">
        <v>1967</v>
      </c>
    </row>
    <row r="99" ht="19.95" spans="1:56">
      <c r="A99" t="str">
        <f>_xlfn.DISPIMG("ID_41B0691D1D0044738862DF6167707F7F",1)</f>
        <v>=DISPIMG("ID_41B0691D1D0044738862DF6167707F7F",1)</v>
      </c>
      <c r="B99" t="s">
        <v>1968</v>
      </c>
      <c r="C99" t="s">
        <v>1968</v>
      </c>
      <c r="D99" t="s">
        <v>65</v>
      </c>
      <c r="E99" t="s">
        <v>1969</v>
      </c>
      <c r="F99" t="s">
        <v>1970</v>
      </c>
      <c r="G99" t="s">
        <v>1799</v>
      </c>
      <c r="H99" t="s">
        <v>1971</v>
      </c>
      <c r="I99" t="s">
        <v>1972</v>
      </c>
      <c r="J99" t="s">
        <v>974</v>
      </c>
      <c r="K99" t="s">
        <v>850</v>
      </c>
      <c r="L99" t="s">
        <v>851</v>
      </c>
      <c r="M99">
        <v>32907</v>
      </c>
      <c r="N99" t="s">
        <v>852</v>
      </c>
      <c r="O99" t="s">
        <v>1973</v>
      </c>
      <c r="P99" t="s">
        <v>2809</v>
      </c>
      <c r="Q99">
        <v>3.4</v>
      </c>
      <c r="R99" t="s">
        <v>3014</v>
      </c>
      <c r="S99">
        <v>3.2164</v>
      </c>
      <c r="T99" t="s">
        <v>3015</v>
      </c>
      <c r="U99" t="s">
        <v>64</v>
      </c>
      <c r="V99" t="s">
        <v>2812</v>
      </c>
      <c r="W99" t="s">
        <v>2861</v>
      </c>
      <c r="X99" t="s">
        <v>2828</v>
      </c>
      <c r="Y99" t="s">
        <v>2815</v>
      </c>
      <c r="Z99" t="s">
        <v>2816</v>
      </c>
      <c r="AA99" t="s">
        <v>2816</v>
      </c>
      <c r="AB99" t="s">
        <v>2816</v>
      </c>
      <c r="AC99" t="s">
        <v>2863</v>
      </c>
      <c r="AD99" t="s">
        <v>2819</v>
      </c>
      <c r="AE99" t="s">
        <v>2866</v>
      </c>
      <c r="AF99" t="s">
        <v>2821</v>
      </c>
      <c r="AG99" t="s">
        <v>2822</v>
      </c>
      <c r="AH99" t="s">
        <v>2823</v>
      </c>
      <c r="AI99">
        <v>1</v>
      </c>
      <c r="AJ99">
        <v>216</v>
      </c>
      <c r="AK99">
        <v>12627.359</v>
      </c>
      <c r="AL99">
        <v>58.46</v>
      </c>
      <c r="AM99">
        <v>0.5542</v>
      </c>
      <c r="AN99">
        <v>17.29</v>
      </c>
      <c r="AO99">
        <v>4.6</v>
      </c>
      <c r="AP99">
        <v>4355</v>
      </c>
      <c r="AQ99">
        <v>0.0741</v>
      </c>
      <c r="AR99">
        <v>16</v>
      </c>
      <c r="AT99" t="s">
        <v>876</v>
      </c>
      <c r="AU99" t="s">
        <v>1802</v>
      </c>
      <c r="AV99">
        <v>2187</v>
      </c>
      <c r="AW99">
        <v>1</v>
      </c>
      <c r="AX99">
        <v>2</v>
      </c>
      <c r="AY99" t="s">
        <v>867</v>
      </c>
      <c r="AZ99" t="s">
        <v>65</v>
      </c>
      <c r="BA99" t="s">
        <v>65</v>
      </c>
      <c r="BB99" t="s">
        <v>856</v>
      </c>
      <c r="BC99" t="s">
        <v>1974</v>
      </c>
      <c r="BD99" t="s">
        <v>1975</v>
      </c>
    </row>
    <row r="100" ht="19.95" spans="1:56">
      <c r="A100" t="str">
        <f>_xlfn.DISPIMG("ID_3211C43D397B4A3EAF999BDB4C1D6252",1)</f>
        <v>=DISPIMG("ID_3211C43D397B4A3EAF999BDB4C1D6252",1)</v>
      </c>
      <c r="B100" t="s">
        <v>401</v>
      </c>
      <c r="C100" t="s">
        <v>401</v>
      </c>
      <c r="D100" t="s">
        <v>65</v>
      </c>
      <c r="E100" t="s">
        <v>1987</v>
      </c>
      <c r="F100" t="s">
        <v>1988</v>
      </c>
      <c r="G100" t="s">
        <v>1989</v>
      </c>
      <c r="H100" t="s">
        <v>1990</v>
      </c>
      <c r="I100" t="s">
        <v>1991</v>
      </c>
      <c r="J100" t="s">
        <v>934</v>
      </c>
      <c r="K100" t="s">
        <v>850</v>
      </c>
      <c r="L100" t="s">
        <v>851</v>
      </c>
      <c r="M100">
        <v>24313</v>
      </c>
      <c r="N100" t="s">
        <v>852</v>
      </c>
      <c r="O100" t="s">
        <v>1992</v>
      </c>
      <c r="P100" t="s">
        <v>2809</v>
      </c>
      <c r="Q100">
        <v>32</v>
      </c>
      <c r="R100" t="s">
        <v>3016</v>
      </c>
      <c r="S100">
        <v>30.272</v>
      </c>
      <c r="T100" t="s">
        <v>3017</v>
      </c>
      <c r="U100" t="s">
        <v>2877</v>
      </c>
      <c r="V100" t="s">
        <v>2836</v>
      </c>
      <c r="W100" t="s">
        <v>2998</v>
      </c>
      <c r="X100" t="s">
        <v>2874</v>
      </c>
      <c r="Y100" t="s">
        <v>2829</v>
      </c>
      <c r="Z100" t="s">
        <v>2817</v>
      </c>
      <c r="AA100" t="s">
        <v>2817</v>
      </c>
      <c r="AB100" t="s">
        <v>2816</v>
      </c>
      <c r="AC100" t="s">
        <v>2818</v>
      </c>
      <c r="AD100" t="s">
        <v>2839</v>
      </c>
      <c r="AE100" t="s">
        <v>2880</v>
      </c>
      <c r="AF100" t="s">
        <v>2831</v>
      </c>
      <c r="AG100" t="s">
        <v>2865</v>
      </c>
      <c r="AH100" t="s">
        <v>2911</v>
      </c>
      <c r="AI100">
        <v>1</v>
      </c>
      <c r="AJ100">
        <v>490</v>
      </c>
      <c r="AK100">
        <v>112695.1</v>
      </c>
      <c r="AL100">
        <v>189.99</v>
      </c>
      <c r="AM100">
        <v>0.7219</v>
      </c>
      <c r="AN100">
        <v>29.47</v>
      </c>
      <c r="AO100">
        <v>4.3</v>
      </c>
      <c r="AP100">
        <v>731</v>
      </c>
      <c r="AQ100">
        <v>0.1061</v>
      </c>
      <c r="AR100">
        <v>52</v>
      </c>
      <c r="AT100" t="s">
        <v>947</v>
      </c>
      <c r="AU100" t="s">
        <v>914</v>
      </c>
      <c r="AV100">
        <v>605</v>
      </c>
      <c r="AW100">
        <v>1</v>
      </c>
      <c r="AX100">
        <v>2</v>
      </c>
      <c r="AY100" t="s">
        <v>1993</v>
      </c>
      <c r="AZ100" t="s">
        <v>1401</v>
      </c>
      <c r="BA100" t="s">
        <v>1994</v>
      </c>
      <c r="BB100" t="s">
        <v>856</v>
      </c>
      <c r="BC100" t="s">
        <v>1644</v>
      </c>
      <c r="BD100" t="s">
        <v>1995</v>
      </c>
    </row>
    <row r="101" ht="19.95" spans="1:56">
      <c r="A101" t="str">
        <f>_xlfn.DISPIMG("ID_A7D8F3B098D14F84B7383CC735E1FCBE",1)</f>
        <v>=DISPIMG("ID_A7D8F3B098D14F84B7383CC735E1FCBE",1)</v>
      </c>
      <c r="B101" t="s">
        <v>1996</v>
      </c>
      <c r="C101" t="s">
        <v>1996</v>
      </c>
      <c r="D101" t="s">
        <v>65</v>
      </c>
      <c r="E101" t="s">
        <v>1997</v>
      </c>
      <c r="F101" t="s">
        <v>1998</v>
      </c>
      <c r="G101" t="s">
        <v>1999</v>
      </c>
      <c r="H101" t="s">
        <v>2000</v>
      </c>
      <c r="I101" t="s">
        <v>2001</v>
      </c>
      <c r="J101" t="s">
        <v>974</v>
      </c>
      <c r="K101" t="s">
        <v>850</v>
      </c>
      <c r="L101" t="s">
        <v>851</v>
      </c>
      <c r="M101">
        <v>24510</v>
      </c>
      <c r="N101" t="s">
        <v>852</v>
      </c>
      <c r="O101" t="s">
        <v>2002</v>
      </c>
      <c r="P101" t="s">
        <v>2986</v>
      </c>
      <c r="Q101">
        <v>4.5</v>
      </c>
      <c r="R101" t="s">
        <v>2959</v>
      </c>
      <c r="S101">
        <v>4.257</v>
      </c>
      <c r="T101" t="s">
        <v>2960</v>
      </c>
      <c r="U101" t="s">
        <v>64</v>
      </c>
      <c r="V101" t="s">
        <v>2812</v>
      </c>
      <c r="W101" t="s">
        <v>2878</v>
      </c>
      <c r="X101" t="s">
        <v>2844</v>
      </c>
      <c r="Y101" t="s">
        <v>2815</v>
      </c>
      <c r="Z101" t="s">
        <v>2816</v>
      </c>
      <c r="AA101" t="s">
        <v>2816</v>
      </c>
      <c r="AB101" t="s">
        <v>2816</v>
      </c>
      <c r="AC101" t="s">
        <v>2863</v>
      </c>
      <c r="AD101" t="s">
        <v>2819</v>
      </c>
      <c r="AE101" t="s">
        <v>2924</v>
      </c>
      <c r="AF101" t="s">
        <v>2831</v>
      </c>
      <c r="AG101" t="s">
        <v>2865</v>
      </c>
      <c r="AH101" t="s">
        <v>2823</v>
      </c>
      <c r="AI101">
        <v>1</v>
      </c>
      <c r="AJ101">
        <v>363</v>
      </c>
      <c r="AK101">
        <v>65321.848</v>
      </c>
      <c r="AL101">
        <v>179.95</v>
      </c>
      <c r="AM101">
        <v>0.7212</v>
      </c>
      <c r="AN101">
        <v>23.17</v>
      </c>
      <c r="AO101">
        <v>4.5</v>
      </c>
      <c r="AP101">
        <v>1122</v>
      </c>
      <c r="AQ101">
        <v>0.0771</v>
      </c>
      <c r="AR101">
        <v>28</v>
      </c>
      <c r="AT101" t="s">
        <v>876</v>
      </c>
      <c r="AU101" t="s">
        <v>2003</v>
      </c>
      <c r="AV101">
        <v>664</v>
      </c>
      <c r="AW101">
        <v>1</v>
      </c>
      <c r="AX101">
        <v>4</v>
      </c>
      <c r="AY101" t="s">
        <v>65</v>
      </c>
      <c r="AZ101" t="s">
        <v>65</v>
      </c>
      <c r="BA101" t="s">
        <v>65</v>
      </c>
      <c r="BB101" t="s">
        <v>856</v>
      </c>
      <c r="BC101" t="s">
        <v>2004</v>
      </c>
      <c r="BD101" t="s">
        <v>2005</v>
      </c>
    </row>
    <row r="103" spans="1:56">
      <c r="A103" t="s">
        <v>809</v>
      </c>
      <c r="B103" t="s">
        <v>810</v>
      </c>
      <c r="C103" t="s">
        <v>811</v>
      </c>
      <c r="D103" t="s">
        <v>812</v>
      </c>
      <c r="E103" t="s">
        <v>813</v>
      </c>
      <c r="F103" t="s">
        <v>814</v>
      </c>
      <c r="G103" t="s">
        <v>815</v>
      </c>
      <c r="H103" t="s">
        <v>816</v>
      </c>
      <c r="I103" t="s">
        <v>817</v>
      </c>
      <c r="J103" t="s">
        <v>818</v>
      </c>
      <c r="K103" t="s">
        <v>819</v>
      </c>
      <c r="L103" t="s">
        <v>820</v>
      </c>
      <c r="M103" t="s">
        <v>821</v>
      </c>
      <c r="N103" t="s">
        <v>822</v>
      </c>
      <c r="O103" t="s">
        <v>823</v>
      </c>
      <c r="P103" t="s">
        <v>2790</v>
      </c>
      <c r="Q103" t="s">
        <v>2791</v>
      </c>
      <c r="R103" t="s">
        <v>2792</v>
      </c>
      <c r="S103" t="s">
        <v>2793</v>
      </c>
      <c r="T103" t="s">
        <v>2794</v>
      </c>
      <c r="U103" t="s">
        <v>2795</v>
      </c>
      <c r="V103" t="s">
        <v>2796</v>
      </c>
      <c r="W103" t="s">
        <v>2797</v>
      </c>
      <c r="X103" t="s">
        <v>2798</v>
      </c>
      <c r="Y103" t="s">
        <v>2799</v>
      </c>
      <c r="Z103" t="s">
        <v>2800</v>
      </c>
      <c r="AA103" t="s">
        <v>2801</v>
      </c>
      <c r="AB103" t="s">
        <v>2802</v>
      </c>
      <c r="AC103" t="s">
        <v>2803</v>
      </c>
      <c r="AD103" t="s">
        <v>2804</v>
      </c>
      <c r="AE103" t="s">
        <v>2805</v>
      </c>
      <c r="AF103" t="s">
        <v>834</v>
      </c>
      <c r="AG103" t="s">
        <v>2806</v>
      </c>
      <c r="AH103" t="s">
        <v>2807</v>
      </c>
      <c r="AI103" t="s">
        <v>2808</v>
      </c>
      <c r="AJ103" t="s">
        <v>824</v>
      </c>
      <c r="AK103" t="s">
        <v>825</v>
      </c>
      <c r="AL103" t="s">
        <v>826</v>
      </c>
      <c r="AM103" t="s">
        <v>827</v>
      </c>
      <c r="AN103" t="s">
        <v>828</v>
      </c>
      <c r="AO103" t="s">
        <v>829</v>
      </c>
      <c r="AP103" t="s">
        <v>48</v>
      </c>
      <c r="AQ103" t="s">
        <v>830</v>
      </c>
      <c r="AR103" t="s">
        <v>831</v>
      </c>
      <c r="AS103" t="s">
        <v>832</v>
      </c>
      <c r="AT103" t="s">
        <v>833</v>
      </c>
      <c r="AU103" t="s">
        <v>834</v>
      </c>
      <c r="AV103" t="s">
        <v>835</v>
      </c>
      <c r="AW103" t="s">
        <v>836</v>
      </c>
      <c r="AX103" t="s">
        <v>837</v>
      </c>
      <c r="AY103" t="s">
        <v>838</v>
      </c>
      <c r="AZ103" t="s">
        <v>839</v>
      </c>
      <c r="BA103" t="s">
        <v>840</v>
      </c>
      <c r="BB103" t="s">
        <v>841</v>
      </c>
      <c r="BC103" t="s">
        <v>842</v>
      </c>
      <c r="BD103" t="s">
        <v>843</v>
      </c>
    </row>
    <row r="104" ht="51.5" spans="1:56">
      <c r="A104" t="str">
        <f>_xlfn.DISPIMG("ID_E0974D9A1FCC43279697EF5DA1D7B2F2",1)</f>
        <v>=DISPIMG("ID_E0974D9A1FCC43279697EF5DA1D7B2F2",1)</v>
      </c>
      <c r="B104" t="s">
        <v>70</v>
      </c>
      <c r="C104" t="s">
        <v>70</v>
      </c>
      <c r="D104" t="s">
        <v>65</v>
      </c>
      <c r="E104" t="s">
        <v>844</v>
      </c>
      <c r="F104" t="s">
        <v>845</v>
      </c>
      <c r="G104" t="s">
        <v>846</v>
      </c>
      <c r="H104" t="s">
        <v>847</v>
      </c>
      <c r="I104" t="s">
        <v>848</v>
      </c>
      <c r="J104" t="s">
        <v>849</v>
      </c>
      <c r="K104" t="s">
        <v>850</v>
      </c>
      <c r="L104" t="s">
        <v>851</v>
      </c>
      <c r="M104">
        <v>16</v>
      </c>
      <c r="N104" t="s">
        <v>852</v>
      </c>
      <c r="O104" t="s">
        <v>853</v>
      </c>
      <c r="P104" t="s">
        <v>2809</v>
      </c>
      <c r="Q104">
        <v>4</v>
      </c>
      <c r="R104" t="s">
        <v>2810</v>
      </c>
      <c r="S104">
        <v>3.784</v>
      </c>
      <c r="T104" t="s">
        <v>2811</v>
      </c>
      <c r="U104" t="s">
        <v>64</v>
      </c>
      <c r="V104" t="s">
        <v>2812</v>
      </c>
      <c r="W104" t="s">
        <v>2813</v>
      </c>
      <c r="X104" t="s">
        <v>2814</v>
      </c>
      <c r="Y104" t="s">
        <v>2815</v>
      </c>
      <c r="Z104" t="s">
        <v>2816</v>
      </c>
      <c r="AA104" t="s">
        <v>2817</v>
      </c>
      <c r="AB104" t="s">
        <v>2816</v>
      </c>
      <c r="AC104" t="s">
        <v>2818</v>
      </c>
      <c r="AD104" t="s">
        <v>2819</v>
      </c>
      <c r="AE104" t="s">
        <v>2820</v>
      </c>
      <c r="AF104" t="s">
        <v>2821</v>
      </c>
      <c r="AG104" t="s">
        <v>2822</v>
      </c>
      <c r="AH104" t="s">
        <v>2823</v>
      </c>
      <c r="AI104">
        <v>1</v>
      </c>
      <c r="AJ104">
        <v>32023</v>
      </c>
      <c r="AK104">
        <v>2880468.8</v>
      </c>
      <c r="AL104">
        <v>89.95</v>
      </c>
      <c r="AM104">
        <v>0.6578</v>
      </c>
      <c r="AN104">
        <v>17.29</v>
      </c>
      <c r="AO104">
        <v>4.8</v>
      </c>
      <c r="AP104">
        <v>48820</v>
      </c>
      <c r="AQ104">
        <v>0.1977</v>
      </c>
      <c r="AR104">
        <v>6330</v>
      </c>
      <c r="AT104" t="s">
        <v>854</v>
      </c>
      <c r="AU104" t="s">
        <v>855</v>
      </c>
      <c r="AV104">
        <v>1687</v>
      </c>
      <c r="AW104">
        <v>1</v>
      </c>
      <c r="AX104">
        <v>12</v>
      </c>
      <c r="AZ104" t="s">
        <v>65</v>
      </c>
      <c r="BA104" t="s">
        <v>65</v>
      </c>
      <c r="BB104" t="s">
        <v>856</v>
      </c>
      <c r="BC104" t="s">
        <v>857</v>
      </c>
      <c r="BD104" t="s">
        <v>858</v>
      </c>
    </row>
    <row r="105" ht="51.5" spans="1:56">
      <c r="A105" t="str">
        <f>_xlfn.DISPIMG("ID_71FF25F32A744E84959B0B003BC2C8C1",1)</f>
        <v>=DISPIMG("ID_71FF25F32A744E84959B0B003BC2C8C1",1)</v>
      </c>
      <c r="B105" t="s">
        <v>366</v>
      </c>
      <c r="C105" t="s">
        <v>366</v>
      </c>
      <c r="D105" t="s">
        <v>65</v>
      </c>
      <c r="E105" t="s">
        <v>859</v>
      </c>
      <c r="F105" t="s">
        <v>860</v>
      </c>
      <c r="G105" t="s">
        <v>861</v>
      </c>
      <c r="H105" t="s">
        <v>862</v>
      </c>
      <c r="I105" t="s">
        <v>863</v>
      </c>
      <c r="J105" t="s">
        <v>864</v>
      </c>
      <c r="K105" t="s">
        <v>850</v>
      </c>
      <c r="L105" t="s">
        <v>851</v>
      </c>
      <c r="M105">
        <v>131</v>
      </c>
      <c r="N105" t="s">
        <v>852</v>
      </c>
      <c r="O105" t="s">
        <v>865</v>
      </c>
      <c r="P105" t="s">
        <v>2824</v>
      </c>
      <c r="Q105">
        <v>5.8</v>
      </c>
      <c r="R105" t="s">
        <v>2847</v>
      </c>
      <c r="S105">
        <v>5.4868</v>
      </c>
      <c r="T105" t="s">
        <v>2848</v>
      </c>
      <c r="U105" t="s">
        <v>64</v>
      </c>
      <c r="V105" t="s">
        <v>2812</v>
      </c>
      <c r="W105" t="s">
        <v>2827</v>
      </c>
      <c r="X105" t="s">
        <v>2828</v>
      </c>
      <c r="Y105" t="s">
        <v>2829</v>
      </c>
      <c r="Z105" t="s">
        <v>2816</v>
      </c>
      <c r="AA105" t="s">
        <v>2817</v>
      </c>
      <c r="AB105" t="s">
        <v>2816</v>
      </c>
      <c r="AC105" t="s">
        <v>2818</v>
      </c>
      <c r="AD105" t="s">
        <v>2819</v>
      </c>
      <c r="AE105" t="s">
        <v>2830</v>
      </c>
      <c r="AF105" t="s">
        <v>2831</v>
      </c>
      <c r="AG105" t="s">
        <v>2822</v>
      </c>
      <c r="AH105" t="s">
        <v>2823</v>
      </c>
      <c r="AI105">
        <v>1</v>
      </c>
      <c r="AJ105">
        <v>23043</v>
      </c>
      <c r="AK105">
        <v>1842979.2</v>
      </c>
      <c r="AL105">
        <v>99.99</v>
      </c>
      <c r="AM105">
        <v>0.6128</v>
      </c>
      <c r="AN105">
        <v>18.97</v>
      </c>
      <c r="AO105">
        <v>4.7</v>
      </c>
      <c r="AP105">
        <v>15150</v>
      </c>
      <c r="AQ105">
        <v>0</v>
      </c>
      <c r="AR105">
        <v>0</v>
      </c>
      <c r="AT105" t="s">
        <v>854</v>
      </c>
      <c r="AU105" t="s">
        <v>866</v>
      </c>
      <c r="AV105">
        <v>582</v>
      </c>
      <c r="AW105">
        <v>1</v>
      </c>
      <c r="AX105">
        <v>1</v>
      </c>
      <c r="AY105" t="s">
        <v>867</v>
      </c>
      <c r="AZ105" t="s">
        <v>65</v>
      </c>
      <c r="BA105" t="s">
        <v>65</v>
      </c>
      <c r="BB105" t="s">
        <v>856</v>
      </c>
      <c r="BC105" t="s">
        <v>868</v>
      </c>
      <c r="BD105" t="s">
        <v>869</v>
      </c>
    </row>
    <row r="106" ht="51.5" spans="1:56">
      <c r="A106" t="str">
        <f>_xlfn.DISPIMG("ID_4C62F3F8ADD24D7582300B8B29ADAAD1",1)</f>
        <v>=DISPIMG("ID_4C62F3F8ADD24D7582300B8B29ADAAD1",1)</v>
      </c>
      <c r="B106" t="s">
        <v>129</v>
      </c>
      <c r="C106" t="s">
        <v>129</v>
      </c>
      <c r="D106" t="s">
        <v>65</v>
      </c>
      <c r="E106" t="s">
        <v>870</v>
      </c>
      <c r="F106" t="s">
        <v>871</v>
      </c>
      <c r="G106" t="s">
        <v>872</v>
      </c>
      <c r="H106" t="s">
        <v>873</v>
      </c>
      <c r="I106" t="s">
        <v>874</v>
      </c>
      <c r="J106" t="s">
        <v>864</v>
      </c>
      <c r="K106" t="s">
        <v>850</v>
      </c>
      <c r="L106" t="s">
        <v>851</v>
      </c>
      <c r="M106">
        <v>192</v>
      </c>
      <c r="N106" t="s">
        <v>852</v>
      </c>
      <c r="O106" t="s">
        <v>875</v>
      </c>
      <c r="P106" t="s">
        <v>2832</v>
      </c>
      <c r="Q106">
        <v>10</v>
      </c>
      <c r="R106" t="s">
        <v>2833</v>
      </c>
      <c r="S106">
        <v>9.46</v>
      </c>
      <c r="T106" t="s">
        <v>2834</v>
      </c>
      <c r="U106" t="s">
        <v>2835</v>
      </c>
      <c r="V106" t="s">
        <v>2836</v>
      </c>
      <c r="W106" t="s">
        <v>2837</v>
      </c>
      <c r="X106" t="s">
        <v>2838</v>
      </c>
      <c r="Y106" t="s">
        <v>2815</v>
      </c>
      <c r="Z106" t="s">
        <v>2817</v>
      </c>
      <c r="AA106" t="s">
        <v>2817</v>
      </c>
      <c r="AB106" t="s">
        <v>2816</v>
      </c>
      <c r="AC106" t="s">
        <v>2818</v>
      </c>
      <c r="AD106" t="s">
        <v>2839</v>
      </c>
      <c r="AE106" t="s">
        <v>2840</v>
      </c>
      <c r="AF106" t="s">
        <v>2821</v>
      </c>
      <c r="AG106" t="s">
        <v>2822</v>
      </c>
      <c r="AH106" t="s">
        <v>2823</v>
      </c>
      <c r="AI106">
        <v>1</v>
      </c>
      <c r="AJ106">
        <v>11952</v>
      </c>
      <c r="AK106">
        <v>1314122.4</v>
      </c>
      <c r="AL106">
        <v>109.95</v>
      </c>
      <c r="AM106">
        <v>0.6431</v>
      </c>
      <c r="AN106">
        <v>22.75</v>
      </c>
      <c r="AO106">
        <v>4.6</v>
      </c>
      <c r="AP106">
        <v>59811</v>
      </c>
      <c r="AQ106">
        <v>0.0664</v>
      </c>
      <c r="AR106">
        <v>794</v>
      </c>
      <c r="AT106" t="s">
        <v>876</v>
      </c>
      <c r="AU106" t="s">
        <v>877</v>
      </c>
      <c r="AV106">
        <v>1315</v>
      </c>
      <c r="AW106">
        <v>1</v>
      </c>
      <c r="AX106">
        <v>1</v>
      </c>
      <c r="AY106" t="s">
        <v>867</v>
      </c>
      <c r="AZ106" t="s">
        <v>65</v>
      </c>
      <c r="BA106" t="s">
        <v>65</v>
      </c>
      <c r="BB106" t="s">
        <v>856</v>
      </c>
      <c r="BC106" t="s">
        <v>878</v>
      </c>
      <c r="BD106" t="s">
        <v>879</v>
      </c>
    </row>
    <row r="107" ht="51.5" spans="1:56">
      <c r="A107" t="str">
        <f>_xlfn.DISPIMG("ID_27679D12F3624D4794A370A5AAD2B62A",1)</f>
        <v>=DISPIMG("ID_27679D12F3624D4794A370A5AAD2B62A",1)</v>
      </c>
      <c r="B107" t="s">
        <v>312</v>
      </c>
      <c r="C107" t="s">
        <v>312</v>
      </c>
      <c r="D107" t="s">
        <v>65</v>
      </c>
      <c r="E107" t="s">
        <v>880</v>
      </c>
      <c r="F107" t="s">
        <v>881</v>
      </c>
      <c r="G107" t="s">
        <v>872</v>
      </c>
      <c r="H107" t="s">
        <v>882</v>
      </c>
      <c r="I107" t="s">
        <v>883</v>
      </c>
      <c r="J107" t="s">
        <v>864</v>
      </c>
      <c r="K107" t="s">
        <v>850</v>
      </c>
      <c r="L107" t="s">
        <v>851</v>
      </c>
      <c r="M107">
        <v>176</v>
      </c>
      <c r="N107" t="s">
        <v>884</v>
      </c>
      <c r="O107" t="s">
        <v>885</v>
      </c>
      <c r="P107" t="s">
        <v>2809</v>
      </c>
      <c r="Q107">
        <v>6</v>
      </c>
      <c r="R107" t="s">
        <v>2841</v>
      </c>
      <c r="S107">
        <v>5.676</v>
      </c>
      <c r="T107" t="s">
        <v>2842</v>
      </c>
      <c r="U107" t="s">
        <v>64</v>
      </c>
      <c r="V107" t="s">
        <v>2812</v>
      </c>
      <c r="W107" t="s">
        <v>2843</v>
      </c>
      <c r="X107" t="s">
        <v>2844</v>
      </c>
      <c r="Y107" t="s">
        <v>2829</v>
      </c>
      <c r="Z107" t="s">
        <v>2816</v>
      </c>
      <c r="AA107" t="s">
        <v>2817</v>
      </c>
      <c r="AB107" t="s">
        <v>2816</v>
      </c>
      <c r="AC107" t="s">
        <v>2845</v>
      </c>
      <c r="AD107" t="s">
        <v>2846</v>
      </c>
      <c r="AE107" t="s">
        <v>2840</v>
      </c>
      <c r="AF107" t="s">
        <v>2831</v>
      </c>
      <c r="AG107" t="s">
        <v>2822</v>
      </c>
      <c r="AH107" t="s">
        <v>2823</v>
      </c>
      <c r="AI107">
        <v>1</v>
      </c>
      <c r="AJ107">
        <v>9323</v>
      </c>
      <c r="AK107">
        <v>1025063.8</v>
      </c>
      <c r="AL107">
        <v>109.95</v>
      </c>
      <c r="AM107">
        <v>0.6698</v>
      </c>
      <c r="AN107">
        <v>19.81</v>
      </c>
      <c r="AO107">
        <v>4.7</v>
      </c>
      <c r="AP107">
        <v>13752</v>
      </c>
      <c r="AQ107">
        <v>0.0452</v>
      </c>
      <c r="AR107">
        <v>421</v>
      </c>
      <c r="AT107" t="s">
        <v>876</v>
      </c>
      <c r="AU107" t="s">
        <v>886</v>
      </c>
      <c r="AV107">
        <v>661</v>
      </c>
      <c r="AW107">
        <v>1</v>
      </c>
      <c r="AX107">
        <v>5</v>
      </c>
      <c r="AY107" t="s">
        <v>867</v>
      </c>
      <c r="AZ107" t="s">
        <v>65</v>
      </c>
      <c r="BA107" t="s">
        <v>65</v>
      </c>
      <c r="BB107" t="s">
        <v>856</v>
      </c>
      <c r="BC107" t="s">
        <v>887</v>
      </c>
      <c r="BD107" t="s">
        <v>888</v>
      </c>
    </row>
    <row r="108" ht="51.5" spans="1:56">
      <c r="A108" t="str">
        <f>_xlfn.DISPIMG("ID_C156E7C83B994759A5327CB523DCF8AC",1)</f>
        <v>=DISPIMG("ID_C156E7C83B994759A5327CB523DCF8AC",1)</v>
      </c>
      <c r="B108" t="s">
        <v>72</v>
      </c>
      <c r="C108" t="s">
        <v>72</v>
      </c>
      <c r="D108" t="s">
        <v>65</v>
      </c>
      <c r="E108" t="s">
        <v>889</v>
      </c>
      <c r="F108" t="s">
        <v>890</v>
      </c>
      <c r="G108" t="s">
        <v>861</v>
      </c>
      <c r="H108" t="s">
        <v>891</v>
      </c>
      <c r="I108" t="s">
        <v>892</v>
      </c>
      <c r="J108" t="s">
        <v>893</v>
      </c>
      <c r="K108" t="s">
        <v>894</v>
      </c>
      <c r="L108" t="s">
        <v>851</v>
      </c>
      <c r="M108">
        <v>193</v>
      </c>
      <c r="N108" t="s">
        <v>895</v>
      </c>
      <c r="O108" t="s">
        <v>896</v>
      </c>
      <c r="P108" t="s">
        <v>2809</v>
      </c>
      <c r="Q108">
        <v>5.8</v>
      </c>
      <c r="R108" t="s">
        <v>2847</v>
      </c>
      <c r="S108">
        <v>5.4868</v>
      </c>
      <c r="T108" t="s">
        <v>2848</v>
      </c>
      <c r="U108" t="s">
        <v>64</v>
      </c>
      <c r="V108" t="s">
        <v>2812</v>
      </c>
      <c r="W108" t="s">
        <v>2849</v>
      </c>
      <c r="X108" t="s">
        <v>2844</v>
      </c>
      <c r="Y108" t="s">
        <v>2815</v>
      </c>
      <c r="Z108" t="s">
        <v>2817</v>
      </c>
      <c r="AA108" t="s">
        <v>2817</v>
      </c>
      <c r="AB108" t="s">
        <v>2816</v>
      </c>
      <c r="AC108" t="s">
        <v>2818</v>
      </c>
      <c r="AD108" t="s">
        <v>2850</v>
      </c>
      <c r="AE108" t="s">
        <v>2840</v>
      </c>
      <c r="AF108" t="s">
        <v>2851</v>
      </c>
      <c r="AG108" t="s">
        <v>2822</v>
      </c>
      <c r="AH108" t="s">
        <v>2823</v>
      </c>
      <c r="AI108">
        <v>1</v>
      </c>
      <c r="AJ108">
        <v>20869</v>
      </c>
      <c r="AK108">
        <v>2294964</v>
      </c>
      <c r="AL108">
        <v>109.97</v>
      </c>
      <c r="AM108">
        <v>0.666</v>
      </c>
      <c r="AN108">
        <v>20.23</v>
      </c>
      <c r="AO108">
        <v>4.7</v>
      </c>
      <c r="AP108">
        <v>12358</v>
      </c>
      <c r="AQ108">
        <v>0</v>
      </c>
      <c r="AR108">
        <v>0</v>
      </c>
      <c r="AT108" t="s">
        <v>854</v>
      </c>
      <c r="AU108" t="s">
        <v>897</v>
      </c>
      <c r="AV108">
        <v>1035</v>
      </c>
      <c r="AW108">
        <v>1</v>
      </c>
      <c r="AX108">
        <v>3</v>
      </c>
      <c r="AY108" t="s">
        <v>867</v>
      </c>
      <c r="AZ108" t="s">
        <v>65</v>
      </c>
      <c r="BA108" t="s">
        <v>65</v>
      </c>
      <c r="BB108" t="s">
        <v>856</v>
      </c>
      <c r="BC108" t="s">
        <v>898</v>
      </c>
      <c r="BD108" t="s">
        <v>899</v>
      </c>
    </row>
    <row r="109" ht="51.5" spans="1:56">
      <c r="A109" t="str">
        <f>_xlfn.DISPIMG("ID_8F917ED4503546348C30EDAA7D45FADF",1)</f>
        <v>=DISPIMG("ID_8F917ED4503546348C30EDAA7D45FADF",1)</v>
      </c>
      <c r="B109" t="s">
        <v>200</v>
      </c>
      <c r="C109" t="s">
        <v>200</v>
      </c>
      <c r="D109" t="s">
        <v>65</v>
      </c>
      <c r="E109" t="s">
        <v>900</v>
      </c>
      <c r="F109" t="s">
        <v>901</v>
      </c>
      <c r="G109" t="s">
        <v>872</v>
      </c>
      <c r="H109" t="s">
        <v>902</v>
      </c>
      <c r="I109" t="s">
        <v>903</v>
      </c>
      <c r="J109" t="s">
        <v>893</v>
      </c>
      <c r="K109" t="s">
        <v>850</v>
      </c>
      <c r="L109" t="s">
        <v>851</v>
      </c>
      <c r="M109">
        <v>277</v>
      </c>
      <c r="N109" t="s">
        <v>904</v>
      </c>
      <c r="O109" t="s">
        <v>905</v>
      </c>
      <c r="P109" t="s">
        <v>2852</v>
      </c>
      <c r="Q109">
        <v>4</v>
      </c>
      <c r="R109" t="s">
        <v>2810</v>
      </c>
      <c r="S109">
        <v>3.784</v>
      </c>
      <c r="T109" t="s">
        <v>2811</v>
      </c>
      <c r="U109" t="s">
        <v>64</v>
      </c>
      <c r="V109" t="s">
        <v>2812</v>
      </c>
      <c r="W109" t="s">
        <v>2843</v>
      </c>
      <c r="X109" t="s">
        <v>2853</v>
      </c>
      <c r="Y109" t="s">
        <v>2815</v>
      </c>
      <c r="Z109" t="s">
        <v>2816</v>
      </c>
      <c r="AA109" t="s">
        <v>2817</v>
      </c>
      <c r="AB109" t="s">
        <v>2817</v>
      </c>
      <c r="AC109" t="s">
        <v>2854</v>
      </c>
      <c r="AD109" t="s">
        <v>2850</v>
      </c>
      <c r="AE109" t="s">
        <v>2820</v>
      </c>
      <c r="AF109" t="s">
        <v>2851</v>
      </c>
      <c r="AG109" t="s">
        <v>2822</v>
      </c>
      <c r="AH109" t="s">
        <v>2823</v>
      </c>
      <c r="AI109">
        <v>1</v>
      </c>
      <c r="AJ109">
        <v>21741</v>
      </c>
      <c r="AK109">
        <v>1956472.5</v>
      </c>
      <c r="AL109">
        <v>89.99</v>
      </c>
      <c r="AM109">
        <v>0.6672</v>
      </c>
      <c r="AN109">
        <v>16.45</v>
      </c>
      <c r="AO109">
        <v>4.7</v>
      </c>
      <c r="AP109">
        <v>18755</v>
      </c>
      <c r="AQ109">
        <v>0.0319</v>
      </c>
      <c r="AR109">
        <v>693</v>
      </c>
      <c r="AT109" t="s">
        <v>876</v>
      </c>
      <c r="AU109" t="s">
        <v>906</v>
      </c>
      <c r="AV109">
        <v>988</v>
      </c>
      <c r="AW109">
        <v>1</v>
      </c>
      <c r="AX109">
        <v>4</v>
      </c>
      <c r="AY109" t="s">
        <v>867</v>
      </c>
      <c r="AZ109" t="s">
        <v>65</v>
      </c>
      <c r="BA109" t="s">
        <v>65</v>
      </c>
      <c r="BB109" t="s">
        <v>856</v>
      </c>
      <c r="BC109" t="s">
        <v>907</v>
      </c>
      <c r="BD109" t="s">
        <v>908</v>
      </c>
    </row>
    <row r="110" ht="51.5" spans="1:56">
      <c r="A110" t="str">
        <f>_xlfn.DISPIMG("ID_6893492369324F0F99BB94004415008C",1)</f>
        <v>=DISPIMG("ID_6893492369324F0F99BB94004415008C",1)</v>
      </c>
      <c r="B110" t="s">
        <v>772</v>
      </c>
      <c r="C110" t="s">
        <v>772</v>
      </c>
      <c r="D110" t="s">
        <v>65</v>
      </c>
      <c r="E110" t="s">
        <v>909</v>
      </c>
      <c r="F110" t="s">
        <v>910</v>
      </c>
      <c r="G110" t="s">
        <v>846</v>
      </c>
      <c r="H110" t="s">
        <v>911</v>
      </c>
      <c r="I110" t="s">
        <v>912</v>
      </c>
      <c r="J110" t="s">
        <v>864</v>
      </c>
      <c r="K110" t="s">
        <v>850</v>
      </c>
      <c r="L110" t="s">
        <v>851</v>
      </c>
      <c r="M110">
        <v>320</v>
      </c>
      <c r="N110" t="s">
        <v>852</v>
      </c>
      <c r="O110" t="s">
        <v>913</v>
      </c>
      <c r="P110" t="s">
        <v>2809</v>
      </c>
      <c r="Q110">
        <v>10</v>
      </c>
      <c r="R110" t="s">
        <v>2833</v>
      </c>
      <c r="S110">
        <v>9.46</v>
      </c>
      <c r="T110" t="s">
        <v>2834</v>
      </c>
      <c r="U110" t="s">
        <v>64</v>
      </c>
      <c r="V110" t="s">
        <v>2855</v>
      </c>
      <c r="W110" t="s">
        <v>2843</v>
      </c>
      <c r="X110" t="s">
        <v>2856</v>
      </c>
      <c r="Y110" t="s">
        <v>2829</v>
      </c>
      <c r="Z110" t="s">
        <v>2816</v>
      </c>
      <c r="AA110" t="s">
        <v>2817</v>
      </c>
      <c r="AB110" t="s">
        <v>2816</v>
      </c>
      <c r="AC110" t="s">
        <v>2845</v>
      </c>
      <c r="AD110" t="s">
        <v>2850</v>
      </c>
      <c r="AE110" t="s">
        <v>2857</v>
      </c>
      <c r="AF110" t="s">
        <v>2831</v>
      </c>
      <c r="AG110" t="s">
        <v>2822</v>
      </c>
      <c r="AH110" t="s">
        <v>2823</v>
      </c>
      <c r="AI110">
        <v>1</v>
      </c>
      <c r="AJ110">
        <v>11474</v>
      </c>
      <c r="AK110">
        <v>2294685.2</v>
      </c>
      <c r="AL110">
        <v>225</v>
      </c>
      <c r="AM110">
        <v>0.7194</v>
      </c>
      <c r="AN110">
        <v>26.11</v>
      </c>
      <c r="AO110">
        <v>4.8</v>
      </c>
      <c r="AP110">
        <v>5424</v>
      </c>
      <c r="AQ110">
        <v>0.0295</v>
      </c>
      <c r="AR110">
        <v>338</v>
      </c>
      <c r="AT110" t="s">
        <v>854</v>
      </c>
      <c r="AU110" t="s">
        <v>914</v>
      </c>
      <c r="AV110">
        <v>605</v>
      </c>
      <c r="AW110">
        <v>1</v>
      </c>
      <c r="AX110">
        <v>12</v>
      </c>
      <c r="AY110" t="s">
        <v>867</v>
      </c>
      <c r="AZ110" t="s">
        <v>65</v>
      </c>
      <c r="BA110" t="s">
        <v>65</v>
      </c>
      <c r="BB110" t="s">
        <v>856</v>
      </c>
      <c r="BC110" t="s">
        <v>915</v>
      </c>
      <c r="BD110" t="s">
        <v>916</v>
      </c>
    </row>
    <row r="111" ht="51.5" spans="1:56">
      <c r="A111" t="str">
        <f>_xlfn.DISPIMG("ID_A4F2CA3BA9DE447E882F7F047A09CE2C",1)</f>
        <v>=DISPIMG("ID_A4F2CA3BA9DE447E882F7F047A09CE2C",1)</v>
      </c>
      <c r="B111" t="s">
        <v>738</v>
      </c>
      <c r="C111" t="s">
        <v>738</v>
      </c>
      <c r="D111" t="s">
        <v>65</v>
      </c>
      <c r="E111" t="s">
        <v>929</v>
      </c>
      <c r="F111" t="s">
        <v>930</v>
      </c>
      <c r="G111" t="s">
        <v>931</v>
      </c>
      <c r="H111" t="s">
        <v>932</v>
      </c>
      <c r="I111" t="s">
        <v>933</v>
      </c>
      <c r="J111" t="s">
        <v>934</v>
      </c>
      <c r="K111" t="s">
        <v>850</v>
      </c>
      <c r="L111" t="s">
        <v>851</v>
      </c>
      <c r="M111">
        <v>494</v>
      </c>
      <c r="N111" t="s">
        <v>852</v>
      </c>
      <c r="O111" t="s">
        <v>935</v>
      </c>
      <c r="P111" t="s">
        <v>2809</v>
      </c>
      <c r="Q111">
        <v>2.6</v>
      </c>
      <c r="R111" t="s">
        <v>2859</v>
      </c>
      <c r="S111">
        <v>2.4596</v>
      </c>
      <c r="T111" t="s">
        <v>2860</v>
      </c>
      <c r="U111" t="s">
        <v>64</v>
      </c>
      <c r="V111" t="s">
        <v>2812</v>
      </c>
      <c r="W111" t="s">
        <v>2861</v>
      </c>
      <c r="X111" t="s">
        <v>2862</v>
      </c>
      <c r="Y111" t="s">
        <v>2815</v>
      </c>
      <c r="Z111" t="s">
        <v>2816</v>
      </c>
      <c r="AA111" t="s">
        <v>2816</v>
      </c>
      <c r="AB111" t="s">
        <v>2816</v>
      </c>
      <c r="AC111" t="s">
        <v>2863</v>
      </c>
      <c r="AD111" t="s">
        <v>2819</v>
      </c>
      <c r="AE111" t="s">
        <v>2864</v>
      </c>
      <c r="AF111" t="s">
        <v>2821</v>
      </c>
      <c r="AG111" t="s">
        <v>2865</v>
      </c>
      <c r="AH111" t="s">
        <v>2823</v>
      </c>
      <c r="AI111">
        <v>1</v>
      </c>
      <c r="AJ111">
        <v>5301</v>
      </c>
      <c r="AK111">
        <v>211987</v>
      </c>
      <c r="AL111">
        <v>39.99</v>
      </c>
      <c r="AM111">
        <v>0.5017</v>
      </c>
      <c r="AN111">
        <v>13.93</v>
      </c>
      <c r="AO111">
        <v>4.5</v>
      </c>
      <c r="AP111">
        <v>29723</v>
      </c>
      <c r="AQ111">
        <v>0.0681</v>
      </c>
      <c r="AR111">
        <v>361</v>
      </c>
      <c r="AT111" t="s">
        <v>876</v>
      </c>
      <c r="AU111" t="s">
        <v>936</v>
      </c>
      <c r="AV111">
        <v>1236</v>
      </c>
      <c r="AW111">
        <v>1</v>
      </c>
      <c r="AX111">
        <v>2</v>
      </c>
      <c r="AY111" t="s">
        <v>867</v>
      </c>
      <c r="AZ111" t="s">
        <v>65</v>
      </c>
      <c r="BA111" t="s">
        <v>65</v>
      </c>
      <c r="BB111" t="s">
        <v>856</v>
      </c>
      <c r="BC111" t="s">
        <v>937</v>
      </c>
      <c r="BD111" t="s">
        <v>938</v>
      </c>
    </row>
    <row r="112" ht="51.5" spans="1:56">
      <c r="A112" t="str">
        <f>_xlfn.DISPIMG("ID_57D3D300B19F47BF96510083017D4F61",1)</f>
        <v>=DISPIMG("ID_57D3D300B19F47BF96510083017D4F61",1)</v>
      </c>
      <c r="B112" t="s">
        <v>951</v>
      </c>
      <c r="C112" t="s">
        <v>951</v>
      </c>
      <c r="D112" t="s">
        <v>65</v>
      </c>
      <c r="E112" t="s">
        <v>952</v>
      </c>
      <c r="F112" t="s">
        <v>953</v>
      </c>
      <c r="G112" t="s">
        <v>954</v>
      </c>
      <c r="H112" t="s">
        <v>955</v>
      </c>
      <c r="I112" t="s">
        <v>956</v>
      </c>
      <c r="J112" t="s">
        <v>934</v>
      </c>
      <c r="K112" t="s">
        <v>850</v>
      </c>
      <c r="L112" t="s">
        <v>851</v>
      </c>
      <c r="M112">
        <v>603</v>
      </c>
      <c r="N112" t="s">
        <v>852</v>
      </c>
      <c r="O112" t="s">
        <v>957</v>
      </c>
      <c r="P112" t="s">
        <v>2809</v>
      </c>
      <c r="Q112">
        <v>6</v>
      </c>
      <c r="R112" t="s">
        <v>2841</v>
      </c>
      <c r="S112">
        <v>5.676</v>
      </c>
      <c r="T112" t="s">
        <v>2842</v>
      </c>
      <c r="U112" t="s">
        <v>64</v>
      </c>
      <c r="V112" t="s">
        <v>2812</v>
      </c>
      <c r="W112" t="s">
        <v>2849</v>
      </c>
      <c r="X112" t="s">
        <v>2828</v>
      </c>
      <c r="Y112" t="s">
        <v>2815</v>
      </c>
      <c r="Z112" t="s">
        <v>2816</v>
      </c>
      <c r="AA112" t="s">
        <v>2817</v>
      </c>
      <c r="AB112" t="s">
        <v>2816</v>
      </c>
      <c r="AC112" t="s">
        <v>2818</v>
      </c>
      <c r="AD112" t="s">
        <v>2819</v>
      </c>
      <c r="AE112" t="s">
        <v>2866</v>
      </c>
      <c r="AF112" t="s">
        <v>2867</v>
      </c>
      <c r="AG112" t="s">
        <v>2822</v>
      </c>
      <c r="AH112" t="s">
        <v>2868</v>
      </c>
      <c r="AI112">
        <v>1</v>
      </c>
      <c r="AJ112">
        <v>8734</v>
      </c>
      <c r="AK112">
        <v>521681.8</v>
      </c>
      <c r="AL112">
        <v>59.77</v>
      </c>
      <c r="AM112">
        <v>0.5535</v>
      </c>
      <c r="AN112">
        <v>17.71</v>
      </c>
      <c r="AO112">
        <v>4.6</v>
      </c>
      <c r="AP112">
        <v>875</v>
      </c>
      <c r="AQ112">
        <v>0.0071</v>
      </c>
      <c r="AR112">
        <v>62</v>
      </c>
      <c r="AT112" t="s">
        <v>854</v>
      </c>
      <c r="AU112" t="s">
        <v>958</v>
      </c>
      <c r="AV112">
        <v>483</v>
      </c>
      <c r="AW112">
        <v>1</v>
      </c>
      <c r="AX112">
        <v>7</v>
      </c>
      <c r="AY112" t="s">
        <v>867</v>
      </c>
      <c r="AZ112" t="s">
        <v>65</v>
      </c>
      <c r="BA112" t="s">
        <v>65</v>
      </c>
      <c r="BB112" t="s">
        <v>856</v>
      </c>
      <c r="BC112" t="s">
        <v>959</v>
      </c>
      <c r="BD112" t="s">
        <v>960</v>
      </c>
    </row>
    <row r="113" ht="51.5" spans="1:56">
      <c r="A113" t="str">
        <f>_xlfn.DISPIMG("ID_F3B5588D37C54F9EBCEAA5C85D490498",1)</f>
        <v>=DISPIMG("ID_F3B5588D37C54F9EBCEAA5C85D490498",1)</v>
      </c>
      <c r="B113" t="s">
        <v>304</v>
      </c>
      <c r="C113" t="s">
        <v>304</v>
      </c>
      <c r="D113" t="s">
        <v>65</v>
      </c>
      <c r="E113" t="s">
        <v>961</v>
      </c>
      <c r="F113" t="s">
        <v>962</v>
      </c>
      <c r="G113" t="s">
        <v>846</v>
      </c>
      <c r="H113" t="s">
        <v>963</v>
      </c>
      <c r="I113" t="s">
        <v>964</v>
      </c>
      <c r="J113" t="s">
        <v>864</v>
      </c>
      <c r="K113" t="s">
        <v>850</v>
      </c>
      <c r="L113" t="s">
        <v>851</v>
      </c>
      <c r="M113">
        <v>958</v>
      </c>
      <c r="N113" t="s">
        <v>852</v>
      </c>
      <c r="O113" t="s">
        <v>965</v>
      </c>
      <c r="P113" t="s">
        <v>2809</v>
      </c>
      <c r="Q113">
        <v>8</v>
      </c>
      <c r="R113" t="s">
        <v>2869</v>
      </c>
      <c r="S113">
        <v>7.568</v>
      </c>
      <c r="T113" t="s">
        <v>2870</v>
      </c>
      <c r="U113" t="s">
        <v>64</v>
      </c>
      <c r="V113" t="s">
        <v>2855</v>
      </c>
      <c r="W113" t="s">
        <v>2843</v>
      </c>
      <c r="X113" t="s">
        <v>2856</v>
      </c>
      <c r="Y113" t="s">
        <v>2829</v>
      </c>
      <c r="Z113" t="s">
        <v>2816</v>
      </c>
      <c r="AA113" t="s">
        <v>2817</v>
      </c>
      <c r="AB113" t="s">
        <v>2816</v>
      </c>
      <c r="AC113" t="s">
        <v>2818</v>
      </c>
      <c r="AD113" t="s">
        <v>2850</v>
      </c>
      <c r="AE113" t="s">
        <v>2871</v>
      </c>
      <c r="AF113" t="s">
        <v>2851</v>
      </c>
      <c r="AG113" t="s">
        <v>2822</v>
      </c>
      <c r="AH113" t="s">
        <v>2823</v>
      </c>
      <c r="AI113">
        <v>1</v>
      </c>
      <c r="AJ113">
        <v>6319</v>
      </c>
      <c r="AK113">
        <v>1263484</v>
      </c>
      <c r="AL113">
        <v>199.95</v>
      </c>
      <c r="AM113">
        <v>0.7341</v>
      </c>
      <c r="AN113">
        <v>23.17</v>
      </c>
      <c r="AO113">
        <v>4.8</v>
      </c>
      <c r="AP113">
        <v>18050</v>
      </c>
      <c r="AQ113">
        <v>0.0745</v>
      </c>
      <c r="AR113">
        <v>471</v>
      </c>
      <c r="AT113" t="s">
        <v>876</v>
      </c>
      <c r="AU113" t="s">
        <v>966</v>
      </c>
      <c r="AV113">
        <v>937</v>
      </c>
      <c r="AW113">
        <v>1</v>
      </c>
      <c r="AX113">
        <v>10</v>
      </c>
      <c r="AY113" t="s">
        <v>867</v>
      </c>
      <c r="AZ113" t="s">
        <v>65</v>
      </c>
      <c r="BA113" t="s">
        <v>65</v>
      </c>
      <c r="BB113" t="s">
        <v>856</v>
      </c>
      <c r="BC113" t="s">
        <v>967</v>
      </c>
      <c r="BD113" t="s">
        <v>968</v>
      </c>
    </row>
    <row r="114" ht="51.5" spans="1:56">
      <c r="A114" t="str">
        <f>_xlfn.DISPIMG("ID_D867FF3B6F984EF9B9A521B60372147C",1)</f>
        <v>=DISPIMG("ID_D867FF3B6F984EF9B9A521B60372147C",1)</v>
      </c>
      <c r="B114" t="s">
        <v>193</v>
      </c>
      <c r="C114" t="s">
        <v>193</v>
      </c>
      <c r="D114" t="s">
        <v>65</v>
      </c>
      <c r="E114" t="s">
        <v>969</v>
      </c>
      <c r="F114" t="s">
        <v>970</v>
      </c>
      <c r="G114" t="s">
        <v>971</v>
      </c>
      <c r="H114" t="s">
        <v>972</v>
      </c>
      <c r="I114" t="s">
        <v>973</v>
      </c>
      <c r="J114" t="s">
        <v>974</v>
      </c>
      <c r="K114" t="s">
        <v>850</v>
      </c>
      <c r="L114" t="s">
        <v>851</v>
      </c>
      <c r="M114">
        <v>1189</v>
      </c>
      <c r="N114" t="s">
        <v>852</v>
      </c>
      <c r="O114" t="s">
        <v>975</v>
      </c>
      <c r="P114" t="s">
        <v>2809</v>
      </c>
      <c r="Q114">
        <v>7.25</v>
      </c>
      <c r="R114" t="s">
        <v>2872</v>
      </c>
      <c r="S114">
        <v>6.8585</v>
      </c>
      <c r="T114" t="s">
        <v>2873</v>
      </c>
      <c r="U114" t="s">
        <v>64</v>
      </c>
      <c r="V114" t="s">
        <v>2812</v>
      </c>
      <c r="W114" t="s">
        <v>2837</v>
      </c>
      <c r="X114" t="s">
        <v>2874</v>
      </c>
      <c r="Y114" t="s">
        <v>2815</v>
      </c>
      <c r="Z114" t="s">
        <v>2816</v>
      </c>
      <c r="AA114" t="s">
        <v>2817</v>
      </c>
      <c r="AB114" t="s">
        <v>2816</v>
      </c>
      <c r="AC114" t="s">
        <v>2818</v>
      </c>
      <c r="AD114" t="s">
        <v>2819</v>
      </c>
      <c r="AE114" t="s">
        <v>2820</v>
      </c>
      <c r="AF114" t="s">
        <v>2821</v>
      </c>
      <c r="AG114" t="s">
        <v>2865</v>
      </c>
      <c r="AH114" t="s">
        <v>2823</v>
      </c>
      <c r="AI114">
        <v>1</v>
      </c>
      <c r="AJ114">
        <v>5498</v>
      </c>
      <c r="AK114">
        <v>489816.8</v>
      </c>
      <c r="AL114">
        <v>89.09</v>
      </c>
      <c r="AM114">
        <v>0.6229</v>
      </c>
      <c r="AN114">
        <v>20.23</v>
      </c>
      <c r="AO114">
        <v>4.5</v>
      </c>
      <c r="AP114">
        <v>8480</v>
      </c>
      <c r="AQ114">
        <v>0.0349</v>
      </c>
      <c r="AR114">
        <v>192</v>
      </c>
      <c r="AT114" t="s">
        <v>947</v>
      </c>
      <c r="AU114" t="s">
        <v>976</v>
      </c>
      <c r="AV114">
        <v>2009</v>
      </c>
      <c r="AW114">
        <v>1</v>
      </c>
      <c r="AX114">
        <v>5</v>
      </c>
      <c r="AY114" t="s">
        <v>867</v>
      </c>
      <c r="AZ114" t="s">
        <v>65</v>
      </c>
      <c r="BA114" t="s">
        <v>65</v>
      </c>
      <c r="BB114" t="s">
        <v>856</v>
      </c>
      <c r="BC114" t="s">
        <v>977</v>
      </c>
      <c r="BD114" t="s">
        <v>978</v>
      </c>
    </row>
    <row r="115" ht="51.5" spans="1:56">
      <c r="A115" t="str">
        <f>_xlfn.DISPIMG("ID_5081BD8DF7104B418782487A028CDCFD",1)</f>
        <v>=DISPIMG("ID_5081BD8DF7104B418782487A028CDCFD",1)</v>
      </c>
      <c r="B115" t="s">
        <v>105</v>
      </c>
      <c r="C115" t="s">
        <v>105</v>
      </c>
      <c r="D115" t="s">
        <v>65</v>
      </c>
      <c r="E115" t="s">
        <v>979</v>
      </c>
      <c r="F115" t="s">
        <v>980</v>
      </c>
      <c r="G115" t="s">
        <v>846</v>
      </c>
      <c r="H115" t="s">
        <v>981</v>
      </c>
      <c r="I115" t="s">
        <v>982</v>
      </c>
      <c r="J115" t="s">
        <v>65</v>
      </c>
      <c r="K115" t="s">
        <v>850</v>
      </c>
      <c r="L115" t="s">
        <v>851</v>
      </c>
      <c r="M115">
        <v>1009</v>
      </c>
      <c r="N115" t="s">
        <v>852</v>
      </c>
      <c r="O115" t="s">
        <v>965</v>
      </c>
      <c r="P115" t="s">
        <v>2832</v>
      </c>
      <c r="Q115">
        <v>17</v>
      </c>
      <c r="R115" t="s">
        <v>2875</v>
      </c>
      <c r="S115">
        <v>16.082</v>
      </c>
      <c r="T115" t="s">
        <v>2876</v>
      </c>
      <c r="U115" t="s">
        <v>2877</v>
      </c>
      <c r="V115" t="s">
        <v>2812</v>
      </c>
      <c r="W115" t="s">
        <v>2878</v>
      </c>
      <c r="X115" t="s">
        <v>2879</v>
      </c>
      <c r="Y115" t="s">
        <v>2829</v>
      </c>
      <c r="Z115" t="s">
        <v>2817</v>
      </c>
      <c r="AA115" t="s">
        <v>2817</v>
      </c>
      <c r="AB115" t="s">
        <v>2816</v>
      </c>
      <c r="AC115" t="s">
        <v>2818</v>
      </c>
      <c r="AD115" t="s">
        <v>2850</v>
      </c>
      <c r="AE115" t="s">
        <v>2880</v>
      </c>
      <c r="AF115" t="s">
        <v>2821</v>
      </c>
      <c r="AG115" t="s">
        <v>2822</v>
      </c>
      <c r="AH115" t="s">
        <v>2823</v>
      </c>
      <c r="AI115">
        <v>1</v>
      </c>
      <c r="AJ115">
        <v>9972</v>
      </c>
      <c r="AK115">
        <v>1994300.4</v>
      </c>
      <c r="AL115">
        <v>187</v>
      </c>
      <c r="AM115">
        <v>0.7362</v>
      </c>
      <c r="AN115">
        <v>22.75</v>
      </c>
      <c r="AO115">
        <v>4.6</v>
      </c>
      <c r="AP115">
        <v>24097</v>
      </c>
      <c r="AQ115">
        <v>0.0355</v>
      </c>
      <c r="AR115">
        <v>354</v>
      </c>
      <c r="AT115" t="s">
        <v>854</v>
      </c>
      <c r="AU115" t="s">
        <v>983</v>
      </c>
      <c r="AV115">
        <v>1341</v>
      </c>
      <c r="AW115">
        <v>1</v>
      </c>
      <c r="AX115">
        <v>16</v>
      </c>
      <c r="AY115" t="s">
        <v>65</v>
      </c>
      <c r="AZ115" t="s">
        <v>65</v>
      </c>
      <c r="BA115" t="s">
        <v>65</v>
      </c>
      <c r="BB115" t="s">
        <v>856</v>
      </c>
      <c r="BC115" t="s">
        <v>984</v>
      </c>
      <c r="BD115" t="s">
        <v>985</v>
      </c>
    </row>
    <row r="116" ht="51.5" spans="1:56">
      <c r="A116" t="str">
        <f>_xlfn.DISPIMG("ID_D3ECA348966449D08D28C7515248DDFA",1)</f>
        <v>=DISPIMG("ID_D3ECA348966449D08D28C7515248DDFA",1)</v>
      </c>
      <c r="B116" t="s">
        <v>986</v>
      </c>
      <c r="C116" t="s">
        <v>987</v>
      </c>
      <c r="D116" t="s">
        <v>988</v>
      </c>
      <c r="E116" t="s">
        <v>989</v>
      </c>
      <c r="F116" t="s">
        <v>990</v>
      </c>
      <c r="G116" t="s">
        <v>991</v>
      </c>
      <c r="H116" t="s">
        <v>992</v>
      </c>
      <c r="I116" t="s">
        <v>993</v>
      </c>
      <c r="J116" t="s">
        <v>934</v>
      </c>
      <c r="K116" t="s">
        <v>850</v>
      </c>
      <c r="L116" t="s">
        <v>851</v>
      </c>
      <c r="M116">
        <v>1488</v>
      </c>
      <c r="N116" t="s">
        <v>852</v>
      </c>
      <c r="O116" t="s">
        <v>994</v>
      </c>
      <c r="P116" t="s">
        <v>2881</v>
      </c>
      <c r="Q116">
        <v>4</v>
      </c>
      <c r="R116" t="s">
        <v>2810</v>
      </c>
      <c r="S116">
        <v>3.784</v>
      </c>
      <c r="T116" t="s">
        <v>2811</v>
      </c>
      <c r="U116" t="s">
        <v>64</v>
      </c>
      <c r="V116" t="s">
        <v>2812</v>
      </c>
      <c r="W116" t="s">
        <v>2827</v>
      </c>
      <c r="X116" t="s">
        <v>2814</v>
      </c>
      <c r="Y116" t="s">
        <v>2829</v>
      </c>
      <c r="Z116" t="s">
        <v>2816</v>
      </c>
      <c r="AA116" t="s">
        <v>2817</v>
      </c>
      <c r="AB116" t="s">
        <v>2816</v>
      </c>
      <c r="AC116" t="s">
        <v>2818</v>
      </c>
      <c r="AD116" t="s">
        <v>2819</v>
      </c>
      <c r="AE116" t="s">
        <v>2882</v>
      </c>
      <c r="AF116" t="s">
        <v>2883</v>
      </c>
      <c r="AG116" t="s">
        <v>2865</v>
      </c>
      <c r="AH116" t="s">
        <v>2884</v>
      </c>
      <c r="AI116">
        <v>1</v>
      </c>
      <c r="AJ116">
        <v>4279</v>
      </c>
      <c r="AK116">
        <v>342277.2</v>
      </c>
      <c r="AL116">
        <v>67.99</v>
      </c>
      <c r="AM116">
        <v>0.6391</v>
      </c>
      <c r="AN116">
        <v>16.87</v>
      </c>
      <c r="AO116">
        <v>4.4</v>
      </c>
      <c r="AP116">
        <v>382</v>
      </c>
      <c r="AQ116">
        <v>0.0327</v>
      </c>
      <c r="AR116">
        <v>140</v>
      </c>
      <c r="AT116" t="s">
        <v>876</v>
      </c>
      <c r="AU116" t="s">
        <v>995</v>
      </c>
      <c r="AV116">
        <v>291</v>
      </c>
      <c r="AW116">
        <v>5</v>
      </c>
      <c r="AX116">
        <v>2</v>
      </c>
      <c r="AY116" t="s">
        <v>996</v>
      </c>
      <c r="AZ116" t="s">
        <v>65</v>
      </c>
      <c r="BA116" t="s">
        <v>65</v>
      </c>
      <c r="BB116" t="s">
        <v>997</v>
      </c>
      <c r="BC116" t="s">
        <v>907</v>
      </c>
      <c r="BD116" t="s">
        <v>998</v>
      </c>
    </row>
    <row r="117" ht="51.5" spans="1:56">
      <c r="A117" t="str">
        <f>_xlfn.DISPIMG("ID_8F526F5171E649F6861FFFB079CAC276",1)</f>
        <v>=DISPIMG("ID_8F526F5171E649F6861FFFB079CAC276",1)</v>
      </c>
      <c r="B117" t="s">
        <v>187</v>
      </c>
      <c r="C117" t="s">
        <v>187</v>
      </c>
      <c r="D117" t="s">
        <v>65</v>
      </c>
      <c r="E117" t="s">
        <v>999</v>
      </c>
      <c r="F117" t="s">
        <v>1000</v>
      </c>
      <c r="G117" t="s">
        <v>846</v>
      </c>
      <c r="H117" t="s">
        <v>1001</v>
      </c>
      <c r="I117" t="s">
        <v>1002</v>
      </c>
      <c r="J117" t="s">
        <v>1003</v>
      </c>
      <c r="K117" t="s">
        <v>850</v>
      </c>
      <c r="L117" t="s">
        <v>851</v>
      </c>
      <c r="M117">
        <v>1041</v>
      </c>
      <c r="N117" t="s">
        <v>852</v>
      </c>
      <c r="O117" t="s">
        <v>975</v>
      </c>
      <c r="P117" t="s">
        <v>2824</v>
      </c>
      <c r="Q117">
        <v>5.5</v>
      </c>
      <c r="R117" t="s">
        <v>2885</v>
      </c>
      <c r="S117">
        <v>5.203</v>
      </c>
      <c r="T117" t="s">
        <v>2886</v>
      </c>
      <c r="U117" t="s">
        <v>64</v>
      </c>
      <c r="V117" t="s">
        <v>2812</v>
      </c>
      <c r="W117" t="s">
        <v>2837</v>
      </c>
      <c r="X117" t="s">
        <v>2879</v>
      </c>
      <c r="Y117" t="s">
        <v>2829</v>
      </c>
      <c r="Z117" t="s">
        <v>2816</v>
      </c>
      <c r="AA117" t="s">
        <v>2817</v>
      </c>
      <c r="AB117" t="s">
        <v>2816</v>
      </c>
      <c r="AC117" t="s">
        <v>2818</v>
      </c>
      <c r="AD117" t="s">
        <v>2819</v>
      </c>
      <c r="AE117" t="s">
        <v>2887</v>
      </c>
      <c r="AF117" t="s">
        <v>2821</v>
      </c>
      <c r="AG117" t="s">
        <v>2822</v>
      </c>
      <c r="AH117" t="s">
        <v>2823</v>
      </c>
      <c r="AI117">
        <v>1</v>
      </c>
      <c r="AJ117">
        <v>7579</v>
      </c>
      <c r="AK117">
        <v>1136774.2</v>
      </c>
      <c r="AL117">
        <v>149.99</v>
      </c>
      <c r="AM117">
        <v>0.7179</v>
      </c>
      <c r="AN117">
        <v>19.81</v>
      </c>
      <c r="AO117">
        <v>4.7</v>
      </c>
      <c r="AP117">
        <v>16093</v>
      </c>
      <c r="AQ117">
        <v>0.0289</v>
      </c>
      <c r="AR117">
        <v>219</v>
      </c>
      <c r="AT117" t="s">
        <v>854</v>
      </c>
      <c r="AU117" t="s">
        <v>1004</v>
      </c>
      <c r="AV117">
        <v>1361</v>
      </c>
      <c r="AW117">
        <v>1</v>
      </c>
      <c r="AX117">
        <v>8</v>
      </c>
      <c r="AY117" t="s">
        <v>65</v>
      </c>
      <c r="AZ117" t="s">
        <v>65</v>
      </c>
      <c r="BA117" t="s">
        <v>65</v>
      </c>
      <c r="BB117" t="s">
        <v>856</v>
      </c>
      <c r="BC117" t="s">
        <v>1005</v>
      </c>
      <c r="BD117" t="s">
        <v>1006</v>
      </c>
    </row>
    <row r="118" ht="51.5" spans="1:56">
      <c r="A118" t="str">
        <f>_xlfn.DISPIMG("ID_EFD05E987FC244FC8974B30F1238A284",1)</f>
        <v>=DISPIMG("ID_EFD05E987FC244FC8974B30F1238A284",1)</v>
      </c>
      <c r="B118" t="s">
        <v>1007</v>
      </c>
      <c r="C118" t="s">
        <v>1007</v>
      </c>
      <c r="D118" t="s">
        <v>65</v>
      </c>
      <c r="E118" t="s">
        <v>1008</v>
      </c>
      <c r="F118" t="s">
        <v>1009</v>
      </c>
      <c r="G118" t="s">
        <v>861</v>
      </c>
      <c r="H118" t="s">
        <v>1010</v>
      </c>
      <c r="I118" t="s">
        <v>1011</v>
      </c>
      <c r="J118" t="s">
        <v>1012</v>
      </c>
      <c r="K118" t="s">
        <v>850</v>
      </c>
      <c r="L118" t="s">
        <v>851</v>
      </c>
      <c r="M118">
        <v>1367</v>
      </c>
      <c r="N118" t="s">
        <v>852</v>
      </c>
      <c r="O118" t="s">
        <v>1013</v>
      </c>
      <c r="P118" t="s">
        <v>2809</v>
      </c>
      <c r="Q118">
        <v>10</v>
      </c>
      <c r="R118" t="s">
        <v>2833</v>
      </c>
      <c r="S118">
        <v>9.46</v>
      </c>
      <c r="T118" t="s">
        <v>2834</v>
      </c>
      <c r="U118" t="s">
        <v>64</v>
      </c>
      <c r="V118" t="s">
        <v>2836</v>
      </c>
      <c r="W118" t="s">
        <v>2888</v>
      </c>
      <c r="X118" t="s">
        <v>2874</v>
      </c>
      <c r="Y118" t="s">
        <v>2829</v>
      </c>
      <c r="Z118" t="s">
        <v>2817</v>
      </c>
      <c r="AA118" t="s">
        <v>2817</v>
      </c>
      <c r="AB118" t="s">
        <v>2817</v>
      </c>
      <c r="AC118" t="s">
        <v>2854</v>
      </c>
      <c r="AD118" t="s">
        <v>2889</v>
      </c>
      <c r="AE118" t="s">
        <v>2840</v>
      </c>
      <c r="AF118" t="s">
        <v>2883</v>
      </c>
      <c r="AG118" t="s">
        <v>2822</v>
      </c>
      <c r="AH118" t="s">
        <v>2823</v>
      </c>
      <c r="AI118">
        <v>1</v>
      </c>
      <c r="AJ118">
        <v>1372</v>
      </c>
      <c r="AK118">
        <v>150892.56</v>
      </c>
      <c r="AL118">
        <v>109.98</v>
      </c>
      <c r="AM118">
        <v>0.6431</v>
      </c>
      <c r="AN118">
        <v>22.75</v>
      </c>
      <c r="AO118">
        <v>4.7</v>
      </c>
      <c r="AP118">
        <v>4736</v>
      </c>
      <c r="AQ118">
        <v>0</v>
      </c>
      <c r="AR118">
        <v>3055</v>
      </c>
      <c r="AT118" t="s">
        <v>947</v>
      </c>
      <c r="AU118" t="s">
        <v>1014</v>
      </c>
      <c r="AV118">
        <v>251</v>
      </c>
      <c r="AW118">
        <v>1</v>
      </c>
      <c r="AX118">
        <v>1</v>
      </c>
      <c r="AY118" t="s">
        <v>867</v>
      </c>
      <c r="AZ118" t="s">
        <v>65</v>
      </c>
      <c r="BA118" t="s">
        <v>65</v>
      </c>
      <c r="BB118" t="s">
        <v>856</v>
      </c>
      <c r="BC118" t="s">
        <v>1015</v>
      </c>
      <c r="BD118" t="s">
        <v>1016</v>
      </c>
    </row>
    <row r="119" ht="51.5" spans="1:56">
      <c r="A119" t="str">
        <f>_xlfn.DISPIMG("ID_5446CDB133D04700B667BAED4B259405",1)</f>
        <v>=DISPIMG("ID_5446CDB133D04700B667BAED4B259405",1)</v>
      </c>
      <c r="B119" t="s">
        <v>439</v>
      </c>
      <c r="C119" t="s">
        <v>439</v>
      </c>
      <c r="D119" t="s">
        <v>65</v>
      </c>
      <c r="E119" t="s">
        <v>1017</v>
      </c>
      <c r="F119" t="s">
        <v>1018</v>
      </c>
      <c r="G119" t="s">
        <v>872</v>
      </c>
      <c r="H119" t="s">
        <v>1019</v>
      </c>
      <c r="I119" t="s">
        <v>1020</v>
      </c>
      <c r="J119" t="s">
        <v>974</v>
      </c>
      <c r="K119" t="s">
        <v>850</v>
      </c>
      <c r="L119" t="s">
        <v>851</v>
      </c>
      <c r="M119">
        <v>1263</v>
      </c>
      <c r="N119" t="s">
        <v>852</v>
      </c>
      <c r="O119" t="s">
        <v>1021</v>
      </c>
      <c r="P119" t="s">
        <v>2832</v>
      </c>
      <c r="Q119">
        <v>6</v>
      </c>
      <c r="R119" t="s">
        <v>2841</v>
      </c>
      <c r="S119">
        <v>5.676</v>
      </c>
      <c r="T119" t="s">
        <v>2842</v>
      </c>
      <c r="U119" t="s">
        <v>64</v>
      </c>
      <c r="V119" t="s">
        <v>2812</v>
      </c>
      <c r="W119" t="s">
        <v>2843</v>
      </c>
      <c r="X119" t="s">
        <v>2844</v>
      </c>
      <c r="Y119" t="s">
        <v>2829</v>
      </c>
      <c r="Z119" t="s">
        <v>2817</v>
      </c>
      <c r="AA119" t="s">
        <v>2817</v>
      </c>
      <c r="AB119" t="s">
        <v>2816</v>
      </c>
      <c r="AC119" t="s">
        <v>2818</v>
      </c>
      <c r="AD119" t="s">
        <v>2850</v>
      </c>
      <c r="AE119" t="s">
        <v>2890</v>
      </c>
      <c r="AF119" t="s">
        <v>2831</v>
      </c>
      <c r="AG119" t="s">
        <v>2865</v>
      </c>
      <c r="AH119" t="s">
        <v>2823</v>
      </c>
      <c r="AI119">
        <v>1</v>
      </c>
      <c r="AJ119">
        <v>5320</v>
      </c>
      <c r="AK119">
        <v>850934</v>
      </c>
      <c r="AL119">
        <v>159.95</v>
      </c>
      <c r="AM119">
        <v>0.7262</v>
      </c>
      <c r="AN119">
        <v>19.81</v>
      </c>
      <c r="AO119">
        <v>4.5</v>
      </c>
      <c r="AP119">
        <v>18506</v>
      </c>
      <c r="AQ119">
        <v>0.0596</v>
      </c>
      <c r="AR119">
        <v>317</v>
      </c>
      <c r="AT119" t="s">
        <v>876</v>
      </c>
      <c r="AU119" t="s">
        <v>886</v>
      </c>
      <c r="AV119">
        <v>661</v>
      </c>
      <c r="AW119">
        <v>1</v>
      </c>
      <c r="AX119">
        <v>4</v>
      </c>
      <c r="AY119" t="s">
        <v>867</v>
      </c>
      <c r="AZ119" t="s">
        <v>65</v>
      </c>
      <c r="BA119" t="s">
        <v>65</v>
      </c>
      <c r="BB119" t="s">
        <v>856</v>
      </c>
      <c r="BC119" t="s">
        <v>1022</v>
      </c>
      <c r="BD119" t="s">
        <v>1023</v>
      </c>
    </row>
    <row r="120" ht="51.5" spans="1:56">
      <c r="A120" t="str">
        <f>_xlfn.DISPIMG("ID_BF719436269342C39120D5BF56B8BEC7",1)</f>
        <v>=DISPIMG("ID_BF719436269342C39120D5BF56B8BEC7",1)</v>
      </c>
      <c r="B120" t="s">
        <v>291</v>
      </c>
      <c r="C120" t="s">
        <v>291</v>
      </c>
      <c r="D120" t="s">
        <v>65</v>
      </c>
      <c r="E120" t="s">
        <v>1024</v>
      </c>
      <c r="F120" t="s">
        <v>1025</v>
      </c>
      <c r="G120" t="s">
        <v>1026</v>
      </c>
      <c r="H120" t="s">
        <v>1027</v>
      </c>
      <c r="I120" t="s">
        <v>1028</v>
      </c>
      <c r="J120" t="s">
        <v>893</v>
      </c>
      <c r="K120" t="s">
        <v>850</v>
      </c>
      <c r="L120" t="s">
        <v>851</v>
      </c>
      <c r="M120">
        <v>1974</v>
      </c>
      <c r="N120" t="s">
        <v>1029</v>
      </c>
      <c r="O120" t="s">
        <v>1030</v>
      </c>
      <c r="P120" t="s">
        <v>2852</v>
      </c>
      <c r="Q120">
        <v>26</v>
      </c>
      <c r="R120" t="s">
        <v>2891</v>
      </c>
      <c r="S120">
        <v>24.596</v>
      </c>
      <c r="T120" t="s">
        <v>2892</v>
      </c>
      <c r="U120" t="s">
        <v>2877</v>
      </c>
      <c r="V120" t="s">
        <v>2893</v>
      </c>
      <c r="W120" t="s">
        <v>2894</v>
      </c>
      <c r="X120" t="s">
        <v>2874</v>
      </c>
      <c r="Y120" t="s">
        <v>2895</v>
      </c>
      <c r="Z120" t="s">
        <v>2817</v>
      </c>
      <c r="AA120" t="s">
        <v>2817</v>
      </c>
      <c r="AB120" t="s">
        <v>2816</v>
      </c>
      <c r="AC120" t="s">
        <v>2845</v>
      </c>
      <c r="AD120" t="s">
        <v>2896</v>
      </c>
      <c r="AE120" t="s">
        <v>2857</v>
      </c>
      <c r="AF120" t="s">
        <v>2831</v>
      </c>
      <c r="AG120" t="s">
        <v>2822</v>
      </c>
      <c r="AH120" t="s">
        <v>2823</v>
      </c>
      <c r="AI120">
        <v>1</v>
      </c>
      <c r="AJ120">
        <v>2970</v>
      </c>
      <c r="AK120">
        <v>858330</v>
      </c>
      <c r="AL120">
        <v>289</v>
      </c>
      <c r="AM120">
        <v>0.7451</v>
      </c>
      <c r="AN120">
        <v>30.31</v>
      </c>
      <c r="AO120">
        <v>4.6</v>
      </c>
      <c r="AP120">
        <v>2118</v>
      </c>
      <c r="AQ120">
        <v>0.0572</v>
      </c>
      <c r="AR120">
        <v>170</v>
      </c>
      <c r="AT120" t="s">
        <v>854</v>
      </c>
      <c r="AU120" t="s">
        <v>1031</v>
      </c>
      <c r="AV120">
        <v>609</v>
      </c>
      <c r="AW120">
        <v>1</v>
      </c>
      <c r="AX120">
        <v>14</v>
      </c>
      <c r="AY120" t="s">
        <v>1032</v>
      </c>
      <c r="AZ120" t="s">
        <v>65</v>
      </c>
      <c r="BA120" t="s">
        <v>1033</v>
      </c>
      <c r="BB120" t="s">
        <v>856</v>
      </c>
      <c r="BC120" t="s">
        <v>1034</v>
      </c>
      <c r="BD120" t="s">
        <v>1035</v>
      </c>
    </row>
    <row r="121" ht="51.5" spans="1:56">
      <c r="A121" t="str">
        <f>_xlfn.DISPIMG("ID_BA29F564E8A7433287A2991E08F24C7A",1)</f>
        <v>=DISPIMG("ID_BA29F564E8A7433287A2991E08F24C7A",1)</v>
      </c>
      <c r="B121" t="s">
        <v>103</v>
      </c>
      <c r="C121" t="s">
        <v>103</v>
      </c>
      <c r="D121" t="s">
        <v>65</v>
      </c>
      <c r="E121" t="s">
        <v>1047</v>
      </c>
      <c r="F121" t="s">
        <v>1048</v>
      </c>
      <c r="G121" t="s">
        <v>861</v>
      </c>
      <c r="H121" t="s">
        <v>1049</v>
      </c>
      <c r="I121" t="s">
        <v>1050</v>
      </c>
      <c r="J121" t="s">
        <v>1012</v>
      </c>
      <c r="K121" t="s">
        <v>850</v>
      </c>
      <c r="L121" t="s">
        <v>851</v>
      </c>
      <c r="M121">
        <v>1787</v>
      </c>
      <c r="N121" t="s">
        <v>1051</v>
      </c>
      <c r="O121" t="s">
        <v>1052</v>
      </c>
      <c r="P121" t="s">
        <v>2852</v>
      </c>
      <c r="Q121">
        <v>26.4</v>
      </c>
      <c r="R121" t="s">
        <v>2897</v>
      </c>
      <c r="S121">
        <v>24.9744</v>
      </c>
      <c r="T121" t="s">
        <v>2898</v>
      </c>
      <c r="U121" t="s">
        <v>64</v>
      </c>
      <c r="V121" t="s">
        <v>2836</v>
      </c>
      <c r="W121" t="s">
        <v>2849</v>
      </c>
      <c r="X121" t="s">
        <v>2874</v>
      </c>
      <c r="Y121" t="s">
        <v>2829</v>
      </c>
      <c r="Z121" t="s">
        <v>2817</v>
      </c>
      <c r="AA121" t="s">
        <v>2817</v>
      </c>
      <c r="AB121" t="s">
        <v>2817</v>
      </c>
      <c r="AC121" t="s">
        <v>2899</v>
      </c>
      <c r="AD121" t="s">
        <v>2896</v>
      </c>
      <c r="AE121" t="s">
        <v>2890</v>
      </c>
      <c r="AF121" t="s">
        <v>2900</v>
      </c>
      <c r="AG121" t="s">
        <v>2865</v>
      </c>
      <c r="AH121" t="s">
        <v>2823</v>
      </c>
      <c r="AI121">
        <v>1</v>
      </c>
      <c r="AJ121">
        <v>4224</v>
      </c>
      <c r="AK121">
        <v>675797.8</v>
      </c>
      <c r="AL121">
        <v>159.99</v>
      </c>
      <c r="AM121">
        <v>0.6684</v>
      </c>
      <c r="AN121">
        <v>29.05</v>
      </c>
      <c r="AO121">
        <v>4.5</v>
      </c>
      <c r="AP121">
        <v>2434</v>
      </c>
      <c r="AQ121">
        <v>0</v>
      </c>
      <c r="AR121">
        <v>0</v>
      </c>
      <c r="AS121">
        <v>427</v>
      </c>
      <c r="AT121" t="s">
        <v>947</v>
      </c>
      <c r="AU121" t="s">
        <v>1053</v>
      </c>
      <c r="AV121">
        <v>755</v>
      </c>
      <c r="AW121">
        <v>1</v>
      </c>
      <c r="AX121">
        <v>1</v>
      </c>
      <c r="AY121" t="s">
        <v>867</v>
      </c>
      <c r="AZ121" t="s">
        <v>65</v>
      </c>
      <c r="BA121" t="s">
        <v>65</v>
      </c>
      <c r="BB121" t="s">
        <v>856</v>
      </c>
      <c r="BC121" t="s">
        <v>1054</v>
      </c>
      <c r="BD121" t="s">
        <v>1055</v>
      </c>
    </row>
    <row r="122" ht="51.5" spans="1:56">
      <c r="A122" t="str">
        <f>_xlfn.DISPIMG("ID_3F732B098A8F4924ADB7473A50C75507",1)</f>
        <v>=DISPIMG("ID_3F732B098A8F4924ADB7473A50C75507",1)</v>
      </c>
      <c r="B122" t="s">
        <v>1056</v>
      </c>
      <c r="C122" t="s">
        <v>1056</v>
      </c>
      <c r="D122" t="s">
        <v>65</v>
      </c>
      <c r="E122" t="s">
        <v>1057</v>
      </c>
      <c r="F122" t="s">
        <v>1058</v>
      </c>
      <c r="G122" t="s">
        <v>1059</v>
      </c>
      <c r="H122" t="s">
        <v>1060</v>
      </c>
      <c r="I122" t="s">
        <v>1061</v>
      </c>
      <c r="J122" t="s">
        <v>974</v>
      </c>
      <c r="K122" t="s">
        <v>850</v>
      </c>
      <c r="L122" t="s">
        <v>851</v>
      </c>
      <c r="M122">
        <v>2031</v>
      </c>
      <c r="N122" t="s">
        <v>852</v>
      </c>
      <c r="O122" t="s">
        <v>1062</v>
      </c>
      <c r="P122" t="s">
        <v>2852</v>
      </c>
      <c r="Q122">
        <v>8</v>
      </c>
      <c r="R122" t="s">
        <v>2869</v>
      </c>
      <c r="S122">
        <v>7.568</v>
      </c>
      <c r="T122" t="s">
        <v>2870</v>
      </c>
      <c r="U122" t="s">
        <v>64</v>
      </c>
      <c r="V122" t="s">
        <v>2812</v>
      </c>
      <c r="W122" t="s">
        <v>2813</v>
      </c>
      <c r="X122" t="s">
        <v>2844</v>
      </c>
      <c r="Y122" t="s">
        <v>2815</v>
      </c>
      <c r="Z122" t="s">
        <v>2817</v>
      </c>
      <c r="AA122" t="s">
        <v>2817</v>
      </c>
      <c r="AB122" t="s">
        <v>2816</v>
      </c>
      <c r="AC122" t="s">
        <v>2818</v>
      </c>
      <c r="AD122" t="s">
        <v>2850</v>
      </c>
      <c r="AE122" t="s">
        <v>2830</v>
      </c>
      <c r="AF122" t="s">
        <v>2851</v>
      </c>
      <c r="AG122" t="s">
        <v>2822</v>
      </c>
      <c r="AH122" t="s">
        <v>2823</v>
      </c>
      <c r="AI122">
        <v>1</v>
      </c>
      <c r="AJ122">
        <v>2980</v>
      </c>
      <c r="AK122">
        <v>297970.2</v>
      </c>
      <c r="AL122">
        <v>99.99</v>
      </c>
      <c r="AM122">
        <v>0.6435</v>
      </c>
      <c r="AN122">
        <v>20.65</v>
      </c>
      <c r="AO122">
        <v>4.6</v>
      </c>
      <c r="AP122">
        <v>7320</v>
      </c>
      <c r="AQ122">
        <v>0.0725</v>
      </c>
      <c r="AR122">
        <v>216</v>
      </c>
      <c r="AT122" t="s">
        <v>854</v>
      </c>
      <c r="AU122" t="s">
        <v>1063</v>
      </c>
      <c r="AV122">
        <v>949</v>
      </c>
      <c r="AW122">
        <v>1</v>
      </c>
      <c r="AX122">
        <v>3</v>
      </c>
      <c r="AY122" t="s">
        <v>867</v>
      </c>
      <c r="AZ122" t="s">
        <v>65</v>
      </c>
      <c r="BA122" t="s">
        <v>65</v>
      </c>
      <c r="BB122" t="s">
        <v>856</v>
      </c>
      <c r="BC122" t="s">
        <v>1064</v>
      </c>
      <c r="BD122" t="s">
        <v>1065</v>
      </c>
    </row>
    <row r="123" ht="51.5" spans="1:56">
      <c r="A123" t="str">
        <f>_xlfn.DISPIMG("ID_6D805549D46F4147BB727A2EE17E2C42",1)</f>
        <v>=DISPIMG("ID_6D805549D46F4147BB727A2EE17E2C42",1)</v>
      </c>
      <c r="B123" t="s">
        <v>1066</v>
      </c>
      <c r="C123" t="s">
        <v>1066</v>
      </c>
      <c r="D123" t="s">
        <v>65</v>
      </c>
      <c r="E123" t="s">
        <v>1067</v>
      </c>
      <c r="F123" t="s">
        <v>1068</v>
      </c>
      <c r="G123" t="s">
        <v>1069</v>
      </c>
      <c r="H123" t="s">
        <v>1070</v>
      </c>
      <c r="I123" t="s">
        <v>1071</v>
      </c>
      <c r="J123" t="s">
        <v>864</v>
      </c>
      <c r="K123" t="s">
        <v>850</v>
      </c>
      <c r="L123" t="s">
        <v>851</v>
      </c>
      <c r="M123">
        <v>2398</v>
      </c>
      <c r="N123" t="s">
        <v>852</v>
      </c>
      <c r="O123" t="s">
        <v>1072</v>
      </c>
      <c r="P123" t="s">
        <v>2809</v>
      </c>
      <c r="Q123">
        <v>2.1</v>
      </c>
      <c r="R123" t="s">
        <v>2901</v>
      </c>
      <c r="S123">
        <v>1.9866</v>
      </c>
      <c r="T123" t="s">
        <v>2902</v>
      </c>
      <c r="U123" t="s">
        <v>64</v>
      </c>
      <c r="V123" t="s">
        <v>2812</v>
      </c>
      <c r="W123" t="s">
        <v>2843</v>
      </c>
      <c r="X123" t="s">
        <v>2862</v>
      </c>
      <c r="Y123" t="s">
        <v>2903</v>
      </c>
      <c r="Z123" t="s">
        <v>2816</v>
      </c>
      <c r="AA123" t="s">
        <v>2816</v>
      </c>
      <c r="AB123" t="s">
        <v>2816</v>
      </c>
      <c r="AC123" t="s">
        <v>2845</v>
      </c>
      <c r="AD123" t="s">
        <v>2819</v>
      </c>
      <c r="AE123" t="s">
        <v>2864</v>
      </c>
      <c r="AF123" t="s">
        <v>2821</v>
      </c>
      <c r="AG123" t="s">
        <v>2865</v>
      </c>
      <c r="AH123" t="s">
        <v>2823</v>
      </c>
      <c r="AI123">
        <v>1</v>
      </c>
      <c r="AJ123">
        <v>1574</v>
      </c>
      <c r="AK123">
        <v>62409.1</v>
      </c>
      <c r="AL123">
        <v>39.65</v>
      </c>
      <c r="AM123">
        <v>0.5093</v>
      </c>
      <c r="AN123">
        <v>13.51</v>
      </c>
      <c r="AO123">
        <v>4.5</v>
      </c>
      <c r="AP123">
        <v>5147</v>
      </c>
      <c r="AQ123">
        <v>0.2255</v>
      </c>
      <c r="AR123">
        <v>355</v>
      </c>
      <c r="AT123" t="s">
        <v>876</v>
      </c>
      <c r="AU123" t="s">
        <v>1073</v>
      </c>
      <c r="AV123">
        <v>1204</v>
      </c>
      <c r="AW123">
        <v>1</v>
      </c>
      <c r="AX123">
        <v>5</v>
      </c>
      <c r="AY123" t="s">
        <v>867</v>
      </c>
      <c r="AZ123" t="s">
        <v>65</v>
      </c>
      <c r="BA123" t="s">
        <v>65</v>
      </c>
      <c r="BB123" t="s">
        <v>856</v>
      </c>
      <c r="BC123" t="s">
        <v>1074</v>
      </c>
      <c r="BD123" t="s">
        <v>1075</v>
      </c>
    </row>
    <row r="124" ht="51.5" spans="1:56">
      <c r="A124" t="str">
        <f>_xlfn.DISPIMG("ID_2586E579DE7440F294699E86D562FB05",1)</f>
        <v>=DISPIMG("ID_2586E579DE7440F294699E86D562FB05",1)</v>
      </c>
      <c r="B124" t="s">
        <v>550</v>
      </c>
      <c r="C124" t="s">
        <v>550</v>
      </c>
      <c r="D124" t="s">
        <v>65</v>
      </c>
      <c r="E124" t="s">
        <v>1076</v>
      </c>
      <c r="F124" t="s">
        <v>1077</v>
      </c>
      <c r="G124" t="s">
        <v>1059</v>
      </c>
      <c r="H124" t="s">
        <v>1078</v>
      </c>
      <c r="I124" t="s">
        <v>1079</v>
      </c>
      <c r="J124" t="s">
        <v>974</v>
      </c>
      <c r="K124" t="s">
        <v>850</v>
      </c>
      <c r="L124" t="s">
        <v>851</v>
      </c>
      <c r="M124">
        <v>2256</v>
      </c>
      <c r="N124" t="s">
        <v>852</v>
      </c>
      <c r="O124" t="s">
        <v>1062</v>
      </c>
      <c r="P124" t="s">
        <v>2809</v>
      </c>
      <c r="Q124">
        <v>10</v>
      </c>
      <c r="R124" t="s">
        <v>2833</v>
      </c>
      <c r="S124">
        <v>9.46</v>
      </c>
      <c r="T124" t="s">
        <v>2834</v>
      </c>
      <c r="U124" t="s">
        <v>64</v>
      </c>
      <c r="V124" t="s">
        <v>2904</v>
      </c>
      <c r="W124" t="s">
        <v>2905</v>
      </c>
      <c r="X124" t="s">
        <v>2844</v>
      </c>
      <c r="Y124" t="s">
        <v>2903</v>
      </c>
      <c r="Z124" t="s">
        <v>2816</v>
      </c>
      <c r="AA124" t="s">
        <v>2817</v>
      </c>
      <c r="AB124" t="s">
        <v>2816</v>
      </c>
      <c r="AC124" t="s">
        <v>2818</v>
      </c>
      <c r="AD124" t="s">
        <v>2889</v>
      </c>
      <c r="AE124" t="s">
        <v>2906</v>
      </c>
      <c r="AF124" t="s">
        <v>2851</v>
      </c>
      <c r="AG124" t="s">
        <v>2865</v>
      </c>
      <c r="AH124" t="s">
        <v>2823</v>
      </c>
      <c r="AI124">
        <v>1</v>
      </c>
      <c r="AJ124">
        <v>3245</v>
      </c>
      <c r="AK124">
        <v>389367.53</v>
      </c>
      <c r="AL124">
        <v>119.99</v>
      </c>
      <c r="AM124">
        <v>0.6744</v>
      </c>
      <c r="AN124">
        <v>21.07</v>
      </c>
      <c r="AO124">
        <v>4.3</v>
      </c>
      <c r="AP124">
        <v>10832</v>
      </c>
      <c r="AQ124">
        <v>0.0961</v>
      </c>
      <c r="AR124">
        <v>312</v>
      </c>
      <c r="AS124">
        <v>26</v>
      </c>
      <c r="AT124" t="s">
        <v>854</v>
      </c>
      <c r="AU124" t="s">
        <v>1063</v>
      </c>
      <c r="AV124">
        <v>949</v>
      </c>
      <c r="AW124">
        <v>1</v>
      </c>
      <c r="AX124">
        <v>8</v>
      </c>
      <c r="AY124" t="s">
        <v>867</v>
      </c>
      <c r="AZ124" t="s">
        <v>65</v>
      </c>
      <c r="BA124" t="s">
        <v>65</v>
      </c>
      <c r="BB124" t="s">
        <v>856</v>
      </c>
      <c r="BC124" t="s">
        <v>1080</v>
      </c>
      <c r="BD124" t="s">
        <v>1081</v>
      </c>
    </row>
    <row r="125" ht="51.5" spans="1:56">
      <c r="A125" t="str">
        <f>_xlfn.DISPIMG("ID_BF11A2B6EF6748E79B80B28F745B707C",1)</f>
        <v>=DISPIMG("ID_BF11A2B6EF6748E79B80B28F745B707C",1)</v>
      </c>
      <c r="B125" t="s">
        <v>1082</v>
      </c>
      <c r="C125" t="s">
        <v>1082</v>
      </c>
      <c r="D125" t="s">
        <v>65</v>
      </c>
      <c r="E125" t="s">
        <v>1083</v>
      </c>
      <c r="F125" t="s">
        <v>1084</v>
      </c>
      <c r="G125" t="s">
        <v>846</v>
      </c>
      <c r="H125" t="s">
        <v>1085</v>
      </c>
      <c r="I125" t="s">
        <v>1086</v>
      </c>
      <c r="J125" t="s">
        <v>974</v>
      </c>
      <c r="K125" t="s">
        <v>850</v>
      </c>
      <c r="L125" t="s">
        <v>851</v>
      </c>
      <c r="M125">
        <v>2635</v>
      </c>
      <c r="N125" t="s">
        <v>852</v>
      </c>
      <c r="O125" t="s">
        <v>1087</v>
      </c>
      <c r="P125" t="s">
        <v>2832</v>
      </c>
      <c r="Q125">
        <v>8</v>
      </c>
      <c r="R125" t="s">
        <v>2869</v>
      </c>
      <c r="S125">
        <v>7.568</v>
      </c>
      <c r="T125" t="s">
        <v>2870</v>
      </c>
      <c r="U125" t="s">
        <v>2907</v>
      </c>
      <c r="V125" t="s">
        <v>2812</v>
      </c>
      <c r="W125" t="s">
        <v>2849</v>
      </c>
      <c r="X125" t="s">
        <v>2908</v>
      </c>
      <c r="Y125" t="s">
        <v>2815</v>
      </c>
      <c r="Z125" t="s">
        <v>2816</v>
      </c>
      <c r="AA125" t="s">
        <v>2817</v>
      </c>
      <c r="AB125" t="s">
        <v>2816</v>
      </c>
      <c r="AC125" t="s">
        <v>2845</v>
      </c>
      <c r="AD125" t="s">
        <v>2909</v>
      </c>
      <c r="AE125" t="s">
        <v>2857</v>
      </c>
      <c r="AF125" t="s">
        <v>2821</v>
      </c>
      <c r="AG125" t="s">
        <v>2822</v>
      </c>
      <c r="AH125" t="s">
        <v>2823</v>
      </c>
      <c r="AI125">
        <v>1</v>
      </c>
      <c r="AJ125">
        <v>3280</v>
      </c>
      <c r="AK125">
        <v>721436</v>
      </c>
      <c r="AL125">
        <v>219.95</v>
      </c>
      <c r="AM125">
        <v>0.716</v>
      </c>
      <c r="AN125">
        <v>29.47</v>
      </c>
      <c r="AO125">
        <v>4.8</v>
      </c>
      <c r="AP125">
        <v>33409</v>
      </c>
      <c r="AQ125">
        <v>0.0518</v>
      </c>
      <c r="AR125">
        <v>170</v>
      </c>
      <c r="AT125" t="s">
        <v>876</v>
      </c>
      <c r="AU125" t="s">
        <v>1088</v>
      </c>
      <c r="AV125">
        <v>1340</v>
      </c>
      <c r="AW125">
        <v>1</v>
      </c>
      <c r="AX125">
        <v>9</v>
      </c>
      <c r="AY125" t="s">
        <v>867</v>
      </c>
      <c r="AZ125" t="s">
        <v>65</v>
      </c>
      <c r="BA125" t="s">
        <v>65</v>
      </c>
      <c r="BB125" t="s">
        <v>856</v>
      </c>
      <c r="BC125" t="s">
        <v>1089</v>
      </c>
      <c r="BD125" t="s">
        <v>1090</v>
      </c>
    </row>
    <row r="126" ht="51.5" spans="1:56">
      <c r="A126" t="str">
        <f>_xlfn.DISPIMG("ID_EB1704935DA846C3A75C121E51387F9F",1)</f>
        <v>=DISPIMG("ID_EB1704935DA846C3A75C121E51387F9F",1)</v>
      </c>
      <c r="B126" t="s">
        <v>1091</v>
      </c>
      <c r="C126" t="s">
        <v>1091</v>
      </c>
      <c r="D126" t="s">
        <v>65</v>
      </c>
      <c r="E126" t="s">
        <v>1092</v>
      </c>
      <c r="F126" t="s">
        <v>1093</v>
      </c>
      <c r="G126" t="s">
        <v>1094</v>
      </c>
      <c r="H126" t="s">
        <v>1095</v>
      </c>
      <c r="I126" t="s">
        <v>1096</v>
      </c>
      <c r="J126" t="s">
        <v>974</v>
      </c>
      <c r="K126" t="s">
        <v>850</v>
      </c>
      <c r="L126" t="s">
        <v>851</v>
      </c>
      <c r="M126">
        <v>2469</v>
      </c>
      <c r="N126" t="s">
        <v>852</v>
      </c>
      <c r="O126" t="s">
        <v>1097</v>
      </c>
      <c r="P126" t="s">
        <v>2809</v>
      </c>
      <c r="Q126">
        <v>26</v>
      </c>
      <c r="R126" t="s">
        <v>2891</v>
      </c>
      <c r="S126">
        <v>24.596</v>
      </c>
      <c r="T126" t="s">
        <v>2892</v>
      </c>
      <c r="U126" t="s">
        <v>2877</v>
      </c>
      <c r="V126" t="s">
        <v>2836</v>
      </c>
      <c r="W126" t="s">
        <v>2843</v>
      </c>
      <c r="X126" t="s">
        <v>2910</v>
      </c>
      <c r="Y126" t="s">
        <v>2829</v>
      </c>
      <c r="Z126" t="s">
        <v>2816</v>
      </c>
      <c r="AA126" t="s">
        <v>2817</v>
      </c>
      <c r="AB126" t="s">
        <v>2816</v>
      </c>
      <c r="AC126" t="s">
        <v>2845</v>
      </c>
      <c r="AD126" t="s">
        <v>2896</v>
      </c>
      <c r="AE126" t="s">
        <v>2857</v>
      </c>
      <c r="AF126" t="s">
        <v>2867</v>
      </c>
      <c r="AG126" t="s">
        <v>2865</v>
      </c>
      <c r="AH126" t="s">
        <v>2911</v>
      </c>
      <c r="AI126">
        <v>1</v>
      </c>
      <c r="AJ126">
        <v>2153</v>
      </c>
      <c r="AK126">
        <v>516698.47</v>
      </c>
      <c r="AL126">
        <v>329.99</v>
      </c>
      <c r="AM126">
        <v>0.7342</v>
      </c>
      <c r="AN126">
        <v>27.79</v>
      </c>
      <c r="AO126">
        <v>4.3</v>
      </c>
      <c r="AP126">
        <v>764</v>
      </c>
      <c r="AQ126">
        <v>0.0446</v>
      </c>
      <c r="AR126">
        <v>96</v>
      </c>
      <c r="AS126">
        <v>163</v>
      </c>
      <c r="AT126" t="s">
        <v>1098</v>
      </c>
      <c r="AU126" t="s">
        <v>1099</v>
      </c>
      <c r="AV126">
        <v>535</v>
      </c>
      <c r="AW126">
        <v>1</v>
      </c>
      <c r="AX126">
        <v>4</v>
      </c>
      <c r="AY126" t="s">
        <v>65</v>
      </c>
      <c r="AZ126" t="s">
        <v>65</v>
      </c>
      <c r="BA126" t="s">
        <v>65</v>
      </c>
      <c r="BB126" t="s">
        <v>856</v>
      </c>
      <c r="BC126" t="s">
        <v>1100</v>
      </c>
      <c r="BD126" t="s">
        <v>1101</v>
      </c>
    </row>
    <row r="127" ht="51.5" spans="1:56">
      <c r="A127" t="str">
        <f>_xlfn.DISPIMG("ID_5CBE838777C640E0BE71973DFED62FB4",1)</f>
        <v>=DISPIMG("ID_5CBE838777C640E0BE71973DFED62FB4",1)</v>
      </c>
      <c r="B127" t="s">
        <v>292</v>
      </c>
      <c r="C127" t="s">
        <v>292</v>
      </c>
      <c r="D127" t="s">
        <v>65</v>
      </c>
      <c r="E127" t="s">
        <v>1102</v>
      </c>
      <c r="F127" t="s">
        <v>1103</v>
      </c>
      <c r="G127" t="s">
        <v>1104</v>
      </c>
      <c r="H127" t="s">
        <v>1105</v>
      </c>
      <c r="I127" t="s">
        <v>1106</v>
      </c>
      <c r="J127" t="s">
        <v>934</v>
      </c>
      <c r="K127" t="s">
        <v>850</v>
      </c>
      <c r="L127" t="s">
        <v>851</v>
      </c>
      <c r="M127">
        <v>3010</v>
      </c>
      <c r="N127" t="s">
        <v>852</v>
      </c>
      <c r="O127" t="s">
        <v>1107</v>
      </c>
      <c r="P127" t="s">
        <v>2852</v>
      </c>
      <c r="Q127">
        <v>26</v>
      </c>
      <c r="R127" t="s">
        <v>2891</v>
      </c>
      <c r="S127">
        <v>24.596</v>
      </c>
      <c r="T127" t="s">
        <v>2892</v>
      </c>
      <c r="U127" t="s">
        <v>2877</v>
      </c>
      <c r="V127" t="s">
        <v>2836</v>
      </c>
      <c r="W127" t="s">
        <v>2849</v>
      </c>
      <c r="X127" t="s">
        <v>2828</v>
      </c>
      <c r="Y127" t="s">
        <v>2829</v>
      </c>
      <c r="Z127" t="s">
        <v>2817</v>
      </c>
      <c r="AA127" t="s">
        <v>2817</v>
      </c>
      <c r="AB127" t="s">
        <v>2816</v>
      </c>
      <c r="AC127" t="s">
        <v>2912</v>
      </c>
      <c r="AD127" t="s">
        <v>2896</v>
      </c>
      <c r="AE127" t="s">
        <v>2913</v>
      </c>
      <c r="AF127" t="s">
        <v>2821</v>
      </c>
      <c r="AG127" t="s">
        <v>2865</v>
      </c>
      <c r="AH127" t="s">
        <v>2823</v>
      </c>
      <c r="AI127">
        <v>1</v>
      </c>
      <c r="AJ127">
        <v>2205</v>
      </c>
      <c r="AK127">
        <v>352777.97</v>
      </c>
      <c r="AL127">
        <v>163</v>
      </c>
      <c r="AM127">
        <v>0.6973</v>
      </c>
      <c r="AN127">
        <v>24.43</v>
      </c>
      <c r="AO127">
        <v>4.5</v>
      </c>
      <c r="AP127">
        <v>13970</v>
      </c>
      <c r="AQ127">
        <v>0.0807</v>
      </c>
      <c r="AR127">
        <v>178</v>
      </c>
      <c r="AS127">
        <v>965</v>
      </c>
      <c r="AT127" t="s">
        <v>876</v>
      </c>
      <c r="AU127" t="s">
        <v>1108</v>
      </c>
      <c r="AV127">
        <v>1505</v>
      </c>
      <c r="AW127">
        <v>1</v>
      </c>
      <c r="AX127">
        <v>8</v>
      </c>
      <c r="AY127" t="s">
        <v>1109</v>
      </c>
      <c r="AZ127" t="s">
        <v>1110</v>
      </c>
      <c r="BA127" t="s">
        <v>1111</v>
      </c>
      <c r="BB127" t="s">
        <v>856</v>
      </c>
      <c r="BC127" t="s">
        <v>1112</v>
      </c>
      <c r="BD127" t="s">
        <v>1113</v>
      </c>
    </row>
    <row r="128" ht="51.5" spans="1:56">
      <c r="A128" t="str">
        <f>_xlfn.DISPIMG("ID_FEB60C90BA9940408FA73B1AA52588A7",1)</f>
        <v>=DISPIMG("ID_FEB60C90BA9940408FA73B1AA52588A7",1)</v>
      </c>
      <c r="B128" t="s">
        <v>155</v>
      </c>
      <c r="C128" t="s">
        <v>155</v>
      </c>
      <c r="D128" t="s">
        <v>65</v>
      </c>
      <c r="E128" t="s">
        <v>1114</v>
      </c>
      <c r="F128" t="s">
        <v>1115</v>
      </c>
      <c r="G128" t="s">
        <v>1059</v>
      </c>
      <c r="H128" t="s">
        <v>1116</v>
      </c>
      <c r="I128" t="s">
        <v>1117</v>
      </c>
      <c r="J128" t="s">
        <v>893</v>
      </c>
      <c r="K128" t="s">
        <v>850</v>
      </c>
      <c r="L128" t="s">
        <v>851</v>
      </c>
      <c r="M128">
        <v>2720</v>
      </c>
      <c r="N128" t="s">
        <v>852</v>
      </c>
      <c r="O128" t="s">
        <v>1087</v>
      </c>
      <c r="P128" t="s">
        <v>2809</v>
      </c>
      <c r="Q128">
        <v>2</v>
      </c>
      <c r="R128" t="s">
        <v>2914</v>
      </c>
      <c r="S128">
        <v>1.892</v>
      </c>
      <c r="T128" t="s">
        <v>2915</v>
      </c>
      <c r="U128" t="s">
        <v>64</v>
      </c>
      <c r="V128" t="s">
        <v>2812</v>
      </c>
      <c r="W128" t="s">
        <v>2861</v>
      </c>
      <c r="X128" t="s">
        <v>2862</v>
      </c>
      <c r="Y128" t="s">
        <v>2815</v>
      </c>
      <c r="Z128" t="s">
        <v>2816</v>
      </c>
      <c r="AA128" t="s">
        <v>2816</v>
      </c>
      <c r="AB128" t="s">
        <v>2816</v>
      </c>
      <c r="AC128" t="s">
        <v>2863</v>
      </c>
      <c r="AD128" t="s">
        <v>2819</v>
      </c>
      <c r="AE128" t="s">
        <v>2864</v>
      </c>
      <c r="AF128" t="s">
        <v>2821</v>
      </c>
      <c r="AG128" t="s">
        <v>2822</v>
      </c>
      <c r="AH128" t="s">
        <v>2823</v>
      </c>
      <c r="AI128">
        <v>1</v>
      </c>
      <c r="AJ128">
        <v>2946</v>
      </c>
      <c r="AK128">
        <v>117810.55</v>
      </c>
      <c r="AL128">
        <v>39.99</v>
      </c>
      <c r="AM128">
        <v>0.4807</v>
      </c>
      <c r="AN128">
        <v>14.77</v>
      </c>
      <c r="AO128">
        <v>4.6</v>
      </c>
      <c r="AP128">
        <v>21089</v>
      </c>
      <c r="AQ128">
        <v>0.1198</v>
      </c>
      <c r="AR128">
        <v>353</v>
      </c>
      <c r="AT128" t="s">
        <v>876</v>
      </c>
      <c r="AU128" t="s">
        <v>1118</v>
      </c>
      <c r="AV128">
        <v>1515</v>
      </c>
      <c r="AW128">
        <v>1</v>
      </c>
      <c r="AX128">
        <v>3</v>
      </c>
      <c r="AY128" t="s">
        <v>867</v>
      </c>
      <c r="AZ128" t="s">
        <v>65</v>
      </c>
      <c r="BA128" t="s">
        <v>65</v>
      </c>
      <c r="BB128" t="s">
        <v>856</v>
      </c>
      <c r="BC128" t="s">
        <v>1119</v>
      </c>
      <c r="BD128" t="s">
        <v>1120</v>
      </c>
    </row>
    <row r="129" ht="51.5" spans="1:56">
      <c r="A129" t="str">
        <f>_xlfn.DISPIMG("ID_655B8479D0FA49AC8940B053D0F4B56C",1)</f>
        <v>=DISPIMG("ID_655B8479D0FA49AC8940B053D0F4B56C",1)</v>
      </c>
      <c r="B129" t="s">
        <v>1121</v>
      </c>
      <c r="C129" t="s">
        <v>1121</v>
      </c>
      <c r="D129" t="s">
        <v>65</v>
      </c>
      <c r="E129" t="s">
        <v>1122</v>
      </c>
      <c r="F129" t="s">
        <v>1123</v>
      </c>
      <c r="G129" t="s">
        <v>861</v>
      </c>
      <c r="H129" t="s">
        <v>1124</v>
      </c>
      <c r="I129" t="s">
        <v>1125</v>
      </c>
      <c r="J129" t="s">
        <v>974</v>
      </c>
      <c r="K129" t="s">
        <v>850</v>
      </c>
      <c r="L129" t="s">
        <v>851</v>
      </c>
      <c r="M129">
        <v>2922</v>
      </c>
      <c r="N129" t="s">
        <v>852</v>
      </c>
      <c r="O129" t="s">
        <v>1107</v>
      </c>
      <c r="P129" t="s">
        <v>2824</v>
      </c>
      <c r="Q129">
        <v>2.1</v>
      </c>
      <c r="R129" t="s">
        <v>2901</v>
      </c>
      <c r="S129">
        <v>1.9866</v>
      </c>
      <c r="T129" t="s">
        <v>2902</v>
      </c>
      <c r="U129" t="s">
        <v>64</v>
      </c>
      <c r="V129" t="s">
        <v>2812</v>
      </c>
      <c r="W129" t="s">
        <v>2813</v>
      </c>
      <c r="X129" t="s">
        <v>2910</v>
      </c>
      <c r="Y129" t="s">
        <v>2815</v>
      </c>
      <c r="Z129" t="s">
        <v>2816</v>
      </c>
      <c r="AA129" t="s">
        <v>2817</v>
      </c>
      <c r="AB129" t="s">
        <v>2816</v>
      </c>
      <c r="AC129" t="s">
        <v>2818</v>
      </c>
      <c r="AD129" t="s">
        <v>2819</v>
      </c>
      <c r="AE129" t="s">
        <v>2916</v>
      </c>
      <c r="AF129" t="s">
        <v>2917</v>
      </c>
      <c r="AG129" t="s">
        <v>2822</v>
      </c>
      <c r="AH129" t="s">
        <v>2823</v>
      </c>
      <c r="AI129">
        <v>1</v>
      </c>
      <c r="AJ129">
        <v>17432</v>
      </c>
      <c r="AK129">
        <v>871425.7</v>
      </c>
      <c r="AL129">
        <v>49.99</v>
      </c>
      <c r="AM129">
        <v>0.5881</v>
      </c>
      <c r="AN129">
        <v>13.09</v>
      </c>
      <c r="AO129">
        <v>4.7</v>
      </c>
      <c r="AP129">
        <v>2387</v>
      </c>
      <c r="AQ129">
        <v>0</v>
      </c>
      <c r="AR129">
        <v>0</v>
      </c>
      <c r="AT129" t="s">
        <v>854</v>
      </c>
      <c r="AU129" t="s">
        <v>1126</v>
      </c>
      <c r="AV129">
        <v>10</v>
      </c>
      <c r="AW129">
        <v>1</v>
      </c>
      <c r="AX129">
        <v>1</v>
      </c>
      <c r="AY129" t="s">
        <v>867</v>
      </c>
      <c r="AZ129" t="s">
        <v>65</v>
      </c>
      <c r="BA129" t="s">
        <v>65</v>
      </c>
      <c r="BB129" t="s">
        <v>856</v>
      </c>
      <c r="BC129" t="s">
        <v>1127</v>
      </c>
      <c r="BD129" t="s">
        <v>1128</v>
      </c>
    </row>
    <row r="130" ht="51.5" spans="1:56">
      <c r="A130" t="str">
        <f>_xlfn.DISPIMG("ID_5F705A5FDC144044AABB34A2F402B40B",1)</f>
        <v>=DISPIMG("ID_5F705A5FDC144044AABB34A2F402B40B",1)</v>
      </c>
      <c r="B130" t="s">
        <v>1129</v>
      </c>
      <c r="C130" t="s">
        <v>1129</v>
      </c>
      <c r="D130" t="s">
        <v>65</v>
      </c>
      <c r="E130" t="s">
        <v>1130</v>
      </c>
      <c r="F130" t="s">
        <v>1131</v>
      </c>
      <c r="G130" t="s">
        <v>1132</v>
      </c>
      <c r="H130" t="s">
        <v>1133</v>
      </c>
      <c r="I130" t="s">
        <v>1134</v>
      </c>
      <c r="J130" t="s">
        <v>934</v>
      </c>
      <c r="K130" t="s">
        <v>850</v>
      </c>
      <c r="L130" t="s">
        <v>851</v>
      </c>
      <c r="M130">
        <v>3655</v>
      </c>
      <c r="N130" t="s">
        <v>852</v>
      </c>
      <c r="O130" t="s">
        <v>1135</v>
      </c>
      <c r="P130" t="s">
        <v>2809</v>
      </c>
      <c r="Q130">
        <v>4.31578947368421</v>
      </c>
      <c r="R130" t="s">
        <v>2918</v>
      </c>
      <c r="S130">
        <v>4.08273684210526</v>
      </c>
      <c r="T130" t="s">
        <v>2919</v>
      </c>
      <c r="U130" t="s">
        <v>64</v>
      </c>
      <c r="V130" t="s">
        <v>2812</v>
      </c>
      <c r="W130" t="s">
        <v>2920</v>
      </c>
      <c r="X130" t="s">
        <v>2921</v>
      </c>
      <c r="Y130" t="s">
        <v>2815</v>
      </c>
      <c r="Z130" t="s">
        <v>2816</v>
      </c>
      <c r="AA130" t="s">
        <v>2817</v>
      </c>
      <c r="AB130" t="s">
        <v>2817</v>
      </c>
      <c r="AC130" t="s">
        <v>2922</v>
      </c>
      <c r="AD130" t="s">
        <v>2819</v>
      </c>
      <c r="AE130" t="s">
        <v>2887</v>
      </c>
      <c r="AF130" t="s">
        <v>2831</v>
      </c>
      <c r="AG130" t="s">
        <v>2822</v>
      </c>
      <c r="AH130" t="s">
        <v>2823</v>
      </c>
      <c r="AI130">
        <v>1</v>
      </c>
      <c r="AJ130">
        <v>1488</v>
      </c>
      <c r="AK130">
        <v>133905.11</v>
      </c>
      <c r="AL130">
        <v>149.95</v>
      </c>
      <c r="AM130">
        <v>0.6672</v>
      </c>
      <c r="AN130">
        <v>16.45</v>
      </c>
      <c r="AO130">
        <v>4.6</v>
      </c>
      <c r="AP130">
        <v>1069</v>
      </c>
      <c r="AQ130">
        <v>0.0296</v>
      </c>
      <c r="AR130">
        <v>44</v>
      </c>
      <c r="AT130" t="s">
        <v>876</v>
      </c>
      <c r="AU130" t="s">
        <v>1136</v>
      </c>
      <c r="AV130">
        <v>725</v>
      </c>
      <c r="AW130">
        <v>1</v>
      </c>
      <c r="AX130">
        <v>4</v>
      </c>
      <c r="AY130" t="s">
        <v>867</v>
      </c>
      <c r="AZ130" t="s">
        <v>65</v>
      </c>
      <c r="BA130" t="s">
        <v>65</v>
      </c>
      <c r="BB130" t="s">
        <v>856</v>
      </c>
      <c r="BC130" t="s">
        <v>1137</v>
      </c>
      <c r="BD130" t="s">
        <v>1138</v>
      </c>
    </row>
    <row r="131" ht="51.5" spans="1:56">
      <c r="A131" t="str">
        <f>_xlfn.DISPIMG("ID_A56FAFEB25634B9FB769A1E7444FBCA9",1)</f>
        <v>=DISPIMG("ID_A56FAFEB25634B9FB769A1E7444FBCA9",1)</v>
      </c>
      <c r="B131" t="s">
        <v>270</v>
      </c>
      <c r="C131" t="s">
        <v>270</v>
      </c>
      <c r="D131" t="s">
        <v>65</v>
      </c>
      <c r="E131" t="s">
        <v>1139</v>
      </c>
      <c r="F131" t="s">
        <v>1140</v>
      </c>
      <c r="G131" t="s">
        <v>1141</v>
      </c>
      <c r="H131" t="s">
        <v>1142</v>
      </c>
      <c r="I131" t="s">
        <v>1143</v>
      </c>
      <c r="J131" t="s">
        <v>934</v>
      </c>
      <c r="K131" t="s">
        <v>850</v>
      </c>
      <c r="L131" t="s">
        <v>851</v>
      </c>
      <c r="M131">
        <v>3139</v>
      </c>
      <c r="N131" t="s">
        <v>852</v>
      </c>
      <c r="O131" t="s">
        <v>1144</v>
      </c>
      <c r="P131" t="s">
        <v>2852</v>
      </c>
      <c r="Q131">
        <v>26</v>
      </c>
      <c r="R131" t="s">
        <v>2891</v>
      </c>
      <c r="S131">
        <v>24.596</v>
      </c>
      <c r="T131" t="s">
        <v>2892</v>
      </c>
      <c r="U131" t="s">
        <v>2877</v>
      </c>
      <c r="V131" t="s">
        <v>2923</v>
      </c>
      <c r="W131" t="s">
        <v>2894</v>
      </c>
      <c r="X131" t="s">
        <v>2844</v>
      </c>
      <c r="Y131" t="s">
        <v>2895</v>
      </c>
      <c r="Z131" t="s">
        <v>2817</v>
      </c>
      <c r="AA131" t="s">
        <v>2817</v>
      </c>
      <c r="AB131" t="s">
        <v>2816</v>
      </c>
      <c r="AC131" t="s">
        <v>2912</v>
      </c>
      <c r="AD131" t="s">
        <v>2896</v>
      </c>
      <c r="AE131" t="s">
        <v>2924</v>
      </c>
      <c r="AF131" t="s">
        <v>2851</v>
      </c>
      <c r="AG131" t="s">
        <v>2865</v>
      </c>
      <c r="AH131" t="s">
        <v>2823</v>
      </c>
      <c r="AI131">
        <v>1</v>
      </c>
      <c r="AJ131">
        <v>1034</v>
      </c>
      <c r="AK131">
        <v>185086</v>
      </c>
      <c r="AL131">
        <v>179</v>
      </c>
      <c r="AM131">
        <v>0.7018</v>
      </c>
      <c r="AN131">
        <v>26.53</v>
      </c>
      <c r="AO131">
        <v>4.4</v>
      </c>
      <c r="AP131">
        <v>10571</v>
      </c>
      <c r="AQ131">
        <v>0.1644</v>
      </c>
      <c r="AR131">
        <v>170</v>
      </c>
      <c r="AT131" t="s">
        <v>947</v>
      </c>
      <c r="AU131" t="s">
        <v>1145</v>
      </c>
      <c r="AV131">
        <v>1084</v>
      </c>
      <c r="AW131">
        <v>1</v>
      </c>
      <c r="AX131">
        <v>15</v>
      </c>
      <c r="AY131" t="s">
        <v>1146</v>
      </c>
      <c r="AZ131" t="s">
        <v>1110</v>
      </c>
      <c r="BA131" t="s">
        <v>1147</v>
      </c>
      <c r="BB131" t="s">
        <v>856</v>
      </c>
      <c r="BC131" t="s">
        <v>1148</v>
      </c>
      <c r="BD131" t="s">
        <v>1149</v>
      </c>
    </row>
    <row r="132" ht="51.5" spans="1:56">
      <c r="A132" t="str">
        <f>_xlfn.DISPIMG("ID_2B121DD4114D4409B3077D94682C9E9A",1)</f>
        <v>=DISPIMG("ID_2B121DD4114D4409B3077D94682C9E9A",1)</v>
      </c>
      <c r="B132" t="s">
        <v>353</v>
      </c>
      <c r="C132" t="s">
        <v>353</v>
      </c>
      <c r="D132" t="s">
        <v>65</v>
      </c>
      <c r="E132" t="s">
        <v>1150</v>
      </c>
      <c r="F132" t="s">
        <v>1151</v>
      </c>
      <c r="G132" t="s">
        <v>1152</v>
      </c>
      <c r="H132" t="s">
        <v>1153</v>
      </c>
      <c r="I132" t="s">
        <v>1154</v>
      </c>
      <c r="J132" t="s">
        <v>893</v>
      </c>
      <c r="K132" t="s">
        <v>850</v>
      </c>
      <c r="L132" t="s">
        <v>851</v>
      </c>
      <c r="M132">
        <v>2724</v>
      </c>
      <c r="N132" t="s">
        <v>852</v>
      </c>
      <c r="O132" t="s">
        <v>1155</v>
      </c>
      <c r="P132" t="s">
        <v>2809</v>
      </c>
      <c r="Q132">
        <v>4.2</v>
      </c>
      <c r="R132" t="s">
        <v>2926</v>
      </c>
      <c r="S132">
        <v>3.9732</v>
      </c>
      <c r="T132" t="s">
        <v>2927</v>
      </c>
      <c r="U132" t="s">
        <v>64</v>
      </c>
      <c r="V132" t="s">
        <v>2812</v>
      </c>
      <c r="W132" t="s">
        <v>2861</v>
      </c>
      <c r="X132" t="s">
        <v>2828</v>
      </c>
      <c r="Y132" t="s">
        <v>2815</v>
      </c>
      <c r="Z132" t="s">
        <v>2816</v>
      </c>
      <c r="AA132" t="s">
        <v>2817</v>
      </c>
      <c r="AB132" t="s">
        <v>2816</v>
      </c>
      <c r="AC132" t="s">
        <v>2928</v>
      </c>
      <c r="AD132" t="s">
        <v>2819</v>
      </c>
      <c r="AE132" t="s">
        <v>2882</v>
      </c>
      <c r="AF132" t="s">
        <v>2821</v>
      </c>
      <c r="AG132" t="s">
        <v>2822</v>
      </c>
      <c r="AH132" t="s">
        <v>2823</v>
      </c>
      <c r="AI132">
        <v>1</v>
      </c>
      <c r="AJ132">
        <v>3991</v>
      </c>
      <c r="AK132">
        <v>279330.1</v>
      </c>
      <c r="AL132">
        <v>69.99</v>
      </c>
      <c r="AM132">
        <v>0.615</v>
      </c>
      <c r="AN132">
        <v>16.45</v>
      </c>
      <c r="AO132">
        <v>4.7</v>
      </c>
      <c r="AP132">
        <v>40740</v>
      </c>
      <c r="AQ132">
        <v>0.0661</v>
      </c>
      <c r="AR132">
        <v>264</v>
      </c>
      <c r="AT132" t="s">
        <v>876</v>
      </c>
      <c r="AU132" t="s">
        <v>1156</v>
      </c>
      <c r="AV132">
        <v>1883</v>
      </c>
      <c r="AW132">
        <v>1</v>
      </c>
      <c r="AX132">
        <v>1</v>
      </c>
      <c r="AY132" t="s">
        <v>1157</v>
      </c>
      <c r="AZ132" t="s">
        <v>65</v>
      </c>
      <c r="BA132" t="s">
        <v>1158</v>
      </c>
      <c r="BB132" t="s">
        <v>856</v>
      </c>
      <c r="BC132" t="s">
        <v>1159</v>
      </c>
      <c r="BD132" t="s">
        <v>1160</v>
      </c>
    </row>
    <row r="133" ht="51.5" spans="1:56">
      <c r="A133" t="str">
        <f>_xlfn.DISPIMG("ID_EC5715FDE44E423DA2407A8C8149F902",1)</f>
        <v>=DISPIMG("ID_EC5715FDE44E423DA2407A8C8149F902",1)</v>
      </c>
      <c r="B133" t="s">
        <v>232</v>
      </c>
      <c r="C133" t="s">
        <v>232</v>
      </c>
      <c r="D133" t="s">
        <v>65</v>
      </c>
      <c r="E133" t="s">
        <v>1171</v>
      </c>
      <c r="F133" t="s">
        <v>1172</v>
      </c>
      <c r="G133" t="s">
        <v>1173</v>
      </c>
      <c r="H133" t="s">
        <v>1174</v>
      </c>
      <c r="I133" t="s">
        <v>1175</v>
      </c>
      <c r="J133" t="s">
        <v>974</v>
      </c>
      <c r="K133" t="s">
        <v>850</v>
      </c>
      <c r="L133" t="s">
        <v>851</v>
      </c>
      <c r="M133">
        <v>3310</v>
      </c>
      <c r="N133" t="s">
        <v>852</v>
      </c>
      <c r="O133" t="s">
        <v>1135</v>
      </c>
      <c r="P133" t="s">
        <v>2809</v>
      </c>
      <c r="Q133">
        <v>5.8</v>
      </c>
      <c r="R133" t="s">
        <v>2847</v>
      </c>
      <c r="S133">
        <v>5.4868</v>
      </c>
      <c r="T133" t="s">
        <v>2848</v>
      </c>
      <c r="U133" t="s">
        <v>64</v>
      </c>
      <c r="V133" t="s">
        <v>2812</v>
      </c>
      <c r="W133" t="s">
        <v>2878</v>
      </c>
      <c r="X133" t="s">
        <v>2844</v>
      </c>
      <c r="Y133" t="s">
        <v>2815</v>
      </c>
      <c r="Z133" t="s">
        <v>2816</v>
      </c>
      <c r="AA133" t="s">
        <v>2817</v>
      </c>
      <c r="AB133" t="s">
        <v>2816</v>
      </c>
      <c r="AC133" t="s">
        <v>2818</v>
      </c>
      <c r="AD133" t="s">
        <v>2819</v>
      </c>
      <c r="AE133" t="s">
        <v>2882</v>
      </c>
      <c r="AF133" t="s">
        <v>2821</v>
      </c>
      <c r="AG133" t="s">
        <v>2822</v>
      </c>
      <c r="AH133" t="s">
        <v>2823</v>
      </c>
      <c r="AI133">
        <v>1</v>
      </c>
      <c r="AJ133">
        <v>2695</v>
      </c>
      <c r="AK133">
        <v>170485.7</v>
      </c>
      <c r="AL133">
        <v>63.26</v>
      </c>
      <c r="AM133">
        <v>0.5302</v>
      </c>
      <c r="AN133">
        <v>20.23</v>
      </c>
      <c r="AO133">
        <v>4.6</v>
      </c>
      <c r="AP133">
        <v>33005</v>
      </c>
      <c r="AQ133">
        <v>0.082</v>
      </c>
      <c r="AR133">
        <v>221</v>
      </c>
      <c r="AS133">
        <v>680</v>
      </c>
      <c r="AT133" t="s">
        <v>876</v>
      </c>
      <c r="AU133" t="s">
        <v>1176</v>
      </c>
      <c r="AV133">
        <v>1966</v>
      </c>
      <c r="AW133">
        <v>1</v>
      </c>
      <c r="AX133">
        <v>2</v>
      </c>
      <c r="AY133" t="s">
        <v>867</v>
      </c>
      <c r="AZ133" t="s">
        <v>65</v>
      </c>
      <c r="BA133" t="s">
        <v>65</v>
      </c>
      <c r="BB133" t="s">
        <v>856</v>
      </c>
      <c r="BC133" t="s">
        <v>1177</v>
      </c>
      <c r="BD133" t="s">
        <v>1178</v>
      </c>
    </row>
    <row r="134" ht="51.5" spans="1:56">
      <c r="A134" t="str">
        <f>_xlfn.DISPIMG("ID_57C5254188594DADA615573EE730EDB8",1)</f>
        <v>=DISPIMG("ID_57C5254188594DADA615573EE730EDB8",1)</v>
      </c>
      <c r="B134" t="s">
        <v>395</v>
      </c>
      <c r="C134" t="s">
        <v>395</v>
      </c>
      <c r="D134" t="s">
        <v>65</v>
      </c>
      <c r="E134" t="s">
        <v>1179</v>
      </c>
      <c r="F134" t="s">
        <v>1180</v>
      </c>
      <c r="G134" t="s">
        <v>931</v>
      </c>
      <c r="H134" t="s">
        <v>1181</v>
      </c>
      <c r="I134" t="s">
        <v>1182</v>
      </c>
      <c r="J134" t="s">
        <v>934</v>
      </c>
      <c r="K134" t="s">
        <v>850</v>
      </c>
      <c r="L134" t="s">
        <v>851</v>
      </c>
      <c r="M134">
        <v>3846</v>
      </c>
      <c r="N134" t="s">
        <v>852</v>
      </c>
      <c r="O134" t="s">
        <v>1183</v>
      </c>
      <c r="P134" t="s">
        <v>2881</v>
      </c>
      <c r="Q134">
        <v>2.6</v>
      </c>
      <c r="R134" t="s">
        <v>2859</v>
      </c>
      <c r="S134">
        <v>2.4596</v>
      </c>
      <c r="T134" t="s">
        <v>2860</v>
      </c>
      <c r="U134" t="s">
        <v>64</v>
      </c>
      <c r="V134" t="s">
        <v>2812</v>
      </c>
      <c r="W134" t="s">
        <v>2861</v>
      </c>
      <c r="X134" t="s">
        <v>2862</v>
      </c>
      <c r="Y134" t="s">
        <v>2815</v>
      </c>
      <c r="Z134" t="s">
        <v>2816</v>
      </c>
      <c r="AA134" t="s">
        <v>2817</v>
      </c>
      <c r="AB134" t="s">
        <v>2816</v>
      </c>
      <c r="AC134" t="s">
        <v>2818</v>
      </c>
      <c r="AD134" t="s">
        <v>2819</v>
      </c>
      <c r="AE134" t="s">
        <v>2882</v>
      </c>
      <c r="AF134" t="s">
        <v>2900</v>
      </c>
      <c r="AG134" t="s">
        <v>2822</v>
      </c>
      <c r="AH134" t="s">
        <v>2823</v>
      </c>
      <c r="AI134">
        <v>1</v>
      </c>
      <c r="AJ134">
        <v>2032</v>
      </c>
      <c r="AK134">
        <v>132059.67</v>
      </c>
      <c r="AL134">
        <v>64.99</v>
      </c>
      <c r="AM134">
        <v>0.6357</v>
      </c>
      <c r="AN134">
        <v>13.93</v>
      </c>
      <c r="AO134">
        <v>4.6</v>
      </c>
      <c r="AP134">
        <v>2910</v>
      </c>
      <c r="AQ134">
        <v>0.0679</v>
      </c>
      <c r="AR134">
        <v>138</v>
      </c>
      <c r="AT134" t="s">
        <v>876</v>
      </c>
      <c r="AU134" t="s">
        <v>1184</v>
      </c>
      <c r="AV134">
        <v>832</v>
      </c>
      <c r="AW134">
        <v>1</v>
      </c>
      <c r="AX134">
        <v>2</v>
      </c>
      <c r="AY134" t="s">
        <v>867</v>
      </c>
      <c r="AZ134" t="s">
        <v>65</v>
      </c>
      <c r="BA134" t="s">
        <v>65</v>
      </c>
      <c r="BB134" t="s">
        <v>856</v>
      </c>
      <c r="BC134" t="s">
        <v>1185</v>
      </c>
      <c r="BD134" t="s">
        <v>1186</v>
      </c>
    </row>
    <row r="135" ht="51.5" spans="1:56">
      <c r="A135" t="str">
        <f>_xlfn.DISPIMG("ID_30AF9FE10AEA414CBF2D799A8F97B6E1",1)</f>
        <v>=DISPIMG("ID_30AF9FE10AEA414CBF2D799A8F97B6E1",1)</v>
      </c>
      <c r="B135" t="s">
        <v>116</v>
      </c>
      <c r="C135" t="s">
        <v>116</v>
      </c>
      <c r="D135" t="s">
        <v>65</v>
      </c>
      <c r="E135" t="s">
        <v>1187</v>
      </c>
      <c r="F135" t="s">
        <v>1188</v>
      </c>
      <c r="G135" t="s">
        <v>1189</v>
      </c>
      <c r="H135" t="s">
        <v>1190</v>
      </c>
      <c r="I135" t="s">
        <v>1191</v>
      </c>
      <c r="J135" t="s">
        <v>934</v>
      </c>
      <c r="K135" t="s">
        <v>850</v>
      </c>
      <c r="L135" t="s">
        <v>851</v>
      </c>
      <c r="M135">
        <v>3738</v>
      </c>
      <c r="N135" t="s">
        <v>852</v>
      </c>
      <c r="O135" t="s">
        <v>1135</v>
      </c>
      <c r="P135" t="s">
        <v>2852</v>
      </c>
      <c r="Q135">
        <v>17</v>
      </c>
      <c r="R135" t="s">
        <v>2875</v>
      </c>
      <c r="S135">
        <v>16.082</v>
      </c>
      <c r="T135" t="s">
        <v>2876</v>
      </c>
      <c r="U135" t="s">
        <v>2835</v>
      </c>
      <c r="V135" t="s">
        <v>2836</v>
      </c>
      <c r="W135" t="s">
        <v>2813</v>
      </c>
      <c r="X135" t="s">
        <v>2828</v>
      </c>
      <c r="Y135" t="s">
        <v>2829</v>
      </c>
      <c r="Z135" t="s">
        <v>2817</v>
      </c>
      <c r="AA135" t="s">
        <v>2816</v>
      </c>
      <c r="AB135" t="s">
        <v>2816</v>
      </c>
      <c r="AC135" t="s">
        <v>2863</v>
      </c>
      <c r="AD135" t="s">
        <v>2889</v>
      </c>
      <c r="AE135" t="s">
        <v>2882</v>
      </c>
      <c r="AF135" t="s">
        <v>2851</v>
      </c>
      <c r="AG135" t="s">
        <v>2930</v>
      </c>
      <c r="AH135" t="s">
        <v>2823</v>
      </c>
      <c r="AI135">
        <v>1</v>
      </c>
      <c r="AJ135">
        <v>2305</v>
      </c>
      <c r="AK135">
        <v>161326.94</v>
      </c>
      <c r="AL135">
        <v>69.99</v>
      </c>
      <c r="AM135">
        <v>0.615</v>
      </c>
      <c r="AN135">
        <v>16.45</v>
      </c>
      <c r="AO135">
        <v>4.1</v>
      </c>
      <c r="AP135">
        <v>1929</v>
      </c>
      <c r="AQ135">
        <v>0.0364</v>
      </c>
      <c r="AR135">
        <v>84</v>
      </c>
      <c r="AT135" t="s">
        <v>854</v>
      </c>
      <c r="AU135" t="s">
        <v>1192</v>
      </c>
      <c r="AV135">
        <v>987</v>
      </c>
      <c r="AW135">
        <v>1</v>
      </c>
      <c r="AX135">
        <v>1</v>
      </c>
      <c r="AY135" t="s">
        <v>867</v>
      </c>
      <c r="AZ135" t="s">
        <v>65</v>
      </c>
      <c r="BA135" t="s">
        <v>65</v>
      </c>
      <c r="BB135" t="s">
        <v>856</v>
      </c>
      <c r="BC135" t="s">
        <v>1193</v>
      </c>
      <c r="BD135" t="s">
        <v>1194</v>
      </c>
    </row>
    <row r="136" ht="51.5" spans="1:56">
      <c r="A136" t="str">
        <f>_xlfn.DISPIMG("ID_3FE23FCA5B2E49C3844336FD61124FED",1)</f>
        <v>=DISPIMG("ID_3FE23FCA5B2E49C3844336FD61124FED",1)</v>
      </c>
      <c r="B136" t="s">
        <v>1218</v>
      </c>
      <c r="C136" t="s">
        <v>1218</v>
      </c>
      <c r="D136" t="s">
        <v>65</v>
      </c>
      <c r="E136" t="s">
        <v>1219</v>
      </c>
      <c r="F136" t="s">
        <v>1220</v>
      </c>
      <c r="G136" t="s">
        <v>1221</v>
      </c>
      <c r="H136" t="s">
        <v>1222</v>
      </c>
      <c r="I136" t="s">
        <v>1223</v>
      </c>
      <c r="J136" t="s">
        <v>1042</v>
      </c>
      <c r="K136" t="s">
        <v>850</v>
      </c>
      <c r="L136" t="s">
        <v>851</v>
      </c>
      <c r="M136">
        <v>3701</v>
      </c>
      <c r="N136" t="s">
        <v>852</v>
      </c>
      <c r="O136" t="s">
        <v>1183</v>
      </c>
      <c r="P136" t="s">
        <v>2809</v>
      </c>
      <c r="Q136">
        <v>3.7</v>
      </c>
      <c r="R136" t="s">
        <v>2931</v>
      </c>
      <c r="S136">
        <v>3.5002</v>
      </c>
      <c r="T136" t="s">
        <v>2932</v>
      </c>
      <c r="U136" t="s">
        <v>64</v>
      </c>
      <c r="V136" t="s">
        <v>2812</v>
      </c>
      <c r="W136" t="s">
        <v>2878</v>
      </c>
      <c r="X136" t="s">
        <v>2921</v>
      </c>
      <c r="Y136" t="s">
        <v>2903</v>
      </c>
      <c r="Z136" t="s">
        <v>2816</v>
      </c>
      <c r="AA136" t="s">
        <v>2817</v>
      </c>
      <c r="AB136" t="s">
        <v>2816</v>
      </c>
      <c r="AC136" t="s">
        <v>2928</v>
      </c>
      <c r="AD136" t="s">
        <v>2819</v>
      </c>
      <c r="AE136" t="s">
        <v>2866</v>
      </c>
      <c r="AF136" t="s">
        <v>2917</v>
      </c>
      <c r="AG136" t="s">
        <v>2933</v>
      </c>
      <c r="AH136" t="s">
        <v>2934</v>
      </c>
      <c r="AI136">
        <v>1</v>
      </c>
      <c r="AJ136">
        <v>622</v>
      </c>
      <c r="AK136">
        <v>33469.82</v>
      </c>
      <c r="AL136">
        <v>53.81</v>
      </c>
      <c r="AM136">
        <v>0.5443</v>
      </c>
      <c r="AN136">
        <v>16.45</v>
      </c>
      <c r="AO136">
        <v>5</v>
      </c>
      <c r="AP136">
        <v>8</v>
      </c>
      <c r="AQ136">
        <v>0.0113</v>
      </c>
      <c r="AR136">
        <v>7</v>
      </c>
      <c r="AT136" t="s">
        <v>65</v>
      </c>
      <c r="AU136" t="s">
        <v>1224</v>
      </c>
      <c r="AV136">
        <v>26</v>
      </c>
      <c r="AW136">
        <v>1</v>
      </c>
      <c r="AX136">
        <v>1</v>
      </c>
      <c r="AY136" t="s">
        <v>867</v>
      </c>
      <c r="AZ136" t="s">
        <v>65</v>
      </c>
      <c r="BA136" t="s">
        <v>65</v>
      </c>
      <c r="BB136" t="s">
        <v>856</v>
      </c>
      <c r="BC136" t="s">
        <v>907</v>
      </c>
      <c r="BD136" t="s">
        <v>1225</v>
      </c>
    </row>
    <row r="137" ht="51.5" spans="1:56">
      <c r="A137" t="str">
        <f>_xlfn.DISPIMG("ID_326E9FDB3B4845F0A5722189EAC9E480",1)</f>
        <v>=DISPIMG("ID_326E9FDB3B4845F0A5722189EAC9E480",1)</v>
      </c>
      <c r="B137" t="s">
        <v>1226</v>
      </c>
      <c r="C137" t="s">
        <v>1226</v>
      </c>
      <c r="D137" t="s">
        <v>65</v>
      </c>
      <c r="E137" t="s">
        <v>1227</v>
      </c>
      <c r="F137" t="s">
        <v>1228</v>
      </c>
      <c r="G137" t="s">
        <v>1229</v>
      </c>
      <c r="H137" t="s">
        <v>1230</v>
      </c>
      <c r="I137" t="s">
        <v>1231</v>
      </c>
      <c r="J137" t="s">
        <v>893</v>
      </c>
      <c r="K137" t="s">
        <v>850</v>
      </c>
      <c r="L137" t="s">
        <v>851</v>
      </c>
      <c r="M137">
        <v>5110</v>
      </c>
      <c r="N137" t="s">
        <v>852</v>
      </c>
      <c r="O137" t="s">
        <v>1232</v>
      </c>
      <c r="P137" t="s">
        <v>2852</v>
      </c>
      <c r="Q137">
        <v>16</v>
      </c>
      <c r="R137" t="s">
        <v>2935</v>
      </c>
      <c r="S137">
        <v>15.136</v>
      </c>
      <c r="T137" t="s">
        <v>2936</v>
      </c>
      <c r="U137" t="s">
        <v>2835</v>
      </c>
      <c r="V137" t="s">
        <v>2836</v>
      </c>
      <c r="W137" t="s">
        <v>2843</v>
      </c>
      <c r="X137" t="s">
        <v>2874</v>
      </c>
      <c r="Y137" t="s">
        <v>2829</v>
      </c>
      <c r="Z137" t="s">
        <v>2817</v>
      </c>
      <c r="AA137" t="s">
        <v>2816</v>
      </c>
      <c r="AB137" t="s">
        <v>2816</v>
      </c>
      <c r="AC137" t="s">
        <v>2863</v>
      </c>
      <c r="AD137" t="s">
        <v>2896</v>
      </c>
      <c r="AE137" t="s">
        <v>2937</v>
      </c>
      <c r="AF137" t="s">
        <v>2821</v>
      </c>
      <c r="AG137" t="s">
        <v>2822</v>
      </c>
      <c r="AH137" t="s">
        <v>2823</v>
      </c>
      <c r="AI137">
        <v>1</v>
      </c>
      <c r="AJ137">
        <v>1381</v>
      </c>
      <c r="AK137">
        <v>170097.77</v>
      </c>
      <c r="AL137">
        <v>123.17</v>
      </c>
      <c r="AM137">
        <v>0.6789</v>
      </c>
      <c r="AN137">
        <v>21.07</v>
      </c>
      <c r="AO137">
        <v>4.6</v>
      </c>
      <c r="AP137">
        <v>5601</v>
      </c>
      <c r="AQ137">
        <v>0.0311</v>
      </c>
      <c r="AR137">
        <v>43</v>
      </c>
      <c r="AT137" t="s">
        <v>854</v>
      </c>
      <c r="AU137" t="s">
        <v>1233</v>
      </c>
      <c r="AV137">
        <v>1567</v>
      </c>
      <c r="AW137">
        <v>1</v>
      </c>
      <c r="AX137">
        <v>17</v>
      </c>
      <c r="AY137" t="s">
        <v>867</v>
      </c>
      <c r="AZ137" t="s">
        <v>65</v>
      </c>
      <c r="BA137" t="s">
        <v>65</v>
      </c>
      <c r="BB137" t="s">
        <v>856</v>
      </c>
      <c r="BC137" t="s">
        <v>937</v>
      </c>
      <c r="BD137" t="s">
        <v>1234</v>
      </c>
    </row>
    <row r="138" ht="51.5" spans="1:56">
      <c r="A138" t="str">
        <f>_xlfn.DISPIMG("ID_AAE88E8E58E24127872CEF24C45B9937",1)</f>
        <v>=DISPIMG("ID_AAE88E8E58E24127872CEF24C45B9937",1)</v>
      </c>
      <c r="B138" t="s">
        <v>1235</v>
      </c>
      <c r="C138" t="s">
        <v>1235</v>
      </c>
      <c r="D138" t="s">
        <v>65</v>
      </c>
      <c r="E138" t="s">
        <v>1236</v>
      </c>
      <c r="F138" t="s">
        <v>1237</v>
      </c>
      <c r="G138" t="s">
        <v>1238</v>
      </c>
      <c r="H138" t="s">
        <v>1239</v>
      </c>
      <c r="I138" t="s">
        <v>1240</v>
      </c>
      <c r="J138" t="s">
        <v>923</v>
      </c>
      <c r="K138" t="s">
        <v>850</v>
      </c>
      <c r="L138" t="s">
        <v>851</v>
      </c>
      <c r="M138">
        <v>6368</v>
      </c>
      <c r="N138" t="s">
        <v>852</v>
      </c>
      <c r="O138" t="s">
        <v>1241</v>
      </c>
      <c r="P138" t="s">
        <v>2852</v>
      </c>
      <c r="Q138">
        <v>17</v>
      </c>
      <c r="R138" t="s">
        <v>2875</v>
      </c>
      <c r="S138">
        <v>16.082</v>
      </c>
      <c r="T138" t="s">
        <v>2876</v>
      </c>
      <c r="U138" t="s">
        <v>2835</v>
      </c>
      <c r="V138" t="s">
        <v>2836</v>
      </c>
      <c r="W138" t="s">
        <v>2938</v>
      </c>
      <c r="X138" t="s">
        <v>2828</v>
      </c>
      <c r="Y138" t="s">
        <v>2815</v>
      </c>
      <c r="Z138" t="s">
        <v>2817</v>
      </c>
      <c r="AA138" t="s">
        <v>2816</v>
      </c>
      <c r="AB138" t="s">
        <v>2816</v>
      </c>
      <c r="AC138" t="s">
        <v>2863</v>
      </c>
      <c r="AD138" t="s">
        <v>2896</v>
      </c>
      <c r="AE138" t="s">
        <v>2939</v>
      </c>
      <c r="AF138" t="s">
        <v>2900</v>
      </c>
      <c r="AG138" t="s">
        <v>2865</v>
      </c>
      <c r="AH138" t="s">
        <v>2823</v>
      </c>
      <c r="AI138">
        <v>1</v>
      </c>
      <c r="AJ138">
        <v>1341</v>
      </c>
      <c r="AK138">
        <v>107266.586</v>
      </c>
      <c r="AL138">
        <v>79.99</v>
      </c>
      <c r="AM138">
        <v>0.5761</v>
      </c>
      <c r="AN138">
        <v>21.91</v>
      </c>
      <c r="AO138">
        <v>4.3</v>
      </c>
      <c r="AP138">
        <v>1421</v>
      </c>
      <c r="AQ138">
        <v>0.0388</v>
      </c>
      <c r="AR138">
        <v>52</v>
      </c>
      <c r="AT138" t="s">
        <v>854</v>
      </c>
      <c r="AU138" t="s">
        <v>1242</v>
      </c>
      <c r="AV138">
        <v>847</v>
      </c>
      <c r="AW138">
        <v>1</v>
      </c>
      <c r="AX138">
        <v>2</v>
      </c>
      <c r="AY138" t="s">
        <v>65</v>
      </c>
      <c r="AZ138" t="s">
        <v>65</v>
      </c>
      <c r="BA138" t="s">
        <v>65</v>
      </c>
      <c r="BB138" t="s">
        <v>856</v>
      </c>
      <c r="BC138" t="s">
        <v>868</v>
      </c>
      <c r="BD138" t="s">
        <v>1243</v>
      </c>
    </row>
    <row r="139" ht="51.5" spans="1:56">
      <c r="A139" t="str">
        <f>_xlfn.DISPIMG("ID_EC8F5E1D8B5E43A7A8E6C0EC276E9523",1)</f>
        <v>=DISPIMG("ID_EC8F5E1D8B5E43A7A8E6C0EC276E9523",1)</v>
      </c>
      <c r="B139" t="s">
        <v>1244</v>
      </c>
      <c r="C139" t="s">
        <v>1244</v>
      </c>
      <c r="D139" t="s">
        <v>65</v>
      </c>
      <c r="E139" t="s">
        <v>1245</v>
      </c>
      <c r="F139" t="s">
        <v>1246</v>
      </c>
      <c r="G139" t="s">
        <v>1247</v>
      </c>
      <c r="H139" t="s">
        <v>1248</v>
      </c>
      <c r="I139" t="s">
        <v>1249</v>
      </c>
      <c r="J139" t="s">
        <v>974</v>
      </c>
      <c r="K139" t="s">
        <v>850</v>
      </c>
      <c r="L139" t="s">
        <v>851</v>
      </c>
      <c r="M139">
        <v>4417</v>
      </c>
      <c r="N139" t="s">
        <v>852</v>
      </c>
      <c r="O139" t="s">
        <v>1250</v>
      </c>
      <c r="P139" t="s">
        <v>2809</v>
      </c>
      <c r="Q139">
        <v>10</v>
      </c>
      <c r="R139" t="s">
        <v>2833</v>
      </c>
      <c r="S139">
        <v>9.46</v>
      </c>
      <c r="T139" t="s">
        <v>2834</v>
      </c>
      <c r="U139" t="s">
        <v>2877</v>
      </c>
      <c r="V139" t="s">
        <v>2836</v>
      </c>
      <c r="W139" t="s">
        <v>2938</v>
      </c>
      <c r="X139" t="s">
        <v>2921</v>
      </c>
      <c r="Y139" t="s">
        <v>2829</v>
      </c>
      <c r="Z139" t="s">
        <v>2817</v>
      </c>
      <c r="AA139" t="s">
        <v>2817</v>
      </c>
      <c r="AB139" t="s">
        <v>2817</v>
      </c>
      <c r="AC139" t="s">
        <v>2922</v>
      </c>
      <c r="AD139" t="s">
        <v>2889</v>
      </c>
      <c r="AE139" t="s">
        <v>2871</v>
      </c>
      <c r="AF139" t="s">
        <v>2883</v>
      </c>
      <c r="AG139" t="s">
        <v>2865</v>
      </c>
      <c r="AH139" t="s">
        <v>2940</v>
      </c>
      <c r="AI139">
        <v>1</v>
      </c>
      <c r="AJ139">
        <v>985</v>
      </c>
      <c r="AK139">
        <v>196990.16</v>
      </c>
      <c r="AL139">
        <v>199.99</v>
      </c>
      <c r="AM139">
        <v>0.7677</v>
      </c>
      <c r="AN139">
        <v>16.45</v>
      </c>
      <c r="AO139">
        <v>4.3</v>
      </c>
      <c r="AP139">
        <v>167</v>
      </c>
      <c r="AQ139">
        <v>0</v>
      </c>
      <c r="AR139">
        <v>0</v>
      </c>
      <c r="AT139" t="s">
        <v>854</v>
      </c>
      <c r="AU139" t="s">
        <v>1251</v>
      </c>
      <c r="AV139">
        <v>186</v>
      </c>
      <c r="AW139">
        <v>1</v>
      </c>
      <c r="AX139">
        <v>1</v>
      </c>
      <c r="AY139" t="s">
        <v>65</v>
      </c>
      <c r="AZ139" t="s">
        <v>65</v>
      </c>
      <c r="BA139" t="s">
        <v>65</v>
      </c>
      <c r="BB139" t="s">
        <v>856</v>
      </c>
      <c r="BC139" t="s">
        <v>1252</v>
      </c>
      <c r="BD139" t="s">
        <v>1253</v>
      </c>
    </row>
    <row r="140" ht="51.5" spans="1:56">
      <c r="A140" t="str">
        <f>_xlfn.DISPIMG("ID_EFBFC06B2CA34CBEAE3BA64CC3E478CB",1)</f>
        <v>=DISPIMG("ID_EFBFC06B2CA34CBEAE3BA64CC3E478CB",1)</v>
      </c>
      <c r="B140" t="s">
        <v>1254</v>
      </c>
      <c r="C140" t="s">
        <v>1254</v>
      </c>
      <c r="D140" t="s">
        <v>65</v>
      </c>
      <c r="E140" t="s">
        <v>1255</v>
      </c>
      <c r="F140" t="s">
        <v>1256</v>
      </c>
      <c r="G140" t="s">
        <v>1132</v>
      </c>
      <c r="H140" t="s">
        <v>1257</v>
      </c>
      <c r="I140" t="s">
        <v>1258</v>
      </c>
      <c r="J140" t="s">
        <v>65</v>
      </c>
      <c r="K140" t="s">
        <v>850</v>
      </c>
      <c r="L140" t="s">
        <v>851</v>
      </c>
      <c r="M140">
        <v>6767</v>
      </c>
      <c r="N140" t="s">
        <v>852</v>
      </c>
      <c r="O140" t="s">
        <v>1241</v>
      </c>
      <c r="P140" t="s">
        <v>2809</v>
      </c>
      <c r="Q140">
        <v>7</v>
      </c>
      <c r="R140" t="s">
        <v>2941</v>
      </c>
      <c r="S140">
        <v>6.622</v>
      </c>
      <c r="T140" t="s">
        <v>2942</v>
      </c>
      <c r="U140" t="s">
        <v>64</v>
      </c>
      <c r="V140" t="s">
        <v>2812</v>
      </c>
      <c r="W140" t="s">
        <v>2861</v>
      </c>
      <c r="X140" t="s">
        <v>2943</v>
      </c>
      <c r="Y140" t="s">
        <v>2815</v>
      </c>
      <c r="Z140" t="s">
        <v>2816</v>
      </c>
      <c r="AA140" t="s">
        <v>2817</v>
      </c>
      <c r="AB140" t="s">
        <v>2817</v>
      </c>
      <c r="AC140" t="s">
        <v>2944</v>
      </c>
      <c r="AD140" t="s">
        <v>2819</v>
      </c>
      <c r="AE140" t="s">
        <v>2880</v>
      </c>
      <c r="AF140" t="s">
        <v>2821</v>
      </c>
      <c r="AG140" t="s">
        <v>2865</v>
      </c>
      <c r="AH140" t="s">
        <v>2823</v>
      </c>
      <c r="AI140">
        <v>1</v>
      </c>
      <c r="AJ140">
        <v>922</v>
      </c>
      <c r="AK140">
        <v>166697.61</v>
      </c>
      <c r="AL140">
        <v>180.8</v>
      </c>
      <c r="AM140">
        <v>0.7242</v>
      </c>
      <c r="AN140">
        <v>22.75</v>
      </c>
      <c r="AO140">
        <v>4.5</v>
      </c>
      <c r="AP140">
        <v>2574</v>
      </c>
      <c r="AQ140">
        <v>0.0488</v>
      </c>
      <c r="AR140">
        <v>45</v>
      </c>
      <c r="AT140" t="s">
        <v>947</v>
      </c>
      <c r="AU140" t="s">
        <v>1259</v>
      </c>
      <c r="AV140">
        <v>1701</v>
      </c>
      <c r="AW140">
        <v>1</v>
      </c>
      <c r="AX140">
        <v>23</v>
      </c>
      <c r="AY140" t="s">
        <v>65</v>
      </c>
      <c r="AZ140" t="s">
        <v>65</v>
      </c>
      <c r="BA140" t="s">
        <v>65</v>
      </c>
      <c r="BB140" t="s">
        <v>856</v>
      </c>
      <c r="BC140" t="s">
        <v>878</v>
      </c>
      <c r="BD140" t="s">
        <v>1260</v>
      </c>
    </row>
    <row r="141" ht="51.5" spans="1:56">
      <c r="A141" t="str">
        <f>_xlfn.DISPIMG("ID_D74B9A3072A84714B66CE5C87FFCBA80",1)</f>
        <v>=DISPIMG("ID_D74B9A3072A84714B66CE5C87FFCBA80",1)</v>
      </c>
      <c r="B141" t="s">
        <v>1261</v>
      </c>
      <c r="C141" t="s">
        <v>1261</v>
      </c>
      <c r="D141" t="s">
        <v>65</v>
      </c>
      <c r="E141" t="s">
        <v>1262</v>
      </c>
      <c r="F141" t="s">
        <v>1263</v>
      </c>
      <c r="G141" t="s">
        <v>846</v>
      </c>
      <c r="H141" t="s">
        <v>1264</v>
      </c>
      <c r="I141" t="s">
        <v>1265</v>
      </c>
      <c r="J141" t="s">
        <v>934</v>
      </c>
      <c r="K141" t="s">
        <v>850</v>
      </c>
      <c r="L141" t="s">
        <v>851</v>
      </c>
      <c r="M141">
        <v>5911</v>
      </c>
      <c r="N141" t="s">
        <v>852</v>
      </c>
      <c r="O141" t="s">
        <v>1266</v>
      </c>
      <c r="P141" t="s">
        <v>2809</v>
      </c>
      <c r="Q141">
        <v>6.5</v>
      </c>
      <c r="R141" t="s">
        <v>2945</v>
      </c>
      <c r="S141">
        <v>6.149</v>
      </c>
      <c r="T141" t="s">
        <v>2946</v>
      </c>
      <c r="U141" t="s">
        <v>2907</v>
      </c>
      <c r="V141" t="s">
        <v>2812</v>
      </c>
      <c r="W141" t="s">
        <v>2947</v>
      </c>
      <c r="X141" t="s">
        <v>2948</v>
      </c>
      <c r="Y141" t="s">
        <v>2815</v>
      </c>
      <c r="Z141" t="s">
        <v>2816</v>
      </c>
      <c r="AA141" t="s">
        <v>2817</v>
      </c>
      <c r="AB141" t="s">
        <v>2816</v>
      </c>
      <c r="AC141" t="s">
        <v>2818</v>
      </c>
      <c r="AD141" t="s">
        <v>2909</v>
      </c>
      <c r="AE141" t="s">
        <v>2924</v>
      </c>
      <c r="AF141" t="s">
        <v>2900</v>
      </c>
      <c r="AG141" t="s">
        <v>2822</v>
      </c>
      <c r="AH141" t="s">
        <v>2823</v>
      </c>
      <c r="AI141">
        <v>1</v>
      </c>
      <c r="AJ141">
        <v>1815</v>
      </c>
      <c r="AK141">
        <v>326681.88</v>
      </c>
      <c r="AL141">
        <v>179.99</v>
      </c>
      <c r="AM141">
        <v>0.7096</v>
      </c>
      <c r="AN141">
        <v>25.27</v>
      </c>
      <c r="AO141">
        <v>4.8</v>
      </c>
      <c r="AP141">
        <v>2738</v>
      </c>
      <c r="AQ141">
        <v>0.0512</v>
      </c>
      <c r="AR141">
        <v>93</v>
      </c>
      <c r="AT141" t="s">
        <v>1267</v>
      </c>
      <c r="AU141" t="s">
        <v>1268</v>
      </c>
      <c r="AV141">
        <v>896</v>
      </c>
      <c r="AW141">
        <v>1</v>
      </c>
      <c r="AX141">
        <v>4</v>
      </c>
      <c r="AY141" t="s">
        <v>867</v>
      </c>
      <c r="AZ141" t="s">
        <v>65</v>
      </c>
      <c r="BA141" t="s">
        <v>65</v>
      </c>
      <c r="BB141" t="s">
        <v>856</v>
      </c>
      <c r="BC141" t="s">
        <v>1269</v>
      </c>
      <c r="BD141" t="s">
        <v>1270</v>
      </c>
    </row>
    <row r="142" ht="51.5" spans="1:56">
      <c r="A142" t="str">
        <f>_xlfn.DISPIMG("ID_C4420D497CEE439CB44B54C9CDCD1365",1)</f>
        <v>=DISPIMG("ID_C4420D497CEE439CB44B54C9CDCD1365",1)</v>
      </c>
      <c r="B142" t="s">
        <v>705</v>
      </c>
      <c r="C142" t="s">
        <v>705</v>
      </c>
      <c r="D142" t="s">
        <v>65</v>
      </c>
      <c r="E142" t="s">
        <v>1271</v>
      </c>
      <c r="F142" t="s">
        <v>1272</v>
      </c>
      <c r="G142" t="s">
        <v>1059</v>
      </c>
      <c r="H142" t="s">
        <v>1273</v>
      </c>
      <c r="I142" t="s">
        <v>1274</v>
      </c>
      <c r="J142" t="s">
        <v>974</v>
      </c>
      <c r="K142" t="s">
        <v>850</v>
      </c>
      <c r="L142" t="s">
        <v>851</v>
      </c>
      <c r="M142">
        <v>5206</v>
      </c>
      <c r="N142" t="s">
        <v>852</v>
      </c>
      <c r="O142" t="s">
        <v>1275</v>
      </c>
      <c r="P142" t="s">
        <v>2809</v>
      </c>
      <c r="Q142">
        <v>2</v>
      </c>
      <c r="R142" t="s">
        <v>2914</v>
      </c>
      <c r="S142">
        <v>1.892</v>
      </c>
      <c r="T142" t="s">
        <v>2915</v>
      </c>
      <c r="U142" t="s">
        <v>64</v>
      </c>
      <c r="V142" t="s">
        <v>2812</v>
      </c>
      <c r="W142" t="s">
        <v>2861</v>
      </c>
      <c r="X142" t="s">
        <v>2862</v>
      </c>
      <c r="Y142" t="s">
        <v>2949</v>
      </c>
      <c r="Z142" t="s">
        <v>2816</v>
      </c>
      <c r="AA142" t="s">
        <v>2816</v>
      </c>
      <c r="AB142" t="s">
        <v>2816</v>
      </c>
      <c r="AC142" t="s">
        <v>2863</v>
      </c>
      <c r="AD142" t="s">
        <v>2819</v>
      </c>
      <c r="AE142" t="s">
        <v>2916</v>
      </c>
      <c r="AF142" t="s">
        <v>2821</v>
      </c>
      <c r="AG142" t="s">
        <v>2822</v>
      </c>
      <c r="AH142" t="s">
        <v>2823</v>
      </c>
      <c r="AI142">
        <v>1</v>
      </c>
      <c r="AJ142">
        <v>837</v>
      </c>
      <c r="AK142">
        <v>40644.723</v>
      </c>
      <c r="AL142">
        <v>48.56</v>
      </c>
      <c r="AM142">
        <v>0.5545</v>
      </c>
      <c r="AN142">
        <v>14.35</v>
      </c>
      <c r="AO142">
        <v>4.6</v>
      </c>
      <c r="AP142">
        <v>17288</v>
      </c>
      <c r="AQ142">
        <v>0.1649</v>
      </c>
      <c r="AR142">
        <v>138</v>
      </c>
      <c r="AS142">
        <v>26</v>
      </c>
      <c r="AT142" t="s">
        <v>876</v>
      </c>
      <c r="AU142" t="s">
        <v>1276</v>
      </c>
      <c r="AV142">
        <v>1459</v>
      </c>
      <c r="AW142">
        <v>1</v>
      </c>
      <c r="AX142">
        <v>8</v>
      </c>
      <c r="AY142" t="s">
        <v>867</v>
      </c>
      <c r="AZ142" t="s">
        <v>65</v>
      </c>
      <c r="BA142" t="s">
        <v>65</v>
      </c>
      <c r="BB142" t="s">
        <v>856</v>
      </c>
      <c r="BC142" t="s">
        <v>1277</v>
      </c>
      <c r="BD142" t="s">
        <v>1278</v>
      </c>
    </row>
    <row r="143" ht="51.5" spans="1:56">
      <c r="A143" t="str">
        <f>_xlfn.DISPIMG("ID_5EF4F8B41D6F4D8D941029966DCF7200",1)</f>
        <v>=DISPIMG("ID_5EF4F8B41D6F4D8D941029966DCF7200",1)</v>
      </c>
      <c r="B143" t="s">
        <v>1279</v>
      </c>
      <c r="C143" t="s">
        <v>1279</v>
      </c>
      <c r="D143" t="s">
        <v>65</v>
      </c>
      <c r="E143" t="s">
        <v>1280</v>
      </c>
      <c r="F143" t="s">
        <v>1281</v>
      </c>
      <c r="G143" t="s">
        <v>1282</v>
      </c>
      <c r="H143" t="s">
        <v>1283</v>
      </c>
      <c r="I143" t="s">
        <v>1284</v>
      </c>
      <c r="J143" t="s">
        <v>934</v>
      </c>
      <c r="K143" t="s">
        <v>850</v>
      </c>
      <c r="L143" t="s">
        <v>851</v>
      </c>
      <c r="M143">
        <v>7484</v>
      </c>
      <c r="N143" t="s">
        <v>852</v>
      </c>
      <c r="O143" t="s">
        <v>1285</v>
      </c>
      <c r="P143" t="s">
        <v>2809</v>
      </c>
      <c r="Q143">
        <v>4.2</v>
      </c>
      <c r="R143" t="s">
        <v>2926</v>
      </c>
      <c r="S143">
        <v>3.9732</v>
      </c>
      <c r="T143" t="s">
        <v>2927</v>
      </c>
      <c r="U143" t="s">
        <v>64</v>
      </c>
      <c r="V143" t="s">
        <v>2812</v>
      </c>
      <c r="W143" t="s">
        <v>2843</v>
      </c>
      <c r="X143" t="s">
        <v>2950</v>
      </c>
      <c r="Y143" t="s">
        <v>2815</v>
      </c>
      <c r="Z143" t="s">
        <v>2816</v>
      </c>
      <c r="AA143" t="s">
        <v>2816</v>
      </c>
      <c r="AB143" t="s">
        <v>2816</v>
      </c>
      <c r="AC143" t="s">
        <v>2863</v>
      </c>
      <c r="AD143" t="s">
        <v>2819</v>
      </c>
      <c r="AE143" t="s">
        <v>2916</v>
      </c>
      <c r="AF143" t="s">
        <v>2867</v>
      </c>
      <c r="AG143" t="s">
        <v>2865</v>
      </c>
      <c r="AH143" t="s">
        <v>2940</v>
      </c>
      <c r="AI143">
        <v>1</v>
      </c>
      <c r="AJ143">
        <v>1962</v>
      </c>
      <c r="AK143">
        <v>88074.18</v>
      </c>
      <c r="AL143">
        <v>44.89</v>
      </c>
      <c r="AM143">
        <v>0.5023</v>
      </c>
      <c r="AN143">
        <v>15.61</v>
      </c>
      <c r="AO143">
        <v>4.3</v>
      </c>
      <c r="AP143">
        <v>274</v>
      </c>
      <c r="AQ143">
        <v>0.0311</v>
      </c>
      <c r="AR143">
        <v>61</v>
      </c>
      <c r="AT143" t="s">
        <v>854</v>
      </c>
      <c r="AU143" t="s">
        <v>1286</v>
      </c>
      <c r="AV143">
        <v>385</v>
      </c>
      <c r="AW143">
        <v>1</v>
      </c>
      <c r="AX143">
        <v>1</v>
      </c>
      <c r="AY143" t="s">
        <v>1287</v>
      </c>
      <c r="AZ143" t="s">
        <v>1288</v>
      </c>
      <c r="BA143" t="s">
        <v>1289</v>
      </c>
      <c r="BB143" t="s">
        <v>856</v>
      </c>
      <c r="BC143" t="s">
        <v>1290</v>
      </c>
      <c r="BD143" t="s">
        <v>1291</v>
      </c>
    </row>
    <row r="144" ht="51.5" spans="1:56">
      <c r="A144" t="str">
        <f>_xlfn.DISPIMG("ID_14E7B489EDAE46A0A68C009239BF162A",1)</f>
        <v>=DISPIMG("ID_14E7B489EDAE46A0A68C009239BF162A",1)</v>
      </c>
      <c r="B144" t="s">
        <v>286</v>
      </c>
      <c r="C144" t="s">
        <v>286</v>
      </c>
      <c r="D144" t="s">
        <v>65</v>
      </c>
      <c r="E144" t="s">
        <v>1292</v>
      </c>
      <c r="F144" t="s">
        <v>1293</v>
      </c>
      <c r="G144" t="s">
        <v>861</v>
      </c>
      <c r="H144" t="s">
        <v>1294</v>
      </c>
      <c r="I144" t="s">
        <v>1295</v>
      </c>
      <c r="J144" t="s">
        <v>849</v>
      </c>
      <c r="K144" t="s">
        <v>850</v>
      </c>
      <c r="L144" t="s">
        <v>851</v>
      </c>
      <c r="M144">
        <v>4518</v>
      </c>
      <c r="N144" t="s">
        <v>852</v>
      </c>
      <c r="O144" t="s">
        <v>1296</v>
      </c>
      <c r="P144" t="s">
        <v>2809</v>
      </c>
      <c r="Q144">
        <v>26.4</v>
      </c>
      <c r="R144" t="s">
        <v>2897</v>
      </c>
      <c r="S144">
        <v>24.9744</v>
      </c>
      <c r="T144" t="s">
        <v>2898</v>
      </c>
      <c r="U144" t="s">
        <v>2877</v>
      </c>
      <c r="V144" t="s">
        <v>2836</v>
      </c>
      <c r="W144" t="s">
        <v>2849</v>
      </c>
      <c r="X144" t="s">
        <v>2874</v>
      </c>
      <c r="Y144" t="s">
        <v>2829</v>
      </c>
      <c r="Z144" t="s">
        <v>2817</v>
      </c>
      <c r="AA144" t="s">
        <v>2817</v>
      </c>
      <c r="AB144" t="s">
        <v>2817</v>
      </c>
      <c r="AC144" t="s">
        <v>2951</v>
      </c>
      <c r="AD144" t="s">
        <v>2889</v>
      </c>
      <c r="AE144" t="s">
        <v>2887</v>
      </c>
      <c r="AF144" t="s">
        <v>2900</v>
      </c>
      <c r="AG144" t="s">
        <v>2822</v>
      </c>
      <c r="AH144" t="s">
        <v>2823</v>
      </c>
      <c r="AI144">
        <v>1</v>
      </c>
      <c r="AJ144">
        <v>1850</v>
      </c>
      <c r="AK144">
        <v>277481.5</v>
      </c>
      <c r="AL144">
        <v>149.99</v>
      </c>
      <c r="AM144">
        <v>0.6283</v>
      </c>
      <c r="AN144">
        <v>33.25</v>
      </c>
      <c r="AO144">
        <v>4.6</v>
      </c>
      <c r="AP144">
        <v>5162</v>
      </c>
      <c r="AQ144">
        <v>0.2941</v>
      </c>
      <c r="AR144">
        <v>544</v>
      </c>
      <c r="AS144">
        <v>427</v>
      </c>
      <c r="AT144" t="s">
        <v>947</v>
      </c>
      <c r="AU144" t="s">
        <v>1297</v>
      </c>
      <c r="AV144">
        <v>856</v>
      </c>
      <c r="AW144">
        <v>1</v>
      </c>
      <c r="AX144">
        <v>1</v>
      </c>
      <c r="AY144" t="s">
        <v>65</v>
      </c>
      <c r="AZ144" t="s">
        <v>65</v>
      </c>
      <c r="BA144" t="s">
        <v>65</v>
      </c>
      <c r="BB144" t="s">
        <v>856</v>
      </c>
      <c r="BC144" t="s">
        <v>1298</v>
      </c>
      <c r="BD144" t="s">
        <v>1055</v>
      </c>
    </row>
    <row r="145" ht="51.5" spans="1:56">
      <c r="A145" t="str">
        <f>_xlfn.DISPIMG("ID_FFEEF59C9E28452A81B58E12345A3D91",1)</f>
        <v>=DISPIMG("ID_FFEEF59C9E28452A81B58E12345A3D91",1)</v>
      </c>
      <c r="B145" t="s">
        <v>1299</v>
      </c>
      <c r="C145" t="s">
        <v>1299</v>
      </c>
      <c r="D145" t="s">
        <v>65</v>
      </c>
      <c r="E145" t="s">
        <v>1300</v>
      </c>
      <c r="F145" t="s">
        <v>1301</v>
      </c>
      <c r="G145" t="s">
        <v>1302</v>
      </c>
      <c r="H145" t="s">
        <v>1303</v>
      </c>
      <c r="I145" t="s">
        <v>1304</v>
      </c>
      <c r="J145" t="s">
        <v>934</v>
      </c>
      <c r="K145" t="s">
        <v>850</v>
      </c>
      <c r="L145" t="s">
        <v>851</v>
      </c>
      <c r="M145">
        <v>4762</v>
      </c>
      <c r="N145" t="s">
        <v>852</v>
      </c>
      <c r="O145" t="s">
        <v>1305</v>
      </c>
      <c r="P145" t="s">
        <v>2852</v>
      </c>
      <c r="Q145">
        <v>7</v>
      </c>
      <c r="R145" t="s">
        <v>2941</v>
      </c>
      <c r="S145">
        <v>6.622</v>
      </c>
      <c r="T145" t="s">
        <v>2942</v>
      </c>
      <c r="U145" t="s">
        <v>64</v>
      </c>
      <c r="V145" t="s">
        <v>2812</v>
      </c>
      <c r="W145" t="s">
        <v>2849</v>
      </c>
      <c r="X145" t="s">
        <v>2844</v>
      </c>
      <c r="Y145" t="s">
        <v>2815</v>
      </c>
      <c r="Z145" t="s">
        <v>2816</v>
      </c>
      <c r="AA145" t="s">
        <v>2817</v>
      </c>
      <c r="AB145" t="s">
        <v>2816</v>
      </c>
      <c r="AC145" t="s">
        <v>2818</v>
      </c>
      <c r="AD145" t="s">
        <v>2819</v>
      </c>
      <c r="AE145" t="s">
        <v>2939</v>
      </c>
      <c r="AF145" t="s">
        <v>2831</v>
      </c>
      <c r="AG145" t="s">
        <v>2822</v>
      </c>
      <c r="AH145" t="s">
        <v>2823</v>
      </c>
      <c r="AI145">
        <v>1</v>
      </c>
      <c r="AJ145">
        <v>1583</v>
      </c>
      <c r="AK145">
        <v>126624.164</v>
      </c>
      <c r="AL145">
        <v>79.99</v>
      </c>
      <c r="AM145">
        <v>0.5919</v>
      </c>
      <c r="AN145">
        <v>20.65</v>
      </c>
      <c r="AO145">
        <v>4.7</v>
      </c>
      <c r="AP145">
        <v>2411</v>
      </c>
      <c r="AQ145">
        <v>0.0537</v>
      </c>
      <c r="AR145">
        <v>85</v>
      </c>
      <c r="AT145" t="s">
        <v>876</v>
      </c>
      <c r="AU145" t="s">
        <v>1306</v>
      </c>
      <c r="AV145">
        <v>710</v>
      </c>
      <c r="AW145">
        <v>1</v>
      </c>
      <c r="AX145">
        <v>15</v>
      </c>
      <c r="AY145" t="s">
        <v>1307</v>
      </c>
      <c r="AZ145" t="s">
        <v>65</v>
      </c>
      <c r="BA145" t="s">
        <v>1308</v>
      </c>
      <c r="BB145" t="s">
        <v>856</v>
      </c>
      <c r="BC145" t="s">
        <v>1309</v>
      </c>
      <c r="BD145" t="s">
        <v>1310</v>
      </c>
    </row>
    <row r="146" ht="51.5" spans="1:56">
      <c r="A146" t="str">
        <f>_xlfn.DISPIMG("ID_8B9E104DF27F4DD8830F9911E91369FC",1)</f>
        <v>=DISPIMG("ID_8B9E104DF27F4DD8830F9911E91369FC",1)</v>
      </c>
      <c r="B146" t="s">
        <v>1320</v>
      </c>
      <c r="C146" t="s">
        <v>1320</v>
      </c>
      <c r="D146" t="s">
        <v>65</v>
      </c>
      <c r="E146" t="s">
        <v>1321</v>
      </c>
      <c r="F146" t="s">
        <v>1322</v>
      </c>
      <c r="G146" t="s">
        <v>1323</v>
      </c>
      <c r="H146" t="s">
        <v>1324</v>
      </c>
      <c r="I146" t="s">
        <v>1325</v>
      </c>
      <c r="J146" t="s">
        <v>849</v>
      </c>
      <c r="K146" t="s">
        <v>1326</v>
      </c>
      <c r="L146" t="s">
        <v>851</v>
      </c>
      <c r="M146">
        <v>6666</v>
      </c>
      <c r="N146" t="s">
        <v>1327</v>
      </c>
      <c r="O146" t="s">
        <v>1328</v>
      </c>
      <c r="P146" t="s">
        <v>2852</v>
      </c>
      <c r="Q146">
        <v>17</v>
      </c>
      <c r="R146" t="s">
        <v>2875</v>
      </c>
      <c r="S146">
        <v>16.082</v>
      </c>
      <c r="T146" t="s">
        <v>2876</v>
      </c>
      <c r="U146" t="s">
        <v>2877</v>
      </c>
      <c r="V146" t="s">
        <v>2836</v>
      </c>
      <c r="W146" t="s">
        <v>2938</v>
      </c>
      <c r="X146" t="s">
        <v>2874</v>
      </c>
      <c r="Y146" t="s">
        <v>2829</v>
      </c>
      <c r="Z146" t="s">
        <v>2817</v>
      </c>
      <c r="AA146" t="s">
        <v>2817</v>
      </c>
      <c r="AB146" t="s">
        <v>2816</v>
      </c>
      <c r="AC146" t="s">
        <v>2912</v>
      </c>
      <c r="AD146" t="s">
        <v>2896</v>
      </c>
      <c r="AE146" t="s">
        <v>2830</v>
      </c>
      <c r="AF146" t="s">
        <v>2883</v>
      </c>
      <c r="AG146" t="s">
        <v>2865</v>
      </c>
      <c r="AH146" t="s">
        <v>2823</v>
      </c>
      <c r="AI146">
        <v>1</v>
      </c>
      <c r="AJ146">
        <v>936</v>
      </c>
      <c r="AK146">
        <v>93590.64</v>
      </c>
      <c r="AL146">
        <v>99.99</v>
      </c>
      <c r="AM146">
        <v>0.5259</v>
      </c>
      <c r="AN146">
        <v>32.41</v>
      </c>
      <c r="AO146">
        <v>4.4</v>
      </c>
      <c r="AP146">
        <v>1109</v>
      </c>
      <c r="AQ146">
        <v>0.0342</v>
      </c>
      <c r="AR146">
        <v>32</v>
      </c>
      <c r="AT146" t="s">
        <v>854</v>
      </c>
      <c r="AU146" t="s">
        <v>1329</v>
      </c>
      <c r="AV146">
        <v>348</v>
      </c>
      <c r="AW146">
        <v>1</v>
      </c>
      <c r="AX146">
        <v>3</v>
      </c>
      <c r="AY146" t="s">
        <v>1330</v>
      </c>
      <c r="AZ146" t="s">
        <v>65</v>
      </c>
      <c r="BA146" t="s">
        <v>1331</v>
      </c>
      <c r="BB146" t="s">
        <v>856</v>
      </c>
      <c r="BC146" t="s">
        <v>1332</v>
      </c>
      <c r="BD146" t="s">
        <v>1333</v>
      </c>
    </row>
    <row r="147" ht="51.5" spans="1:56">
      <c r="A147" t="str">
        <f>_xlfn.DISPIMG("ID_1DC3B922AC8C44E1AED1D10E68582928",1)</f>
        <v>=DISPIMG("ID_1DC3B922AC8C44E1AED1D10E68582928",1)</v>
      </c>
      <c r="B147" t="s">
        <v>1334</v>
      </c>
      <c r="C147" t="s">
        <v>1334</v>
      </c>
      <c r="D147" t="s">
        <v>65</v>
      </c>
      <c r="E147" t="s">
        <v>1335</v>
      </c>
      <c r="F147" t="s">
        <v>1336</v>
      </c>
      <c r="G147" t="s">
        <v>861</v>
      </c>
      <c r="H147" t="s">
        <v>1337</v>
      </c>
      <c r="I147" t="s">
        <v>1338</v>
      </c>
      <c r="J147" t="s">
        <v>864</v>
      </c>
      <c r="K147" t="s">
        <v>850</v>
      </c>
      <c r="L147" t="s">
        <v>851</v>
      </c>
      <c r="M147">
        <v>6184</v>
      </c>
      <c r="N147" t="s">
        <v>1339</v>
      </c>
      <c r="O147" t="s">
        <v>1340</v>
      </c>
      <c r="P147" t="s">
        <v>2852</v>
      </c>
      <c r="Q147">
        <v>30</v>
      </c>
      <c r="R147" t="s">
        <v>2952</v>
      </c>
      <c r="S147">
        <v>28.38</v>
      </c>
      <c r="T147" t="s">
        <v>2953</v>
      </c>
      <c r="U147" t="s">
        <v>2877</v>
      </c>
      <c r="V147" t="s">
        <v>2836</v>
      </c>
      <c r="W147" t="s">
        <v>2849</v>
      </c>
      <c r="X147" t="s">
        <v>2874</v>
      </c>
      <c r="Y147" t="s">
        <v>2829</v>
      </c>
      <c r="Z147" t="s">
        <v>2817</v>
      </c>
      <c r="AA147" t="s">
        <v>2817</v>
      </c>
      <c r="AB147" t="s">
        <v>2816</v>
      </c>
      <c r="AC147" t="s">
        <v>2912</v>
      </c>
      <c r="AD147" t="s">
        <v>2896</v>
      </c>
      <c r="AE147" t="s">
        <v>2880</v>
      </c>
      <c r="AF147" t="s">
        <v>2821</v>
      </c>
      <c r="AG147" t="s">
        <v>2865</v>
      </c>
      <c r="AH147" t="s">
        <v>2823</v>
      </c>
      <c r="AI147">
        <v>1</v>
      </c>
      <c r="AJ147">
        <v>1895</v>
      </c>
      <c r="AK147">
        <v>360031.06</v>
      </c>
      <c r="AL147">
        <v>189.99</v>
      </c>
      <c r="AM147">
        <v>0.6772</v>
      </c>
      <c r="AN147">
        <v>32.83</v>
      </c>
      <c r="AO147">
        <v>4.5</v>
      </c>
      <c r="AP147">
        <v>10554</v>
      </c>
      <c r="AQ147">
        <v>0.0686</v>
      </c>
      <c r="AR147">
        <v>130</v>
      </c>
      <c r="AT147" t="s">
        <v>854</v>
      </c>
      <c r="AU147" t="s">
        <v>1341</v>
      </c>
      <c r="AV147">
        <v>1303</v>
      </c>
      <c r="AW147">
        <v>1</v>
      </c>
      <c r="AX147">
        <v>3</v>
      </c>
      <c r="AY147" t="s">
        <v>867</v>
      </c>
      <c r="AZ147" t="s">
        <v>65</v>
      </c>
      <c r="BA147" t="s">
        <v>65</v>
      </c>
      <c r="BB147" t="s">
        <v>856</v>
      </c>
      <c r="BC147" t="s">
        <v>1342</v>
      </c>
      <c r="BD147" t="s">
        <v>1343</v>
      </c>
    </row>
    <row r="148" ht="51.5" spans="1:56">
      <c r="A148" t="str">
        <f>_xlfn.DISPIMG("ID_14C66A68CCD44D66B23E9F77B6546631",1)</f>
        <v>=DISPIMG("ID_14C66A68CCD44D66B23E9F77B6546631",1)</v>
      </c>
      <c r="B148" t="s">
        <v>1344</v>
      </c>
      <c r="C148" t="s">
        <v>1344</v>
      </c>
      <c r="D148" t="s">
        <v>65</v>
      </c>
      <c r="E148" t="s">
        <v>1345</v>
      </c>
      <c r="F148" t="s">
        <v>1346</v>
      </c>
      <c r="G148" t="s">
        <v>1173</v>
      </c>
      <c r="H148" t="s">
        <v>1347</v>
      </c>
      <c r="I148" t="s">
        <v>1348</v>
      </c>
      <c r="J148" t="s">
        <v>934</v>
      </c>
      <c r="K148" t="s">
        <v>850</v>
      </c>
      <c r="L148" t="s">
        <v>851</v>
      </c>
      <c r="M148">
        <v>6281</v>
      </c>
      <c r="N148" t="s">
        <v>852</v>
      </c>
      <c r="O148" t="s">
        <v>1349</v>
      </c>
      <c r="P148" t="s">
        <v>2809</v>
      </c>
      <c r="Q148">
        <v>7</v>
      </c>
      <c r="R148" t="s">
        <v>2941</v>
      </c>
      <c r="S148">
        <v>6.622</v>
      </c>
      <c r="T148" t="s">
        <v>2942</v>
      </c>
      <c r="U148" t="s">
        <v>64</v>
      </c>
      <c r="V148" t="s">
        <v>2812</v>
      </c>
      <c r="W148" t="s">
        <v>2878</v>
      </c>
      <c r="X148" t="s">
        <v>2844</v>
      </c>
      <c r="Y148" t="s">
        <v>2815</v>
      </c>
      <c r="Z148" t="s">
        <v>2816</v>
      </c>
      <c r="AA148" t="s">
        <v>2817</v>
      </c>
      <c r="AB148" t="s">
        <v>2816</v>
      </c>
      <c r="AC148" t="s">
        <v>2818</v>
      </c>
      <c r="AD148" t="s">
        <v>2819</v>
      </c>
      <c r="AE148" t="s">
        <v>2906</v>
      </c>
      <c r="AF148" t="s">
        <v>2821</v>
      </c>
      <c r="AG148" t="s">
        <v>2822</v>
      </c>
      <c r="AH148" t="s">
        <v>2823</v>
      </c>
      <c r="AI148">
        <v>1</v>
      </c>
      <c r="AJ148">
        <v>1535</v>
      </c>
      <c r="AK148">
        <v>184184.64</v>
      </c>
      <c r="AL148">
        <v>119.99</v>
      </c>
      <c r="AM148">
        <v>0.6814</v>
      </c>
      <c r="AN148">
        <v>20.23</v>
      </c>
      <c r="AO148">
        <v>4.7</v>
      </c>
      <c r="AP148">
        <v>15447</v>
      </c>
      <c r="AQ148">
        <v>0.058</v>
      </c>
      <c r="AR148">
        <v>89</v>
      </c>
      <c r="AT148" t="s">
        <v>876</v>
      </c>
      <c r="AU148" t="s">
        <v>1350</v>
      </c>
      <c r="AV148">
        <v>1242</v>
      </c>
      <c r="AW148">
        <v>1</v>
      </c>
      <c r="AX148">
        <v>1</v>
      </c>
      <c r="AY148" t="s">
        <v>867</v>
      </c>
      <c r="AZ148" t="s">
        <v>65</v>
      </c>
      <c r="BA148" t="s">
        <v>65</v>
      </c>
      <c r="BB148" t="s">
        <v>856</v>
      </c>
      <c r="BC148" t="s">
        <v>1351</v>
      </c>
      <c r="BD148" t="s">
        <v>1352</v>
      </c>
    </row>
    <row r="149" ht="51.5" spans="1:56">
      <c r="A149" t="str">
        <f>_xlfn.DISPIMG("ID_A5C88BD34EDF4F8F84ED339150119AA7",1)</f>
        <v>=DISPIMG("ID_A5C88BD34EDF4F8F84ED339150119AA7",1)</v>
      </c>
      <c r="B149" t="s">
        <v>1353</v>
      </c>
      <c r="C149" t="s">
        <v>1353</v>
      </c>
      <c r="D149" t="s">
        <v>65</v>
      </c>
      <c r="E149" t="s">
        <v>1354</v>
      </c>
      <c r="F149" t="s">
        <v>1355</v>
      </c>
      <c r="G149" t="s">
        <v>971</v>
      </c>
      <c r="H149" t="s">
        <v>1356</v>
      </c>
      <c r="I149" t="s">
        <v>1357</v>
      </c>
      <c r="J149" t="s">
        <v>974</v>
      </c>
      <c r="K149" t="s">
        <v>850</v>
      </c>
      <c r="L149" t="s">
        <v>851</v>
      </c>
      <c r="M149">
        <v>6440</v>
      </c>
      <c r="N149" t="s">
        <v>852</v>
      </c>
      <c r="O149" t="s">
        <v>1358</v>
      </c>
      <c r="P149" t="s">
        <v>2809</v>
      </c>
      <c r="Q149">
        <v>8</v>
      </c>
      <c r="R149" t="s">
        <v>2869</v>
      </c>
      <c r="S149">
        <v>7.568</v>
      </c>
      <c r="T149" t="s">
        <v>2870</v>
      </c>
      <c r="U149" t="s">
        <v>64</v>
      </c>
      <c r="V149" t="s">
        <v>2812</v>
      </c>
      <c r="W149" t="s">
        <v>2894</v>
      </c>
      <c r="X149" t="s">
        <v>2874</v>
      </c>
      <c r="Y149" t="s">
        <v>2815</v>
      </c>
      <c r="Z149" t="s">
        <v>2816</v>
      </c>
      <c r="AA149" t="s">
        <v>2817</v>
      </c>
      <c r="AB149" t="s">
        <v>2817</v>
      </c>
      <c r="AC149" t="s">
        <v>2922</v>
      </c>
      <c r="AD149" t="s">
        <v>2850</v>
      </c>
      <c r="AE149" t="s">
        <v>2840</v>
      </c>
      <c r="AF149" t="s">
        <v>2851</v>
      </c>
      <c r="AG149" t="s">
        <v>2865</v>
      </c>
      <c r="AH149" t="s">
        <v>2823</v>
      </c>
      <c r="AI149">
        <v>1</v>
      </c>
      <c r="AJ149">
        <v>1712</v>
      </c>
      <c r="AK149">
        <v>178048</v>
      </c>
      <c r="AL149">
        <v>104</v>
      </c>
      <c r="AM149">
        <v>0.6555</v>
      </c>
      <c r="AN149">
        <v>20.23</v>
      </c>
      <c r="AO149">
        <v>4.5</v>
      </c>
      <c r="AP149">
        <v>7450</v>
      </c>
      <c r="AQ149">
        <v>0.0567</v>
      </c>
      <c r="AR149">
        <v>97</v>
      </c>
      <c r="AT149" t="s">
        <v>947</v>
      </c>
      <c r="AU149" t="s">
        <v>1359</v>
      </c>
      <c r="AV149">
        <v>1027</v>
      </c>
      <c r="AW149">
        <v>1</v>
      </c>
      <c r="AX149">
        <v>2</v>
      </c>
      <c r="AY149" t="s">
        <v>867</v>
      </c>
      <c r="AZ149" t="s">
        <v>65</v>
      </c>
      <c r="BA149" t="s">
        <v>65</v>
      </c>
      <c r="BB149" t="s">
        <v>856</v>
      </c>
      <c r="BC149" t="s">
        <v>1360</v>
      </c>
      <c r="BD149" t="s">
        <v>1361</v>
      </c>
    </row>
    <row r="150" ht="51.5" spans="1:56">
      <c r="A150" t="str">
        <f>_xlfn.DISPIMG("ID_DF255A0C652948E2806FD4AAEF1D7897",1)</f>
        <v>=DISPIMG("ID_DF255A0C652948E2806FD4AAEF1D7897",1)</v>
      </c>
      <c r="B150" t="s">
        <v>206</v>
      </c>
      <c r="C150" t="s">
        <v>206</v>
      </c>
      <c r="D150" t="s">
        <v>65</v>
      </c>
      <c r="E150" t="s">
        <v>1362</v>
      </c>
      <c r="F150" t="s">
        <v>1363</v>
      </c>
      <c r="G150" t="s">
        <v>1364</v>
      </c>
      <c r="H150" t="s">
        <v>1365</v>
      </c>
      <c r="I150" t="s">
        <v>1366</v>
      </c>
      <c r="J150" t="s">
        <v>934</v>
      </c>
      <c r="K150" t="s">
        <v>850</v>
      </c>
      <c r="L150" t="s">
        <v>851</v>
      </c>
      <c r="M150">
        <v>6473</v>
      </c>
      <c r="N150" t="s">
        <v>852</v>
      </c>
      <c r="O150" t="s">
        <v>1367</v>
      </c>
      <c r="P150" t="s">
        <v>2809</v>
      </c>
      <c r="Q150">
        <v>6.8</v>
      </c>
      <c r="R150" t="s">
        <v>2954</v>
      </c>
      <c r="S150">
        <v>6.4328</v>
      </c>
      <c r="T150" t="s">
        <v>2955</v>
      </c>
      <c r="U150" t="s">
        <v>64</v>
      </c>
      <c r="V150" t="s">
        <v>2812</v>
      </c>
      <c r="W150" t="s">
        <v>2947</v>
      </c>
      <c r="X150" t="s">
        <v>2828</v>
      </c>
      <c r="Y150" t="s">
        <v>2829</v>
      </c>
      <c r="Z150" t="s">
        <v>2817</v>
      </c>
      <c r="AA150" t="s">
        <v>2817</v>
      </c>
      <c r="AB150" t="s">
        <v>2816</v>
      </c>
      <c r="AC150" t="s">
        <v>2818</v>
      </c>
      <c r="AD150" t="s">
        <v>2850</v>
      </c>
      <c r="AE150" t="s">
        <v>2906</v>
      </c>
      <c r="AF150" t="s">
        <v>2867</v>
      </c>
      <c r="AG150" t="s">
        <v>2822</v>
      </c>
      <c r="AH150" t="s">
        <v>2823</v>
      </c>
      <c r="AI150">
        <v>1</v>
      </c>
      <c r="AJ150">
        <v>1757</v>
      </c>
      <c r="AK150">
        <v>208081.52</v>
      </c>
      <c r="AL150">
        <v>118.43</v>
      </c>
      <c r="AM150">
        <v>0.665</v>
      </c>
      <c r="AN150">
        <v>21.91</v>
      </c>
      <c r="AO150">
        <v>4.8</v>
      </c>
      <c r="AP150">
        <v>3064</v>
      </c>
      <c r="AQ150">
        <v>0.0711</v>
      </c>
      <c r="AR150">
        <v>125</v>
      </c>
      <c r="AT150" t="s">
        <v>947</v>
      </c>
      <c r="AU150" t="s">
        <v>1368</v>
      </c>
      <c r="AV150">
        <v>545</v>
      </c>
      <c r="AW150">
        <v>1</v>
      </c>
      <c r="AX150">
        <v>1</v>
      </c>
      <c r="AY150" t="s">
        <v>867</v>
      </c>
      <c r="AZ150" t="s">
        <v>65</v>
      </c>
      <c r="BA150" t="s">
        <v>65</v>
      </c>
      <c r="BB150" t="s">
        <v>856</v>
      </c>
      <c r="BC150" t="s">
        <v>868</v>
      </c>
      <c r="BD150" t="s">
        <v>1369</v>
      </c>
    </row>
    <row r="151" ht="51.5" spans="1:56">
      <c r="A151" t="str">
        <f>_xlfn.DISPIMG("ID_54E0AFE17F184E5990F96C254B254664",1)</f>
        <v>=DISPIMG("ID_54E0AFE17F184E5990F96C254B254664",1)</v>
      </c>
      <c r="B151" t="s">
        <v>1370</v>
      </c>
      <c r="C151" t="s">
        <v>1370</v>
      </c>
      <c r="D151" t="s">
        <v>65</v>
      </c>
      <c r="E151" t="s">
        <v>1371</v>
      </c>
      <c r="F151" t="s">
        <v>1372</v>
      </c>
      <c r="G151" t="s">
        <v>846</v>
      </c>
      <c r="H151" t="s">
        <v>1373</v>
      </c>
      <c r="I151" t="s">
        <v>1374</v>
      </c>
      <c r="J151" t="s">
        <v>934</v>
      </c>
      <c r="K151" t="s">
        <v>850</v>
      </c>
      <c r="L151" t="s">
        <v>851</v>
      </c>
      <c r="M151">
        <v>6834</v>
      </c>
      <c r="N151" t="s">
        <v>852</v>
      </c>
      <c r="O151" t="s">
        <v>1266</v>
      </c>
      <c r="P151" t="s">
        <v>2852</v>
      </c>
      <c r="Q151">
        <v>3.8</v>
      </c>
      <c r="R151" t="s">
        <v>2956</v>
      </c>
      <c r="S151">
        <v>3.5948</v>
      </c>
      <c r="T151" t="s">
        <v>2957</v>
      </c>
      <c r="U151" t="s">
        <v>2877</v>
      </c>
      <c r="V151" t="s">
        <v>2812</v>
      </c>
      <c r="W151" t="s">
        <v>2920</v>
      </c>
      <c r="X151" t="s">
        <v>2874</v>
      </c>
      <c r="Y151" t="s">
        <v>2895</v>
      </c>
      <c r="Z151" t="s">
        <v>2817</v>
      </c>
      <c r="AA151" t="s">
        <v>2817</v>
      </c>
      <c r="AB151" t="s">
        <v>2816</v>
      </c>
      <c r="AC151" t="s">
        <v>2912</v>
      </c>
      <c r="AD151" t="s">
        <v>2896</v>
      </c>
      <c r="AE151" t="s">
        <v>2857</v>
      </c>
      <c r="AF151" t="s">
        <v>2831</v>
      </c>
      <c r="AG151" t="s">
        <v>2822</v>
      </c>
      <c r="AH151" t="s">
        <v>2884</v>
      </c>
      <c r="AI151">
        <v>1</v>
      </c>
      <c r="AJ151">
        <v>702</v>
      </c>
      <c r="AK151">
        <v>161452.98</v>
      </c>
      <c r="AL151">
        <v>229.99</v>
      </c>
      <c r="AM151">
        <v>0.7529</v>
      </c>
      <c r="AN151">
        <v>22.33</v>
      </c>
      <c r="AO151">
        <v>4.6</v>
      </c>
      <c r="AP151">
        <v>469</v>
      </c>
      <c r="AQ151">
        <v>0.0969</v>
      </c>
      <c r="AR151">
        <v>68</v>
      </c>
      <c r="AT151" t="s">
        <v>876</v>
      </c>
      <c r="AU151" t="s">
        <v>1375</v>
      </c>
      <c r="AV151">
        <v>597</v>
      </c>
      <c r="AW151">
        <v>1</v>
      </c>
      <c r="AX151">
        <v>6</v>
      </c>
      <c r="AY151" t="s">
        <v>867</v>
      </c>
      <c r="AZ151" t="s">
        <v>65</v>
      </c>
      <c r="BA151" t="s">
        <v>65</v>
      </c>
      <c r="BB151" t="s">
        <v>856</v>
      </c>
      <c r="BC151" t="s">
        <v>1376</v>
      </c>
      <c r="BD151" t="s">
        <v>1377</v>
      </c>
    </row>
    <row r="152" ht="51.5" spans="1:56">
      <c r="A152" t="str">
        <f>_xlfn.DISPIMG("ID_CF4CFA9B4BA044A4B75C7FB917181C2E",1)</f>
        <v>=DISPIMG("ID_CF4CFA9B4BA044A4B75C7FB917181C2E",1)</v>
      </c>
      <c r="B152" t="s">
        <v>1390</v>
      </c>
      <c r="C152" t="s">
        <v>1391</v>
      </c>
      <c r="D152" t="s">
        <v>1392</v>
      </c>
      <c r="E152" t="s">
        <v>1393</v>
      </c>
      <c r="F152" t="s">
        <v>1394</v>
      </c>
      <c r="G152" t="s">
        <v>1395</v>
      </c>
      <c r="H152" t="s">
        <v>1396</v>
      </c>
      <c r="I152" t="s">
        <v>1397</v>
      </c>
      <c r="J152" t="s">
        <v>934</v>
      </c>
      <c r="K152" t="s">
        <v>850</v>
      </c>
      <c r="L152" t="s">
        <v>851</v>
      </c>
      <c r="M152">
        <v>3421</v>
      </c>
      <c r="N152" t="s">
        <v>852</v>
      </c>
      <c r="O152" t="s">
        <v>1398</v>
      </c>
      <c r="P152" t="s">
        <v>2958</v>
      </c>
      <c r="Q152">
        <v>4.5</v>
      </c>
      <c r="R152" t="s">
        <v>2959</v>
      </c>
      <c r="S152">
        <v>4.257</v>
      </c>
      <c r="T152" t="s">
        <v>2960</v>
      </c>
      <c r="U152" t="s">
        <v>64</v>
      </c>
      <c r="V152" t="s">
        <v>2812</v>
      </c>
      <c r="W152" t="s">
        <v>2878</v>
      </c>
      <c r="X152" t="s">
        <v>2921</v>
      </c>
      <c r="Y152" t="s">
        <v>2815</v>
      </c>
      <c r="Z152" t="s">
        <v>2816</v>
      </c>
      <c r="AA152" t="s">
        <v>2817</v>
      </c>
      <c r="AB152" t="s">
        <v>2816</v>
      </c>
      <c r="AC152" t="s">
        <v>2818</v>
      </c>
      <c r="AD152" t="s">
        <v>2850</v>
      </c>
      <c r="AE152" t="s">
        <v>2939</v>
      </c>
      <c r="AF152" t="s">
        <v>2831</v>
      </c>
      <c r="AG152" t="s">
        <v>2822</v>
      </c>
      <c r="AH152" t="s">
        <v>2823</v>
      </c>
      <c r="AI152">
        <v>1</v>
      </c>
      <c r="AJ152">
        <v>1109</v>
      </c>
      <c r="AK152">
        <v>70920.555</v>
      </c>
      <c r="AL152">
        <v>79.95</v>
      </c>
      <c r="AM152">
        <v>0.5928</v>
      </c>
      <c r="AN152">
        <v>16.45</v>
      </c>
      <c r="AO152">
        <v>4.7</v>
      </c>
      <c r="AP152">
        <v>1535</v>
      </c>
      <c r="AQ152">
        <v>0.0541</v>
      </c>
      <c r="AR152">
        <v>60</v>
      </c>
      <c r="AT152" t="s">
        <v>876</v>
      </c>
      <c r="AU152" t="s">
        <v>1399</v>
      </c>
      <c r="AV152">
        <v>630</v>
      </c>
      <c r="AW152">
        <v>4</v>
      </c>
      <c r="AX152">
        <v>2</v>
      </c>
      <c r="AY152" t="s">
        <v>1400</v>
      </c>
      <c r="AZ152" t="s">
        <v>1401</v>
      </c>
      <c r="BA152" t="s">
        <v>1402</v>
      </c>
      <c r="BB152" t="s">
        <v>997</v>
      </c>
      <c r="BC152" t="s">
        <v>1403</v>
      </c>
      <c r="BD152" t="s">
        <v>1404</v>
      </c>
    </row>
    <row r="153" ht="51.5" spans="1:56">
      <c r="A153" t="str">
        <f>_xlfn.DISPIMG("ID_ABB6A3F814174AC4B033F51D49C7DE64",1)</f>
        <v>=DISPIMG("ID_ABB6A3F814174AC4B033F51D49C7DE64",1)</v>
      </c>
      <c r="B153" t="s">
        <v>1405</v>
      </c>
      <c r="C153" t="s">
        <v>1405</v>
      </c>
      <c r="D153" t="s">
        <v>65</v>
      </c>
      <c r="E153" t="s">
        <v>1406</v>
      </c>
      <c r="F153" t="s">
        <v>1407</v>
      </c>
      <c r="G153" t="s">
        <v>1408</v>
      </c>
      <c r="H153" t="s">
        <v>1409</v>
      </c>
      <c r="I153" t="s">
        <v>1410</v>
      </c>
      <c r="J153" t="s">
        <v>934</v>
      </c>
      <c r="K153" t="s">
        <v>850</v>
      </c>
      <c r="L153" t="s">
        <v>851</v>
      </c>
      <c r="M153">
        <v>9111</v>
      </c>
      <c r="N153" t="s">
        <v>852</v>
      </c>
      <c r="O153" t="s">
        <v>1411</v>
      </c>
      <c r="P153" t="s">
        <v>2809</v>
      </c>
      <c r="Q153">
        <v>7</v>
      </c>
      <c r="R153" t="s">
        <v>2941</v>
      </c>
      <c r="S153">
        <v>6.622</v>
      </c>
      <c r="T153" t="s">
        <v>2942</v>
      </c>
      <c r="U153" t="s">
        <v>64</v>
      </c>
      <c r="V153" t="s">
        <v>2812</v>
      </c>
      <c r="W153" t="s">
        <v>2837</v>
      </c>
      <c r="X153" t="s">
        <v>2844</v>
      </c>
      <c r="Y153" t="s">
        <v>2815</v>
      </c>
      <c r="Z153" t="s">
        <v>2816</v>
      </c>
      <c r="AA153" t="s">
        <v>2817</v>
      </c>
      <c r="AB153" t="s">
        <v>2816</v>
      </c>
      <c r="AC153" t="s">
        <v>2818</v>
      </c>
      <c r="AD153" t="s">
        <v>2819</v>
      </c>
      <c r="AE153" t="s">
        <v>2906</v>
      </c>
      <c r="AF153" t="s">
        <v>2851</v>
      </c>
      <c r="AG153" t="s">
        <v>2822</v>
      </c>
      <c r="AH153" t="s">
        <v>2823</v>
      </c>
      <c r="AI153">
        <v>1</v>
      </c>
      <c r="AJ153">
        <v>1487</v>
      </c>
      <c r="AK153">
        <v>178425.12</v>
      </c>
      <c r="AL153">
        <v>119.99</v>
      </c>
      <c r="AM153">
        <v>0.6919</v>
      </c>
      <c r="AN153">
        <v>18.97</v>
      </c>
      <c r="AO153">
        <v>4.6</v>
      </c>
      <c r="AP153">
        <v>5423</v>
      </c>
      <c r="AQ153">
        <v>0.0585</v>
      </c>
      <c r="AR153">
        <v>87</v>
      </c>
      <c r="AT153" t="s">
        <v>947</v>
      </c>
      <c r="AU153" t="s">
        <v>1412</v>
      </c>
      <c r="AV153">
        <v>958</v>
      </c>
      <c r="AW153">
        <v>1</v>
      </c>
      <c r="AX153">
        <v>2</v>
      </c>
      <c r="AY153" t="s">
        <v>867</v>
      </c>
      <c r="AZ153" t="s">
        <v>65</v>
      </c>
      <c r="BA153" t="s">
        <v>65</v>
      </c>
      <c r="BB153" t="s">
        <v>856</v>
      </c>
      <c r="BC153" t="s">
        <v>1413</v>
      </c>
      <c r="BD153" t="s">
        <v>1414</v>
      </c>
    </row>
    <row r="154" ht="51.5" spans="1:56">
      <c r="A154" t="str">
        <f>_xlfn.DISPIMG("ID_5562B5F163DB48C39AF88CF6C6DB9CA7",1)</f>
        <v>=DISPIMG("ID_5562B5F163DB48C39AF88CF6C6DB9CA7",1)</v>
      </c>
      <c r="B154" t="s">
        <v>1415</v>
      </c>
      <c r="C154" t="s">
        <v>1415</v>
      </c>
      <c r="D154" t="s">
        <v>65</v>
      </c>
      <c r="E154" t="s">
        <v>1416</v>
      </c>
      <c r="F154" t="s">
        <v>1417</v>
      </c>
      <c r="G154" t="s">
        <v>1418</v>
      </c>
      <c r="H154" t="s">
        <v>1419</v>
      </c>
      <c r="I154" t="s">
        <v>1420</v>
      </c>
      <c r="J154" t="s">
        <v>974</v>
      </c>
      <c r="K154" t="s">
        <v>850</v>
      </c>
      <c r="L154" t="s">
        <v>851</v>
      </c>
      <c r="M154">
        <v>8292</v>
      </c>
      <c r="N154" t="s">
        <v>852</v>
      </c>
      <c r="O154" t="s">
        <v>1421</v>
      </c>
      <c r="P154" t="s">
        <v>2809</v>
      </c>
      <c r="Q154">
        <v>5.8</v>
      </c>
      <c r="R154" t="s">
        <v>2847</v>
      </c>
      <c r="S154">
        <v>5.4868</v>
      </c>
      <c r="T154" t="s">
        <v>2848</v>
      </c>
      <c r="U154" t="s">
        <v>64</v>
      </c>
      <c r="V154" t="s">
        <v>2812</v>
      </c>
      <c r="W154" t="s">
        <v>2861</v>
      </c>
      <c r="X154" t="s">
        <v>2844</v>
      </c>
      <c r="Y154" t="s">
        <v>2815</v>
      </c>
      <c r="Z154" t="s">
        <v>2816</v>
      </c>
      <c r="AA154" t="s">
        <v>2816</v>
      </c>
      <c r="AB154" t="s">
        <v>2816</v>
      </c>
      <c r="AC154" t="s">
        <v>2863</v>
      </c>
      <c r="AD154" t="s">
        <v>2819</v>
      </c>
      <c r="AE154" t="s">
        <v>2939</v>
      </c>
      <c r="AF154" t="s">
        <v>2821</v>
      </c>
      <c r="AG154" t="s">
        <v>2822</v>
      </c>
      <c r="AH154" t="s">
        <v>2823</v>
      </c>
      <c r="AI154">
        <v>1</v>
      </c>
      <c r="AJ154">
        <v>452</v>
      </c>
      <c r="AK154">
        <v>24335.68</v>
      </c>
      <c r="AL154">
        <v>73.72</v>
      </c>
      <c r="AM154">
        <v>0.4977</v>
      </c>
      <c r="AN154">
        <v>18.97</v>
      </c>
      <c r="AO154">
        <v>4.6</v>
      </c>
      <c r="AP154">
        <v>3489</v>
      </c>
      <c r="AQ154">
        <v>0.0796</v>
      </c>
      <c r="AR154">
        <v>36</v>
      </c>
      <c r="AT154" t="s">
        <v>876</v>
      </c>
      <c r="AU154" t="s">
        <v>1422</v>
      </c>
      <c r="AV154">
        <v>1344</v>
      </c>
      <c r="AW154">
        <v>1</v>
      </c>
      <c r="AX154">
        <v>1</v>
      </c>
      <c r="AY154" t="s">
        <v>1423</v>
      </c>
      <c r="AZ154" t="s">
        <v>65</v>
      </c>
      <c r="BA154" t="s">
        <v>1424</v>
      </c>
      <c r="BB154" t="s">
        <v>856</v>
      </c>
      <c r="BC154" t="s">
        <v>1425</v>
      </c>
      <c r="BD154" t="s">
        <v>1426</v>
      </c>
    </row>
    <row r="155" ht="51.5" spans="1:56">
      <c r="A155" t="str">
        <f>_xlfn.DISPIMG("ID_DE2B348AB1E54ACAB5026EC97FE64D1A",1)</f>
        <v>=DISPIMG("ID_DE2B348AB1E54ACAB5026EC97FE64D1A",1)</v>
      </c>
      <c r="B155" t="s">
        <v>1427</v>
      </c>
      <c r="C155" t="s">
        <v>1427</v>
      </c>
      <c r="D155" t="s">
        <v>65</v>
      </c>
      <c r="E155" t="s">
        <v>1428</v>
      </c>
      <c r="F155" t="s">
        <v>1429</v>
      </c>
      <c r="G155" t="s">
        <v>1430</v>
      </c>
      <c r="H155" t="s">
        <v>1431</v>
      </c>
      <c r="I155" t="s">
        <v>1432</v>
      </c>
      <c r="J155" t="s">
        <v>934</v>
      </c>
      <c r="K155" t="s">
        <v>850</v>
      </c>
      <c r="L155" t="s">
        <v>851</v>
      </c>
      <c r="M155">
        <v>9571</v>
      </c>
      <c r="N155" t="s">
        <v>852</v>
      </c>
      <c r="O155" t="s">
        <v>1433</v>
      </c>
      <c r="P155" t="s">
        <v>2832</v>
      </c>
      <c r="Q155">
        <v>20</v>
      </c>
      <c r="R155" t="s">
        <v>2961</v>
      </c>
      <c r="S155">
        <v>18.92</v>
      </c>
      <c r="T155" t="s">
        <v>2962</v>
      </c>
      <c r="U155" t="s">
        <v>2835</v>
      </c>
      <c r="V155" t="s">
        <v>2836</v>
      </c>
      <c r="W155" t="s">
        <v>2894</v>
      </c>
      <c r="X155" t="s">
        <v>2874</v>
      </c>
      <c r="Y155" t="s">
        <v>2815</v>
      </c>
      <c r="Z155" t="s">
        <v>2817</v>
      </c>
      <c r="AA155" t="s">
        <v>2817</v>
      </c>
      <c r="AB155" t="s">
        <v>2817</v>
      </c>
      <c r="AC155" t="s">
        <v>2818</v>
      </c>
      <c r="AD155" t="s">
        <v>2889</v>
      </c>
      <c r="AE155" t="s">
        <v>2913</v>
      </c>
      <c r="AF155" t="s">
        <v>2883</v>
      </c>
      <c r="AG155" t="s">
        <v>2822</v>
      </c>
      <c r="AH155" t="s">
        <v>2940</v>
      </c>
      <c r="AI155">
        <v>1</v>
      </c>
      <c r="AJ155">
        <v>872</v>
      </c>
      <c r="AK155">
        <v>113351.28</v>
      </c>
      <c r="AL155">
        <v>169.99</v>
      </c>
      <c r="AM155">
        <v>0.6621</v>
      </c>
      <c r="AN155">
        <v>24.43</v>
      </c>
      <c r="AO155">
        <v>4.8</v>
      </c>
      <c r="AP155">
        <v>203</v>
      </c>
      <c r="AQ155">
        <v>0.1399</v>
      </c>
      <c r="AR155">
        <v>122</v>
      </c>
      <c r="AT155" t="s">
        <v>876</v>
      </c>
      <c r="AU155" t="s">
        <v>1434</v>
      </c>
      <c r="AV155">
        <v>184</v>
      </c>
      <c r="AW155">
        <v>1</v>
      </c>
      <c r="AX155">
        <v>2</v>
      </c>
      <c r="AY155" t="s">
        <v>65</v>
      </c>
      <c r="AZ155" t="s">
        <v>65</v>
      </c>
      <c r="BA155" t="s">
        <v>65</v>
      </c>
      <c r="BB155" t="s">
        <v>856</v>
      </c>
      <c r="BC155" t="s">
        <v>1435</v>
      </c>
      <c r="BD155" t="s">
        <v>1436</v>
      </c>
    </row>
    <row r="156" ht="51.5" spans="1:56">
      <c r="A156" t="str">
        <f>_xlfn.DISPIMG("ID_1CC8A60928EC4830A6791E0B1D53306D",1)</f>
        <v>=DISPIMG("ID_1CC8A60928EC4830A6791E0B1D53306D",1)</v>
      </c>
      <c r="B156" t="s">
        <v>1437</v>
      </c>
      <c r="C156" t="s">
        <v>1437</v>
      </c>
      <c r="D156" t="s">
        <v>65</v>
      </c>
      <c r="E156" t="s">
        <v>1438</v>
      </c>
      <c r="F156" t="s">
        <v>1439</v>
      </c>
      <c r="G156" t="s">
        <v>931</v>
      </c>
      <c r="H156" t="s">
        <v>1440</v>
      </c>
      <c r="I156" t="s">
        <v>1441</v>
      </c>
      <c r="J156" t="s">
        <v>934</v>
      </c>
      <c r="K156" t="s">
        <v>850</v>
      </c>
      <c r="L156" t="s">
        <v>851</v>
      </c>
      <c r="M156">
        <v>9177</v>
      </c>
      <c r="N156" t="s">
        <v>852</v>
      </c>
      <c r="O156" t="s">
        <v>1433</v>
      </c>
      <c r="P156" t="s">
        <v>2809</v>
      </c>
      <c r="Q156">
        <v>2</v>
      </c>
      <c r="R156" t="s">
        <v>2914</v>
      </c>
      <c r="S156">
        <v>1.892</v>
      </c>
      <c r="T156" t="s">
        <v>2915</v>
      </c>
      <c r="U156" t="s">
        <v>64</v>
      </c>
      <c r="V156" t="s">
        <v>2812</v>
      </c>
      <c r="W156" t="s">
        <v>2861</v>
      </c>
      <c r="X156" t="s">
        <v>2862</v>
      </c>
      <c r="Y156" t="s">
        <v>2815</v>
      </c>
      <c r="Z156" t="s">
        <v>2816</v>
      </c>
      <c r="AA156" t="s">
        <v>2816</v>
      </c>
      <c r="AB156" t="s">
        <v>2816</v>
      </c>
      <c r="AC156" t="s">
        <v>2863</v>
      </c>
      <c r="AD156" t="s">
        <v>2819</v>
      </c>
      <c r="AE156" t="s">
        <v>2916</v>
      </c>
      <c r="AF156" t="s">
        <v>2821</v>
      </c>
      <c r="AG156" t="s">
        <v>2865</v>
      </c>
      <c r="AH156" t="s">
        <v>2823</v>
      </c>
      <c r="AI156">
        <v>1</v>
      </c>
      <c r="AJ156">
        <v>1006</v>
      </c>
      <c r="AK156">
        <v>48257.82</v>
      </c>
      <c r="AL156">
        <v>47.97</v>
      </c>
      <c r="AM156">
        <v>0.5711</v>
      </c>
      <c r="AN156">
        <v>13.93</v>
      </c>
      <c r="AO156">
        <v>4.5</v>
      </c>
      <c r="AP156">
        <v>16382</v>
      </c>
      <c r="AQ156">
        <v>0.0736</v>
      </c>
      <c r="AR156">
        <v>74</v>
      </c>
      <c r="AT156" t="s">
        <v>947</v>
      </c>
      <c r="AU156" t="s">
        <v>1442</v>
      </c>
      <c r="AV156">
        <v>2032</v>
      </c>
      <c r="AW156">
        <v>1</v>
      </c>
      <c r="AX156">
        <v>18</v>
      </c>
      <c r="AY156" t="s">
        <v>1443</v>
      </c>
      <c r="AZ156" t="s">
        <v>1110</v>
      </c>
      <c r="BA156" t="s">
        <v>1444</v>
      </c>
      <c r="BB156" t="s">
        <v>856</v>
      </c>
      <c r="BC156" t="s">
        <v>1445</v>
      </c>
      <c r="BD156" t="s">
        <v>1446</v>
      </c>
    </row>
    <row r="157" ht="51.5" spans="1:56">
      <c r="A157" t="str">
        <f>_xlfn.DISPIMG("ID_D5F7F4B1288C463CB4FBAB7A63B33D08",1)</f>
        <v>=DISPIMG("ID_D5F7F4B1288C463CB4FBAB7A63B33D08",1)</v>
      </c>
      <c r="B157" t="s">
        <v>352</v>
      </c>
      <c r="C157" t="s">
        <v>352</v>
      </c>
      <c r="D157" t="s">
        <v>65</v>
      </c>
      <c r="E157" t="s">
        <v>1447</v>
      </c>
      <c r="F157" t="s">
        <v>1448</v>
      </c>
      <c r="G157" t="s">
        <v>1152</v>
      </c>
      <c r="H157" t="s">
        <v>1449</v>
      </c>
      <c r="I157" t="s">
        <v>1450</v>
      </c>
      <c r="J157" t="s">
        <v>934</v>
      </c>
      <c r="K157" t="s">
        <v>850</v>
      </c>
      <c r="L157" t="s">
        <v>851</v>
      </c>
      <c r="M157">
        <v>8771</v>
      </c>
      <c r="N157" t="s">
        <v>852</v>
      </c>
      <c r="O157" t="s">
        <v>1411</v>
      </c>
      <c r="P157" t="s">
        <v>2809</v>
      </c>
      <c r="Q157">
        <v>5.8</v>
      </c>
      <c r="R157" t="s">
        <v>2847</v>
      </c>
      <c r="S157">
        <v>5.4868</v>
      </c>
      <c r="T157" t="s">
        <v>2848</v>
      </c>
      <c r="U157" t="s">
        <v>64</v>
      </c>
      <c r="V157" t="s">
        <v>2812</v>
      </c>
      <c r="W157" t="s">
        <v>2894</v>
      </c>
      <c r="X157" t="s">
        <v>2844</v>
      </c>
      <c r="Y157" t="s">
        <v>2815</v>
      </c>
      <c r="Z157" t="s">
        <v>2816</v>
      </c>
      <c r="AA157" t="s">
        <v>2817</v>
      </c>
      <c r="AB157" t="s">
        <v>2816</v>
      </c>
      <c r="AC157" t="s">
        <v>2818</v>
      </c>
      <c r="AD157" t="s">
        <v>2819</v>
      </c>
      <c r="AE157" t="s">
        <v>2939</v>
      </c>
      <c r="AF157" t="s">
        <v>2821</v>
      </c>
      <c r="AG157" t="s">
        <v>2822</v>
      </c>
      <c r="AH157" t="s">
        <v>2823</v>
      </c>
      <c r="AI157">
        <v>1</v>
      </c>
      <c r="AJ157">
        <v>1104</v>
      </c>
      <c r="AK157">
        <v>88308.96</v>
      </c>
      <c r="AL157">
        <v>79.99</v>
      </c>
      <c r="AM157">
        <v>0.6129</v>
      </c>
      <c r="AN157">
        <v>18.97</v>
      </c>
      <c r="AO157">
        <v>4.7</v>
      </c>
      <c r="AP157">
        <v>12125</v>
      </c>
      <c r="AQ157">
        <v>0.173</v>
      </c>
      <c r="AR157">
        <v>191</v>
      </c>
      <c r="AT157" t="s">
        <v>876</v>
      </c>
      <c r="AU157" t="s">
        <v>1451</v>
      </c>
      <c r="AV157">
        <v>1308</v>
      </c>
      <c r="AW157">
        <v>1</v>
      </c>
      <c r="AX157">
        <v>1</v>
      </c>
      <c r="AY157" t="s">
        <v>1452</v>
      </c>
      <c r="AZ157" t="s">
        <v>1288</v>
      </c>
      <c r="BA157" t="s">
        <v>1453</v>
      </c>
      <c r="BB157" t="s">
        <v>856</v>
      </c>
      <c r="BC157" t="s">
        <v>1454</v>
      </c>
      <c r="BD157" t="s">
        <v>1455</v>
      </c>
    </row>
    <row r="158" ht="51.5" spans="1:56">
      <c r="A158" t="str">
        <f>_xlfn.DISPIMG("ID_F156718E2A894CB5961DE06C24ED3617",1)</f>
        <v>=DISPIMG("ID_F156718E2A894CB5961DE06C24ED3617",1)</v>
      </c>
      <c r="B158" t="s">
        <v>163</v>
      </c>
      <c r="C158" t="s">
        <v>163</v>
      </c>
      <c r="D158" t="s">
        <v>65</v>
      </c>
      <c r="E158" t="s">
        <v>1468</v>
      </c>
      <c r="F158" t="s">
        <v>1469</v>
      </c>
      <c r="G158" t="s">
        <v>1069</v>
      </c>
      <c r="H158" t="s">
        <v>1470</v>
      </c>
      <c r="I158" t="s">
        <v>1471</v>
      </c>
      <c r="J158" t="s">
        <v>864</v>
      </c>
      <c r="K158" t="s">
        <v>850</v>
      </c>
      <c r="L158" t="s">
        <v>851</v>
      </c>
      <c r="M158">
        <v>13651</v>
      </c>
      <c r="N158" t="s">
        <v>852</v>
      </c>
      <c r="O158" t="s">
        <v>1472</v>
      </c>
      <c r="P158" t="s">
        <v>2963</v>
      </c>
      <c r="Q158">
        <v>1.1</v>
      </c>
      <c r="R158" t="s">
        <v>2964</v>
      </c>
      <c r="S158">
        <v>1.0406</v>
      </c>
      <c r="T158" t="s">
        <v>2965</v>
      </c>
      <c r="U158" t="s">
        <v>64</v>
      </c>
      <c r="V158" t="s">
        <v>2812</v>
      </c>
      <c r="W158" t="s">
        <v>2861</v>
      </c>
      <c r="X158" t="s">
        <v>2966</v>
      </c>
      <c r="Y158" t="s">
        <v>2903</v>
      </c>
      <c r="Z158" t="s">
        <v>2816</v>
      </c>
      <c r="AA158" t="s">
        <v>2816</v>
      </c>
      <c r="AB158" t="s">
        <v>2816</v>
      </c>
      <c r="AC158" t="s">
        <v>2863</v>
      </c>
      <c r="AD158" t="s">
        <v>2819</v>
      </c>
      <c r="AE158" t="s">
        <v>2864</v>
      </c>
      <c r="AF158" t="s">
        <v>2851</v>
      </c>
      <c r="AG158" t="s">
        <v>2930</v>
      </c>
      <c r="AH158" t="s">
        <v>2823</v>
      </c>
      <c r="AI158">
        <v>1</v>
      </c>
      <c r="AJ158">
        <v>1121</v>
      </c>
      <c r="AK158">
        <v>40221.48</v>
      </c>
      <c r="AL158">
        <v>35.88</v>
      </c>
      <c r="AM158">
        <v>0.5086</v>
      </c>
      <c r="AN158">
        <v>12.25</v>
      </c>
      <c r="AO158">
        <v>4.1</v>
      </c>
      <c r="AP158">
        <v>6569</v>
      </c>
      <c r="AQ158">
        <v>0.6191</v>
      </c>
      <c r="AR158">
        <v>694</v>
      </c>
      <c r="AT158" t="s">
        <v>876</v>
      </c>
      <c r="AU158" t="s">
        <v>1473</v>
      </c>
      <c r="AV158">
        <v>1063</v>
      </c>
      <c r="AW158">
        <v>1</v>
      </c>
      <c r="AX158">
        <v>5</v>
      </c>
      <c r="AY158" t="s">
        <v>867</v>
      </c>
      <c r="AZ158" t="s">
        <v>65</v>
      </c>
      <c r="BA158" t="s">
        <v>65</v>
      </c>
      <c r="BB158" t="s">
        <v>856</v>
      </c>
      <c r="BC158" t="s">
        <v>1474</v>
      </c>
      <c r="BD158" t="s">
        <v>1475</v>
      </c>
    </row>
    <row r="159" ht="51.5" spans="1:56">
      <c r="A159" t="str">
        <f>_xlfn.DISPIMG("ID_B1C8BB44B25043D4A886C115934DB689",1)</f>
        <v>=DISPIMG("ID_B1C8BB44B25043D4A886C115934DB689",1)</v>
      </c>
      <c r="B159" t="s">
        <v>1476</v>
      </c>
      <c r="C159" t="s">
        <v>1476</v>
      </c>
      <c r="D159" t="s">
        <v>65</v>
      </c>
      <c r="E159" t="s">
        <v>1477</v>
      </c>
      <c r="F159" t="s">
        <v>1478</v>
      </c>
      <c r="G159" t="s">
        <v>1479</v>
      </c>
      <c r="H159" t="s">
        <v>1480</v>
      </c>
      <c r="I159" t="s">
        <v>1481</v>
      </c>
      <c r="J159" t="s">
        <v>1384</v>
      </c>
      <c r="K159" t="s">
        <v>850</v>
      </c>
      <c r="L159" t="s">
        <v>851</v>
      </c>
      <c r="M159">
        <v>13404</v>
      </c>
      <c r="N159" t="s">
        <v>852</v>
      </c>
      <c r="O159" t="s">
        <v>1482</v>
      </c>
      <c r="P159" t="s">
        <v>2832</v>
      </c>
      <c r="Q159">
        <v>6.2</v>
      </c>
      <c r="R159" t="s">
        <v>2967</v>
      </c>
      <c r="S159">
        <v>5.8652</v>
      </c>
      <c r="T159" t="s">
        <v>2968</v>
      </c>
      <c r="U159" t="s">
        <v>64</v>
      </c>
      <c r="V159" t="s">
        <v>2812</v>
      </c>
      <c r="W159" t="s">
        <v>2894</v>
      </c>
      <c r="X159" t="s">
        <v>2828</v>
      </c>
      <c r="Y159" t="s">
        <v>2815</v>
      </c>
      <c r="Z159" t="s">
        <v>2817</v>
      </c>
      <c r="AA159" t="s">
        <v>2817</v>
      </c>
      <c r="AB159" t="s">
        <v>2816</v>
      </c>
      <c r="AC159" t="s">
        <v>2818</v>
      </c>
      <c r="AD159" t="s">
        <v>2850</v>
      </c>
      <c r="AE159" t="s">
        <v>2939</v>
      </c>
      <c r="AF159" t="s">
        <v>2883</v>
      </c>
      <c r="AG159" t="s">
        <v>2865</v>
      </c>
      <c r="AH159" t="s">
        <v>2940</v>
      </c>
      <c r="AI159">
        <v>1</v>
      </c>
      <c r="AJ159">
        <v>667</v>
      </c>
      <c r="AK159">
        <v>53353.33</v>
      </c>
      <c r="AL159">
        <v>79.99</v>
      </c>
      <c r="AM159">
        <v>0.6181</v>
      </c>
      <c r="AN159">
        <v>18.55</v>
      </c>
      <c r="AO159">
        <v>4.5</v>
      </c>
      <c r="AP159">
        <v>268</v>
      </c>
      <c r="AQ159">
        <v>0.1139</v>
      </c>
      <c r="AR159">
        <v>76</v>
      </c>
      <c r="AT159" t="s">
        <v>1267</v>
      </c>
      <c r="AU159" t="s">
        <v>1483</v>
      </c>
      <c r="AV159">
        <v>217</v>
      </c>
      <c r="AW159">
        <v>1</v>
      </c>
      <c r="AX159">
        <v>1</v>
      </c>
      <c r="AY159" t="s">
        <v>65</v>
      </c>
      <c r="AZ159" t="s">
        <v>65</v>
      </c>
      <c r="BA159" t="s">
        <v>65</v>
      </c>
      <c r="BB159" t="s">
        <v>856</v>
      </c>
      <c r="BC159" t="s">
        <v>1484</v>
      </c>
      <c r="BD159" t="s">
        <v>1485</v>
      </c>
    </row>
    <row r="160" ht="51.5" spans="1:56">
      <c r="A160" t="str">
        <f>_xlfn.DISPIMG("ID_695D1CCC4CA045139C4ABF47E1CCACBF",1)</f>
        <v>=DISPIMG("ID_695D1CCC4CA045139C4ABF47E1CCACBF",1)</v>
      </c>
      <c r="B160" t="s">
        <v>1486</v>
      </c>
      <c r="C160" t="s">
        <v>1486</v>
      </c>
      <c r="D160" t="s">
        <v>65</v>
      </c>
      <c r="E160" t="s">
        <v>1487</v>
      </c>
      <c r="F160" t="s">
        <v>1488</v>
      </c>
      <c r="G160" t="s">
        <v>1479</v>
      </c>
      <c r="H160" t="s">
        <v>1489</v>
      </c>
      <c r="I160" t="s">
        <v>1490</v>
      </c>
      <c r="J160" t="s">
        <v>934</v>
      </c>
      <c r="K160" t="s">
        <v>850</v>
      </c>
      <c r="L160" t="s">
        <v>851</v>
      </c>
      <c r="M160">
        <v>13357</v>
      </c>
      <c r="N160" t="s">
        <v>852</v>
      </c>
      <c r="O160" t="s">
        <v>1491</v>
      </c>
      <c r="P160" t="s">
        <v>2809</v>
      </c>
      <c r="Q160">
        <v>12</v>
      </c>
      <c r="R160" t="s">
        <v>2969</v>
      </c>
      <c r="S160">
        <v>11.352</v>
      </c>
      <c r="T160" t="s">
        <v>2970</v>
      </c>
      <c r="U160" t="s">
        <v>2835</v>
      </c>
      <c r="V160" t="s">
        <v>2836</v>
      </c>
      <c r="W160" t="s">
        <v>2894</v>
      </c>
      <c r="X160" t="s">
        <v>2844</v>
      </c>
      <c r="Y160" t="s">
        <v>2815</v>
      </c>
      <c r="Z160" t="s">
        <v>2817</v>
      </c>
      <c r="AA160" t="s">
        <v>2817</v>
      </c>
      <c r="AB160" t="s">
        <v>2816</v>
      </c>
      <c r="AC160" t="s">
        <v>2818</v>
      </c>
      <c r="AD160" t="s">
        <v>2971</v>
      </c>
      <c r="AE160" t="s">
        <v>2820</v>
      </c>
      <c r="AF160" t="s">
        <v>2883</v>
      </c>
      <c r="AG160" t="s">
        <v>2930</v>
      </c>
      <c r="AH160" t="s">
        <v>2940</v>
      </c>
      <c r="AI160">
        <v>1</v>
      </c>
      <c r="AJ160">
        <v>882</v>
      </c>
      <c r="AK160">
        <v>88191.18</v>
      </c>
      <c r="AL160">
        <v>84.99</v>
      </c>
      <c r="AM160">
        <v>0.6351</v>
      </c>
      <c r="AN160">
        <v>21.49</v>
      </c>
      <c r="AO160">
        <v>4.2</v>
      </c>
      <c r="AP160">
        <v>289</v>
      </c>
      <c r="AQ160">
        <v>0.0658</v>
      </c>
      <c r="AR160">
        <v>58</v>
      </c>
      <c r="AT160" t="s">
        <v>1267</v>
      </c>
      <c r="AU160" t="s">
        <v>1492</v>
      </c>
      <c r="AV160">
        <v>336</v>
      </c>
      <c r="AW160">
        <v>1</v>
      </c>
      <c r="AX160">
        <v>1</v>
      </c>
      <c r="AY160" t="s">
        <v>1493</v>
      </c>
      <c r="AZ160" t="s">
        <v>1288</v>
      </c>
      <c r="BA160" t="s">
        <v>1494</v>
      </c>
      <c r="BB160" t="s">
        <v>856</v>
      </c>
      <c r="BC160" t="s">
        <v>1495</v>
      </c>
      <c r="BD160" t="s">
        <v>1496</v>
      </c>
    </row>
    <row r="161" ht="51.5" spans="1:56">
      <c r="A161" t="str">
        <f>_xlfn.DISPIMG("ID_1F02B86715A94ABAB5EED5849E66B5FD",1)</f>
        <v>=DISPIMG("ID_1F02B86715A94ABAB5EED5849E66B5FD",1)</v>
      </c>
      <c r="B161" t="s">
        <v>1497</v>
      </c>
      <c r="C161" t="s">
        <v>1497</v>
      </c>
      <c r="D161" t="s">
        <v>65</v>
      </c>
      <c r="E161" t="s">
        <v>1498</v>
      </c>
      <c r="F161" t="s">
        <v>1499</v>
      </c>
      <c r="G161" t="s">
        <v>1408</v>
      </c>
      <c r="H161" t="s">
        <v>1500</v>
      </c>
      <c r="I161" t="s">
        <v>1501</v>
      </c>
      <c r="J161" t="s">
        <v>65</v>
      </c>
      <c r="K161" t="s">
        <v>850</v>
      </c>
      <c r="L161" t="s">
        <v>851</v>
      </c>
      <c r="M161">
        <v>9527</v>
      </c>
      <c r="N161" t="s">
        <v>1029</v>
      </c>
      <c r="O161" t="s">
        <v>1502</v>
      </c>
      <c r="P161" t="s">
        <v>2809</v>
      </c>
      <c r="Q161">
        <v>7</v>
      </c>
      <c r="R161" t="s">
        <v>2941</v>
      </c>
      <c r="S161">
        <v>6.622</v>
      </c>
      <c r="T161" t="s">
        <v>2942</v>
      </c>
      <c r="U161" t="s">
        <v>2972</v>
      </c>
      <c r="V161" t="s">
        <v>2812</v>
      </c>
      <c r="W161" t="s">
        <v>2894</v>
      </c>
      <c r="X161" t="s">
        <v>2844</v>
      </c>
      <c r="Y161" t="s">
        <v>2815</v>
      </c>
      <c r="Z161" t="s">
        <v>2816</v>
      </c>
      <c r="AA161" t="s">
        <v>2817</v>
      </c>
      <c r="AB161" t="s">
        <v>2816</v>
      </c>
      <c r="AC161" t="s">
        <v>2818</v>
      </c>
      <c r="AD161" t="s">
        <v>2819</v>
      </c>
      <c r="AE161" t="s">
        <v>2820</v>
      </c>
      <c r="AF161" t="s">
        <v>2900</v>
      </c>
      <c r="AG161" t="s">
        <v>2822</v>
      </c>
      <c r="AH161" t="s">
        <v>2911</v>
      </c>
      <c r="AI161">
        <v>1</v>
      </c>
      <c r="AJ161">
        <v>398</v>
      </c>
      <c r="AK161">
        <v>33833.98</v>
      </c>
      <c r="AL161">
        <v>85.01</v>
      </c>
      <c r="AM161">
        <v>0.5478</v>
      </c>
      <c r="AN161">
        <v>25.69</v>
      </c>
      <c r="AO161">
        <v>4.6</v>
      </c>
      <c r="AP161">
        <v>627</v>
      </c>
      <c r="AQ161">
        <v>0.0528</v>
      </c>
      <c r="AR161">
        <v>21</v>
      </c>
      <c r="AT161" t="s">
        <v>1267</v>
      </c>
      <c r="AU161" t="s">
        <v>1503</v>
      </c>
      <c r="AV161">
        <v>766</v>
      </c>
      <c r="AW161">
        <v>1</v>
      </c>
      <c r="AX161">
        <v>4</v>
      </c>
      <c r="AY161" t="s">
        <v>1032</v>
      </c>
      <c r="AZ161" t="s">
        <v>65</v>
      </c>
      <c r="BA161" t="s">
        <v>1033</v>
      </c>
      <c r="BB161" t="s">
        <v>856</v>
      </c>
      <c r="BC161" t="s">
        <v>1504</v>
      </c>
      <c r="BD161" t="s">
        <v>1505</v>
      </c>
    </row>
    <row r="162" ht="51.5" spans="1:56">
      <c r="A162" t="str">
        <f>_xlfn.DISPIMG("ID_8C83148C43504D86A1DB58E8CCDF7309",1)</f>
        <v>=DISPIMG("ID_8C83148C43504D86A1DB58E8CCDF7309",1)</v>
      </c>
      <c r="B162" t="s">
        <v>1506</v>
      </c>
      <c r="C162" t="s">
        <v>1507</v>
      </c>
      <c r="D162" t="s">
        <v>1508</v>
      </c>
      <c r="E162" t="s">
        <v>1509</v>
      </c>
      <c r="F162" t="s">
        <v>1510</v>
      </c>
      <c r="G162" t="s">
        <v>1511</v>
      </c>
      <c r="H162" t="s">
        <v>1512</v>
      </c>
      <c r="I162" t="s">
        <v>1513</v>
      </c>
      <c r="J162" t="s">
        <v>934</v>
      </c>
      <c r="K162" t="s">
        <v>1326</v>
      </c>
      <c r="L162" t="s">
        <v>851</v>
      </c>
      <c r="M162">
        <v>9943</v>
      </c>
      <c r="N162" t="s">
        <v>1327</v>
      </c>
      <c r="O162" t="s">
        <v>1514</v>
      </c>
      <c r="P162" t="s">
        <v>2809</v>
      </c>
      <c r="Q162">
        <v>19</v>
      </c>
      <c r="R162" t="s">
        <v>2973</v>
      </c>
      <c r="S162">
        <v>17.974</v>
      </c>
      <c r="T162" t="s">
        <v>2974</v>
      </c>
      <c r="U162" t="s">
        <v>2877</v>
      </c>
      <c r="V162" t="s">
        <v>2904</v>
      </c>
      <c r="W162" t="s">
        <v>2837</v>
      </c>
      <c r="X162" t="s">
        <v>2828</v>
      </c>
      <c r="Y162" t="s">
        <v>2829</v>
      </c>
      <c r="Z162" t="s">
        <v>2817</v>
      </c>
      <c r="AA162" t="s">
        <v>2816</v>
      </c>
      <c r="AB162" t="s">
        <v>2816</v>
      </c>
      <c r="AC162" t="s">
        <v>2863</v>
      </c>
      <c r="AD162" t="s">
        <v>2839</v>
      </c>
      <c r="AE162" t="s">
        <v>2830</v>
      </c>
      <c r="AF162" t="s">
        <v>2831</v>
      </c>
      <c r="AG162" t="s">
        <v>2930</v>
      </c>
      <c r="AH162" t="s">
        <v>2823</v>
      </c>
      <c r="AI162">
        <v>1</v>
      </c>
      <c r="AJ162">
        <v>817</v>
      </c>
      <c r="AK162">
        <v>81691.83</v>
      </c>
      <c r="AL162">
        <v>99.99</v>
      </c>
      <c r="AM162">
        <v>0.6358</v>
      </c>
      <c r="AN162">
        <v>24.85</v>
      </c>
      <c r="AO162">
        <v>4.2</v>
      </c>
      <c r="AP162">
        <v>7786</v>
      </c>
      <c r="AQ162">
        <v>0.0771</v>
      </c>
      <c r="AR162">
        <v>63</v>
      </c>
      <c r="AT162" t="s">
        <v>854</v>
      </c>
      <c r="AU162" t="s">
        <v>914</v>
      </c>
      <c r="AV162">
        <v>605</v>
      </c>
      <c r="AW162">
        <v>3</v>
      </c>
      <c r="AX162">
        <v>3</v>
      </c>
      <c r="AY162" t="s">
        <v>1515</v>
      </c>
      <c r="AZ162" t="s">
        <v>65</v>
      </c>
      <c r="BA162" t="s">
        <v>65</v>
      </c>
      <c r="BB162" t="s">
        <v>1516</v>
      </c>
      <c r="BC162" t="s">
        <v>1517</v>
      </c>
      <c r="BD162" t="s">
        <v>1518</v>
      </c>
    </row>
    <row r="163" ht="51.5" spans="1:56">
      <c r="A163" t="str">
        <f>_xlfn.DISPIMG("ID_888A755A882D4513BC9D8F5FC20B3AC9",1)</f>
        <v>=DISPIMG("ID_888A755A882D4513BC9D8F5FC20B3AC9",1)</v>
      </c>
      <c r="B163" t="s">
        <v>1519</v>
      </c>
      <c r="C163" t="s">
        <v>1519</v>
      </c>
      <c r="D163" t="s">
        <v>65</v>
      </c>
      <c r="E163" t="s">
        <v>1520</v>
      </c>
      <c r="F163" t="s">
        <v>1521</v>
      </c>
      <c r="G163" t="s">
        <v>971</v>
      </c>
      <c r="H163" t="s">
        <v>1522</v>
      </c>
      <c r="I163" t="s">
        <v>1523</v>
      </c>
      <c r="J163" t="s">
        <v>934</v>
      </c>
      <c r="K163" t="s">
        <v>850</v>
      </c>
      <c r="L163" t="s">
        <v>851</v>
      </c>
      <c r="M163">
        <v>12327</v>
      </c>
      <c r="N163" t="s">
        <v>852</v>
      </c>
      <c r="O163" t="s">
        <v>1524</v>
      </c>
      <c r="P163" t="s">
        <v>2809</v>
      </c>
      <c r="Q163">
        <v>6</v>
      </c>
      <c r="R163" t="s">
        <v>2841</v>
      </c>
      <c r="S163">
        <v>5.676</v>
      </c>
      <c r="T163" t="s">
        <v>2842</v>
      </c>
      <c r="U163" t="s">
        <v>64</v>
      </c>
      <c r="V163" t="s">
        <v>2812</v>
      </c>
      <c r="W163" t="s">
        <v>2878</v>
      </c>
      <c r="X163" t="s">
        <v>2874</v>
      </c>
      <c r="Y163" t="s">
        <v>2815</v>
      </c>
      <c r="Z163" t="s">
        <v>2816</v>
      </c>
      <c r="AA163" t="s">
        <v>2817</v>
      </c>
      <c r="AB163" t="s">
        <v>2817</v>
      </c>
      <c r="AC163" t="s">
        <v>2922</v>
      </c>
      <c r="AD163" t="s">
        <v>2850</v>
      </c>
      <c r="AE163" t="s">
        <v>2840</v>
      </c>
      <c r="AF163" t="s">
        <v>2821</v>
      </c>
      <c r="AG163" t="s">
        <v>2865</v>
      </c>
      <c r="AH163" t="s">
        <v>2823</v>
      </c>
      <c r="AI163">
        <v>1</v>
      </c>
      <c r="AJ163">
        <v>869</v>
      </c>
      <c r="AK163">
        <v>90376</v>
      </c>
      <c r="AL163">
        <v>104</v>
      </c>
      <c r="AM163">
        <v>0.5909</v>
      </c>
      <c r="AN163">
        <v>26.95</v>
      </c>
      <c r="AO163">
        <v>4.5</v>
      </c>
      <c r="AP163">
        <v>3107</v>
      </c>
      <c r="AQ163">
        <v>0.0357</v>
      </c>
      <c r="AR163">
        <v>31</v>
      </c>
      <c r="AT163" t="s">
        <v>876</v>
      </c>
      <c r="AU163" t="s">
        <v>1525</v>
      </c>
      <c r="AV163">
        <v>1285</v>
      </c>
      <c r="AW163">
        <v>1</v>
      </c>
      <c r="AX163">
        <v>8</v>
      </c>
      <c r="AY163" t="s">
        <v>1515</v>
      </c>
      <c r="AZ163" t="s">
        <v>65</v>
      </c>
      <c r="BA163" t="s">
        <v>65</v>
      </c>
      <c r="BB163" t="s">
        <v>1516</v>
      </c>
      <c r="BC163" t="s">
        <v>1526</v>
      </c>
      <c r="BD163" t="s">
        <v>1527</v>
      </c>
    </row>
    <row r="164" ht="51.5" spans="1:56">
      <c r="A164" t="str">
        <f>_xlfn.DISPIMG("ID_CB4B079C03484E1FABD66C3A8EE5DBCA",1)</f>
        <v>=DISPIMG("ID_CB4B079C03484E1FABD66C3A8EE5DBCA",1)</v>
      </c>
      <c r="B164" t="s">
        <v>130</v>
      </c>
      <c r="C164" t="s">
        <v>130</v>
      </c>
      <c r="D164" t="s">
        <v>65</v>
      </c>
      <c r="E164" t="s">
        <v>1540</v>
      </c>
      <c r="F164" t="s">
        <v>1541</v>
      </c>
      <c r="G164" t="s">
        <v>1173</v>
      </c>
      <c r="H164" t="s">
        <v>1542</v>
      </c>
      <c r="I164" t="s">
        <v>1543</v>
      </c>
      <c r="J164" t="s">
        <v>934</v>
      </c>
      <c r="K164" t="s">
        <v>850</v>
      </c>
      <c r="L164" t="s">
        <v>851</v>
      </c>
      <c r="M164">
        <v>11099</v>
      </c>
      <c r="N164" t="s">
        <v>852</v>
      </c>
      <c r="O164" t="s">
        <v>1544</v>
      </c>
      <c r="P164" t="s">
        <v>2809</v>
      </c>
      <c r="Q164">
        <v>12.7</v>
      </c>
      <c r="R164" t="s">
        <v>2975</v>
      </c>
      <c r="S164">
        <v>12.0142</v>
      </c>
      <c r="T164" t="s">
        <v>2976</v>
      </c>
      <c r="U164" t="s">
        <v>2877</v>
      </c>
      <c r="V164" t="s">
        <v>2836</v>
      </c>
      <c r="W164" t="s">
        <v>2977</v>
      </c>
      <c r="X164" t="s">
        <v>2853</v>
      </c>
      <c r="Y164" t="s">
        <v>2978</v>
      </c>
      <c r="Z164" t="s">
        <v>2817</v>
      </c>
      <c r="AA164" t="s">
        <v>2817</v>
      </c>
      <c r="AB164" t="s">
        <v>2816</v>
      </c>
      <c r="AC164" t="s">
        <v>2818</v>
      </c>
      <c r="AD164" t="s">
        <v>2839</v>
      </c>
      <c r="AE164" t="s">
        <v>2820</v>
      </c>
      <c r="AF164" t="s">
        <v>2821</v>
      </c>
      <c r="AG164" t="s">
        <v>2865</v>
      </c>
      <c r="AH164" t="s">
        <v>2823</v>
      </c>
      <c r="AI164">
        <v>1</v>
      </c>
      <c r="AJ164">
        <v>949</v>
      </c>
      <c r="AK164">
        <v>81272.36</v>
      </c>
      <c r="AL164">
        <v>85.66</v>
      </c>
      <c r="AM164">
        <v>0.5844</v>
      </c>
      <c r="AN164">
        <v>22.75</v>
      </c>
      <c r="AO164">
        <v>4.4</v>
      </c>
      <c r="AP164">
        <v>10891</v>
      </c>
      <c r="AQ164">
        <v>0.1201</v>
      </c>
      <c r="AR164">
        <v>114</v>
      </c>
      <c r="AS164">
        <v>73</v>
      </c>
      <c r="AT164" t="s">
        <v>876</v>
      </c>
      <c r="AU164" t="s">
        <v>1545</v>
      </c>
      <c r="AV164">
        <v>1629</v>
      </c>
      <c r="AW164">
        <v>1</v>
      </c>
      <c r="AX164">
        <v>1</v>
      </c>
      <c r="AY164" t="s">
        <v>867</v>
      </c>
      <c r="AZ164" t="s">
        <v>65</v>
      </c>
      <c r="BA164" t="s">
        <v>65</v>
      </c>
      <c r="BB164" t="s">
        <v>856</v>
      </c>
      <c r="BC164" t="s">
        <v>1546</v>
      </c>
      <c r="BD164" t="s">
        <v>1547</v>
      </c>
    </row>
    <row r="165" ht="51.5" spans="1:56">
      <c r="A165" t="str">
        <f>_xlfn.DISPIMG("ID_17D2559E86F44A54A0A9006016AB2DA9",1)</f>
        <v>=DISPIMG("ID_17D2559E86F44A54A0A9006016AB2DA9",1)</v>
      </c>
      <c r="B165" t="s">
        <v>1548</v>
      </c>
      <c r="C165" t="s">
        <v>1548</v>
      </c>
      <c r="D165" t="s">
        <v>65</v>
      </c>
      <c r="E165" t="s">
        <v>1549</v>
      </c>
      <c r="F165" t="s">
        <v>1550</v>
      </c>
      <c r="G165" t="s">
        <v>954</v>
      </c>
      <c r="H165" t="s">
        <v>1551</v>
      </c>
      <c r="I165" t="s">
        <v>1552</v>
      </c>
      <c r="J165" t="s">
        <v>934</v>
      </c>
      <c r="K165" t="s">
        <v>850</v>
      </c>
      <c r="L165" t="s">
        <v>851</v>
      </c>
      <c r="M165">
        <v>12047</v>
      </c>
      <c r="N165" t="s">
        <v>852</v>
      </c>
      <c r="O165" t="s">
        <v>1553</v>
      </c>
      <c r="P165" t="s">
        <v>2809</v>
      </c>
      <c r="Q165">
        <v>7</v>
      </c>
      <c r="R165" t="s">
        <v>2941</v>
      </c>
      <c r="S165">
        <v>6.622</v>
      </c>
      <c r="T165" t="s">
        <v>2942</v>
      </c>
      <c r="U165" t="s">
        <v>64</v>
      </c>
      <c r="V165" t="s">
        <v>2812</v>
      </c>
      <c r="W165" t="s">
        <v>2849</v>
      </c>
      <c r="X165" t="s">
        <v>2844</v>
      </c>
      <c r="Y165" t="s">
        <v>2815</v>
      </c>
      <c r="Z165" t="s">
        <v>2816</v>
      </c>
      <c r="AA165" t="s">
        <v>2817</v>
      </c>
      <c r="AB165" t="s">
        <v>2816</v>
      </c>
      <c r="AC165" t="s">
        <v>2818</v>
      </c>
      <c r="AD165" t="s">
        <v>2889</v>
      </c>
      <c r="AE165" t="s">
        <v>2830</v>
      </c>
      <c r="AF165" t="s">
        <v>2900</v>
      </c>
      <c r="AG165" t="s">
        <v>2822</v>
      </c>
      <c r="AH165" t="s">
        <v>2868</v>
      </c>
      <c r="AI165">
        <v>1</v>
      </c>
      <c r="AJ165">
        <v>891</v>
      </c>
      <c r="AK165">
        <v>80635.5</v>
      </c>
      <c r="AL165">
        <v>90.5</v>
      </c>
      <c r="AM165">
        <v>0.6543</v>
      </c>
      <c r="AN165">
        <v>17.71</v>
      </c>
      <c r="AO165">
        <v>4.6</v>
      </c>
      <c r="AP165">
        <v>807</v>
      </c>
      <c r="AQ165">
        <v>0.0864</v>
      </c>
      <c r="AR165">
        <v>77</v>
      </c>
      <c r="AT165" t="s">
        <v>854</v>
      </c>
      <c r="AU165" t="s">
        <v>1554</v>
      </c>
      <c r="AV165">
        <v>825</v>
      </c>
      <c r="AW165">
        <v>1</v>
      </c>
      <c r="AX165">
        <v>1</v>
      </c>
      <c r="AY165" t="s">
        <v>867</v>
      </c>
      <c r="AZ165" t="s">
        <v>65</v>
      </c>
      <c r="BA165" t="s">
        <v>65</v>
      </c>
      <c r="BB165" t="s">
        <v>856</v>
      </c>
      <c r="BC165" t="s">
        <v>1555</v>
      </c>
      <c r="BD165" t="s">
        <v>1556</v>
      </c>
    </row>
    <row r="166" ht="51.5" spans="1:56">
      <c r="A166" t="str">
        <f>_xlfn.DISPIMG("ID_E72CFFF1B748493989220C334F229A7A",1)</f>
        <v>=DISPIMG("ID_E72CFFF1B748493989220C334F229A7A",1)</v>
      </c>
      <c r="B166" t="s">
        <v>1557</v>
      </c>
      <c r="C166" t="s">
        <v>1557</v>
      </c>
      <c r="D166" t="s">
        <v>65</v>
      </c>
      <c r="E166" t="s">
        <v>1558</v>
      </c>
      <c r="F166" t="s">
        <v>1559</v>
      </c>
      <c r="G166" t="s">
        <v>954</v>
      </c>
      <c r="H166" t="s">
        <v>1560</v>
      </c>
      <c r="I166" t="s">
        <v>1561</v>
      </c>
      <c r="J166" t="s">
        <v>1003</v>
      </c>
      <c r="K166" t="s">
        <v>850</v>
      </c>
      <c r="L166" t="s">
        <v>851</v>
      </c>
      <c r="M166">
        <v>14264</v>
      </c>
      <c r="N166" t="s">
        <v>852</v>
      </c>
      <c r="O166" t="s">
        <v>1562</v>
      </c>
      <c r="P166" t="s">
        <v>2852</v>
      </c>
      <c r="Q166">
        <v>8</v>
      </c>
      <c r="R166" t="s">
        <v>2869</v>
      </c>
      <c r="S166">
        <v>7.568</v>
      </c>
      <c r="T166" t="s">
        <v>2870</v>
      </c>
      <c r="U166" t="s">
        <v>64</v>
      </c>
      <c r="V166" t="s">
        <v>2812</v>
      </c>
      <c r="W166" t="s">
        <v>2849</v>
      </c>
      <c r="X166" t="s">
        <v>2844</v>
      </c>
      <c r="Y166" t="s">
        <v>2815</v>
      </c>
      <c r="Z166" t="s">
        <v>2816</v>
      </c>
      <c r="AA166" t="s">
        <v>2817</v>
      </c>
      <c r="AB166" t="s">
        <v>2816</v>
      </c>
      <c r="AC166" t="s">
        <v>2818</v>
      </c>
      <c r="AD166" t="s">
        <v>2839</v>
      </c>
      <c r="AE166" t="s">
        <v>2820</v>
      </c>
      <c r="AF166" t="s">
        <v>2900</v>
      </c>
      <c r="AG166" t="s">
        <v>2930</v>
      </c>
      <c r="AH166" t="s">
        <v>2979</v>
      </c>
      <c r="AI166">
        <v>1</v>
      </c>
      <c r="AJ166">
        <v>531</v>
      </c>
      <c r="AK166">
        <v>43127.82</v>
      </c>
      <c r="AL166">
        <v>81.22</v>
      </c>
      <c r="AM166">
        <v>0.5958</v>
      </c>
      <c r="AN166">
        <v>20.65</v>
      </c>
      <c r="AO166">
        <v>4.2</v>
      </c>
      <c r="AP166">
        <v>55</v>
      </c>
      <c r="AQ166">
        <v>0.0075</v>
      </c>
      <c r="AR166">
        <v>4</v>
      </c>
      <c r="AT166" t="s">
        <v>876</v>
      </c>
      <c r="AU166" t="s">
        <v>1563</v>
      </c>
      <c r="AV166">
        <v>868</v>
      </c>
      <c r="AW166">
        <v>1</v>
      </c>
      <c r="AX166">
        <v>1</v>
      </c>
      <c r="AY166" t="s">
        <v>867</v>
      </c>
      <c r="AZ166" t="s">
        <v>65</v>
      </c>
      <c r="BA166" t="s">
        <v>65</v>
      </c>
      <c r="BB166" t="s">
        <v>856</v>
      </c>
      <c r="BC166" t="s">
        <v>1112</v>
      </c>
      <c r="BD166" t="s">
        <v>1564</v>
      </c>
    </row>
    <row r="167" ht="51.5" spans="1:56">
      <c r="A167" t="str">
        <f>_xlfn.DISPIMG("ID_09D48146F971440D80F2FC5359F757BB",1)</f>
        <v>=DISPIMG("ID_09D48146F971440D80F2FC5359F757BB",1)</v>
      </c>
      <c r="B167" t="s">
        <v>1565</v>
      </c>
      <c r="C167" t="s">
        <v>1565</v>
      </c>
      <c r="D167" t="s">
        <v>65</v>
      </c>
      <c r="E167" t="s">
        <v>1566</v>
      </c>
      <c r="F167" t="s">
        <v>1567</v>
      </c>
      <c r="G167" t="s">
        <v>971</v>
      </c>
      <c r="H167" t="s">
        <v>1568</v>
      </c>
      <c r="I167" t="s">
        <v>1569</v>
      </c>
      <c r="J167" t="s">
        <v>974</v>
      </c>
      <c r="K167" t="s">
        <v>850</v>
      </c>
      <c r="L167" t="s">
        <v>851</v>
      </c>
      <c r="M167">
        <v>10986</v>
      </c>
      <c r="N167" t="s">
        <v>852</v>
      </c>
      <c r="O167" t="s">
        <v>1472</v>
      </c>
      <c r="P167" t="s">
        <v>2809</v>
      </c>
      <c r="Q167">
        <v>15.5</v>
      </c>
      <c r="R167" t="s">
        <v>2980</v>
      </c>
      <c r="S167">
        <v>14.663</v>
      </c>
      <c r="T167" t="s">
        <v>2981</v>
      </c>
      <c r="U167" t="s">
        <v>2877</v>
      </c>
      <c r="V167" t="s">
        <v>2836</v>
      </c>
      <c r="W167" t="s">
        <v>2938</v>
      </c>
      <c r="X167" t="s">
        <v>2828</v>
      </c>
      <c r="Y167" t="s">
        <v>2815</v>
      </c>
      <c r="Z167" t="s">
        <v>2817</v>
      </c>
      <c r="AA167" t="s">
        <v>2817</v>
      </c>
      <c r="AB167" t="s">
        <v>2817</v>
      </c>
      <c r="AC167" t="s">
        <v>2922</v>
      </c>
      <c r="AD167" t="s">
        <v>2839</v>
      </c>
      <c r="AE167" t="s">
        <v>2913</v>
      </c>
      <c r="AF167" t="s">
        <v>2851</v>
      </c>
      <c r="AG167" t="s">
        <v>2865</v>
      </c>
      <c r="AH167" t="s">
        <v>2823</v>
      </c>
      <c r="AI167">
        <v>1</v>
      </c>
      <c r="AJ167">
        <v>814</v>
      </c>
      <c r="AK167">
        <v>131452.86</v>
      </c>
      <c r="AL167">
        <v>161.49</v>
      </c>
      <c r="AM167">
        <v>0.7065</v>
      </c>
      <c r="AN167">
        <v>23.17</v>
      </c>
      <c r="AO167">
        <v>4.4</v>
      </c>
      <c r="AP167">
        <v>15778</v>
      </c>
      <c r="AQ167">
        <v>0.0676</v>
      </c>
      <c r="AR167">
        <v>55</v>
      </c>
      <c r="AT167" t="s">
        <v>876</v>
      </c>
      <c r="AU167" t="s">
        <v>1570</v>
      </c>
      <c r="AV167">
        <v>1046</v>
      </c>
      <c r="AW167">
        <v>1</v>
      </c>
      <c r="AX167">
        <v>1</v>
      </c>
      <c r="AY167" t="s">
        <v>867</v>
      </c>
      <c r="AZ167" t="s">
        <v>65</v>
      </c>
      <c r="BA167" t="s">
        <v>65</v>
      </c>
      <c r="BB167" t="s">
        <v>856</v>
      </c>
      <c r="BC167" t="s">
        <v>1571</v>
      </c>
      <c r="BD167" t="s">
        <v>1572</v>
      </c>
    </row>
    <row r="168" ht="51.5" spans="1:56">
      <c r="A168" t="str">
        <f>_xlfn.DISPIMG("ID_69D8304B4C734971B5962BEF265D5C42",1)</f>
        <v>=DISPIMG("ID_69D8304B4C734971B5962BEF265D5C42",1)</v>
      </c>
      <c r="B168" t="s">
        <v>1573</v>
      </c>
      <c r="C168" t="s">
        <v>1573</v>
      </c>
      <c r="D168" t="s">
        <v>65</v>
      </c>
      <c r="E168" t="s">
        <v>1574</v>
      </c>
      <c r="F168" t="s">
        <v>1575</v>
      </c>
      <c r="G168" t="s">
        <v>1059</v>
      </c>
      <c r="H168" t="s">
        <v>1576</v>
      </c>
      <c r="I168" t="s">
        <v>1577</v>
      </c>
      <c r="J168" t="s">
        <v>974</v>
      </c>
      <c r="K168" t="s">
        <v>850</v>
      </c>
      <c r="L168" t="s">
        <v>851</v>
      </c>
      <c r="M168">
        <v>10598</v>
      </c>
      <c r="N168" t="s">
        <v>852</v>
      </c>
      <c r="O168" t="s">
        <v>1578</v>
      </c>
      <c r="P168" t="s">
        <v>2809</v>
      </c>
      <c r="Q168">
        <v>9</v>
      </c>
      <c r="R168" t="s">
        <v>2982</v>
      </c>
      <c r="S168">
        <v>8.514</v>
      </c>
      <c r="T168" t="s">
        <v>2983</v>
      </c>
      <c r="U168" t="s">
        <v>64</v>
      </c>
      <c r="V168" t="s">
        <v>2855</v>
      </c>
      <c r="W168" t="s">
        <v>2878</v>
      </c>
      <c r="X168" t="s">
        <v>2844</v>
      </c>
      <c r="Y168" t="s">
        <v>2815</v>
      </c>
      <c r="Z168" t="s">
        <v>2816</v>
      </c>
      <c r="AA168" t="s">
        <v>2817</v>
      </c>
      <c r="AB168" t="s">
        <v>2816</v>
      </c>
      <c r="AC168" t="s">
        <v>2818</v>
      </c>
      <c r="AD168" t="s">
        <v>2819</v>
      </c>
      <c r="AE168" t="s">
        <v>2984</v>
      </c>
      <c r="AF168" t="s">
        <v>2831</v>
      </c>
      <c r="AG168" t="s">
        <v>2865</v>
      </c>
      <c r="AH168" t="s">
        <v>2823</v>
      </c>
      <c r="AI168">
        <v>1</v>
      </c>
      <c r="AJ168">
        <v>768</v>
      </c>
      <c r="AK168">
        <v>107512.33</v>
      </c>
      <c r="AL168">
        <v>139.99</v>
      </c>
      <c r="AM168">
        <v>0.6875</v>
      </c>
      <c r="AN168">
        <v>22.75</v>
      </c>
      <c r="AO168">
        <v>4.5</v>
      </c>
      <c r="AP168">
        <v>3116</v>
      </c>
      <c r="AQ168">
        <v>0.1237</v>
      </c>
      <c r="AR168">
        <v>95</v>
      </c>
      <c r="AT168" t="s">
        <v>854</v>
      </c>
      <c r="AU168" t="s">
        <v>1579</v>
      </c>
      <c r="AV168">
        <v>599</v>
      </c>
      <c r="AW168">
        <v>1</v>
      </c>
      <c r="AX168">
        <v>8</v>
      </c>
      <c r="AY168" t="s">
        <v>65</v>
      </c>
      <c r="AZ168" t="s">
        <v>65</v>
      </c>
      <c r="BA168" t="s">
        <v>65</v>
      </c>
      <c r="BB168" t="s">
        <v>856</v>
      </c>
      <c r="BC168" t="s">
        <v>1580</v>
      </c>
      <c r="BD168" t="s">
        <v>1581</v>
      </c>
    </row>
    <row r="169" ht="51.5" spans="1:56">
      <c r="A169" t="str">
        <f>_xlfn.DISPIMG("ID_00011A14DD764057925EAB93B1C32B51",1)</f>
        <v>=DISPIMG("ID_00011A14DD764057925EAB93B1C32B51",1)</v>
      </c>
      <c r="B169" t="s">
        <v>1582</v>
      </c>
      <c r="C169" t="s">
        <v>1582</v>
      </c>
      <c r="D169" t="s">
        <v>65</v>
      </c>
      <c r="E169" t="s">
        <v>1583</v>
      </c>
      <c r="F169" t="s">
        <v>1584</v>
      </c>
      <c r="G169" t="s">
        <v>1059</v>
      </c>
      <c r="H169" t="s">
        <v>1585</v>
      </c>
      <c r="I169" t="s">
        <v>1586</v>
      </c>
      <c r="J169" t="s">
        <v>934</v>
      </c>
      <c r="K169" t="s">
        <v>850</v>
      </c>
      <c r="L169" t="s">
        <v>851</v>
      </c>
      <c r="M169">
        <v>8252</v>
      </c>
      <c r="N169" t="s">
        <v>852</v>
      </c>
      <c r="O169" t="s">
        <v>1285</v>
      </c>
      <c r="P169" t="s">
        <v>2809</v>
      </c>
      <c r="Q169">
        <v>5</v>
      </c>
      <c r="R169" t="s">
        <v>2825</v>
      </c>
      <c r="S169">
        <v>4.73</v>
      </c>
      <c r="T169" t="s">
        <v>2826</v>
      </c>
      <c r="U169" t="s">
        <v>64</v>
      </c>
      <c r="V169" t="s">
        <v>2812</v>
      </c>
      <c r="W169" t="s">
        <v>2878</v>
      </c>
      <c r="X169" t="s">
        <v>2950</v>
      </c>
      <c r="Y169" t="s">
        <v>2829</v>
      </c>
      <c r="Z169" t="s">
        <v>2817</v>
      </c>
      <c r="AA169" t="s">
        <v>2817</v>
      </c>
      <c r="AB169" t="s">
        <v>2816</v>
      </c>
      <c r="AC169" t="s">
        <v>2818</v>
      </c>
      <c r="AD169" t="s">
        <v>2971</v>
      </c>
      <c r="AE169" t="s">
        <v>2830</v>
      </c>
      <c r="AF169" t="s">
        <v>2883</v>
      </c>
      <c r="AG169" t="s">
        <v>2822</v>
      </c>
      <c r="AH169" t="s">
        <v>2868</v>
      </c>
      <c r="AI169">
        <v>1</v>
      </c>
      <c r="AJ169">
        <v>1180</v>
      </c>
      <c r="AK169">
        <v>117988.195</v>
      </c>
      <c r="AL169">
        <v>99.99</v>
      </c>
      <c r="AM169">
        <v>0.6603</v>
      </c>
      <c r="AN169">
        <v>18.97</v>
      </c>
      <c r="AO169">
        <v>4.6</v>
      </c>
      <c r="AP169">
        <v>914</v>
      </c>
      <c r="AQ169">
        <v>0.0534</v>
      </c>
      <c r="AR169">
        <v>63</v>
      </c>
      <c r="AT169" t="s">
        <v>876</v>
      </c>
      <c r="AU169" t="s">
        <v>1587</v>
      </c>
      <c r="AV169">
        <v>248</v>
      </c>
      <c r="AW169">
        <v>1</v>
      </c>
      <c r="AX169">
        <v>1</v>
      </c>
      <c r="AY169" t="s">
        <v>867</v>
      </c>
      <c r="AZ169" t="s">
        <v>65</v>
      </c>
      <c r="BA169" t="s">
        <v>65</v>
      </c>
      <c r="BB169" t="s">
        <v>856</v>
      </c>
      <c r="BC169" t="s">
        <v>1588</v>
      </c>
      <c r="BD169" t="s">
        <v>1589</v>
      </c>
    </row>
    <row r="170" ht="51.5" spans="1:56">
      <c r="A170" t="str">
        <f>_xlfn.DISPIMG("ID_31DC207AD3C44AAD8B67DA009FFB8A3D",1)</f>
        <v>=DISPIMG("ID_31DC207AD3C44AAD8B67DA009FFB8A3D",1)</v>
      </c>
      <c r="B170" t="s">
        <v>1602</v>
      </c>
      <c r="C170" t="s">
        <v>1602</v>
      </c>
      <c r="D170" t="s">
        <v>65</v>
      </c>
      <c r="E170" t="s">
        <v>1603</v>
      </c>
      <c r="F170" t="s">
        <v>1604</v>
      </c>
      <c r="G170" t="s">
        <v>846</v>
      </c>
      <c r="H170" t="s">
        <v>1605</v>
      </c>
      <c r="I170" t="s">
        <v>1606</v>
      </c>
      <c r="J170" t="s">
        <v>65</v>
      </c>
      <c r="K170" t="s">
        <v>850</v>
      </c>
      <c r="L170" t="s">
        <v>851</v>
      </c>
      <c r="M170">
        <v>13660</v>
      </c>
      <c r="N170" t="s">
        <v>852</v>
      </c>
      <c r="O170" t="s">
        <v>1607</v>
      </c>
      <c r="P170" t="s">
        <v>2832</v>
      </c>
      <c r="Q170">
        <v>26</v>
      </c>
      <c r="R170" t="s">
        <v>2891</v>
      </c>
      <c r="S170">
        <v>24.596</v>
      </c>
      <c r="T170" t="s">
        <v>2892</v>
      </c>
      <c r="U170" t="s">
        <v>2877</v>
      </c>
      <c r="V170" t="s">
        <v>2836</v>
      </c>
      <c r="W170" t="s">
        <v>2878</v>
      </c>
      <c r="X170" t="s">
        <v>2874</v>
      </c>
      <c r="Y170" t="s">
        <v>2829</v>
      </c>
      <c r="Z170" t="s">
        <v>2817</v>
      </c>
      <c r="AA170" t="s">
        <v>2817</v>
      </c>
      <c r="AB170" t="s">
        <v>2816</v>
      </c>
      <c r="AC170" t="s">
        <v>2845</v>
      </c>
      <c r="AD170" t="s">
        <v>2985</v>
      </c>
      <c r="AE170" t="s">
        <v>2890</v>
      </c>
      <c r="AF170" t="s">
        <v>2821</v>
      </c>
      <c r="AG170" t="s">
        <v>2865</v>
      </c>
      <c r="AH170" t="s">
        <v>2823</v>
      </c>
      <c r="AI170">
        <v>1</v>
      </c>
      <c r="AJ170">
        <v>704</v>
      </c>
      <c r="AK170">
        <v>111900.8</v>
      </c>
      <c r="AL170">
        <v>158.95</v>
      </c>
      <c r="AM170">
        <v>0.7122</v>
      </c>
      <c r="AN170">
        <v>21.91</v>
      </c>
      <c r="AO170">
        <v>4.5</v>
      </c>
      <c r="AP170">
        <v>1887</v>
      </c>
      <c r="AQ170">
        <v>0.0483</v>
      </c>
      <c r="AR170">
        <v>34</v>
      </c>
      <c r="AT170" t="s">
        <v>854</v>
      </c>
      <c r="AU170" t="s">
        <v>1608</v>
      </c>
      <c r="AV170">
        <v>1300</v>
      </c>
      <c r="AW170">
        <v>1</v>
      </c>
      <c r="AX170">
        <v>1</v>
      </c>
      <c r="AY170" t="s">
        <v>1609</v>
      </c>
      <c r="AZ170" t="s">
        <v>65</v>
      </c>
      <c r="BA170" t="s">
        <v>1610</v>
      </c>
      <c r="BB170" t="s">
        <v>856</v>
      </c>
      <c r="BC170" t="s">
        <v>1611</v>
      </c>
      <c r="BD170" t="s">
        <v>1612</v>
      </c>
    </row>
    <row r="171" ht="51.5" spans="1:56">
      <c r="A171" t="str">
        <f>_xlfn.DISPIMG("ID_073D25E4DD884F82A44918BB058A6FA0",1)</f>
        <v>=DISPIMG("ID_073D25E4DD884F82A44918BB058A6FA0",1)</v>
      </c>
      <c r="B171" t="s">
        <v>761</v>
      </c>
      <c r="C171" t="s">
        <v>761</v>
      </c>
      <c r="D171" t="s">
        <v>65</v>
      </c>
      <c r="E171" t="s">
        <v>1613</v>
      </c>
      <c r="F171" t="s">
        <v>1614</v>
      </c>
      <c r="G171" t="s">
        <v>1221</v>
      </c>
      <c r="H171" t="s">
        <v>1615</v>
      </c>
      <c r="I171" t="s">
        <v>1616</v>
      </c>
      <c r="J171" t="s">
        <v>934</v>
      </c>
      <c r="K171" t="s">
        <v>850</v>
      </c>
      <c r="L171" t="s">
        <v>851</v>
      </c>
      <c r="M171">
        <v>13775</v>
      </c>
      <c r="N171" t="s">
        <v>852</v>
      </c>
      <c r="O171" t="s">
        <v>1482</v>
      </c>
      <c r="P171" t="s">
        <v>2986</v>
      </c>
      <c r="Q171">
        <v>13</v>
      </c>
      <c r="R171" t="s">
        <v>2987</v>
      </c>
      <c r="S171">
        <v>12.298</v>
      </c>
      <c r="T171" t="s">
        <v>2988</v>
      </c>
      <c r="U171" t="s">
        <v>64</v>
      </c>
      <c r="V171" t="s">
        <v>2812</v>
      </c>
      <c r="W171" t="s">
        <v>2861</v>
      </c>
      <c r="X171" t="s">
        <v>2989</v>
      </c>
      <c r="Y171" t="s">
        <v>2990</v>
      </c>
      <c r="Z171" t="s">
        <v>2817</v>
      </c>
      <c r="AA171" t="s">
        <v>2816</v>
      </c>
      <c r="AB171" t="s">
        <v>2816</v>
      </c>
      <c r="AC171" t="s">
        <v>2863</v>
      </c>
      <c r="AD171" t="s">
        <v>2839</v>
      </c>
      <c r="AE171" t="s">
        <v>2882</v>
      </c>
      <c r="AF171" t="s">
        <v>2821</v>
      </c>
      <c r="AG171" t="s">
        <v>2865</v>
      </c>
      <c r="AH171" t="s">
        <v>2823</v>
      </c>
      <c r="AI171">
        <v>1</v>
      </c>
      <c r="AJ171">
        <v>532</v>
      </c>
      <c r="AK171">
        <v>34968.363</v>
      </c>
      <c r="AL171">
        <v>65.73</v>
      </c>
      <c r="AM171">
        <v>0.6061</v>
      </c>
      <c r="AN171">
        <v>16.03</v>
      </c>
      <c r="AO171">
        <v>4.3</v>
      </c>
      <c r="AP171">
        <v>1245</v>
      </c>
      <c r="AQ171">
        <v>0.0639</v>
      </c>
      <c r="AR171">
        <v>34</v>
      </c>
      <c r="AT171" t="s">
        <v>876</v>
      </c>
      <c r="AU171" t="s">
        <v>1617</v>
      </c>
      <c r="AV171">
        <v>2401</v>
      </c>
      <c r="AW171">
        <v>1</v>
      </c>
      <c r="AX171">
        <v>1</v>
      </c>
      <c r="AY171" t="s">
        <v>867</v>
      </c>
      <c r="AZ171" t="s">
        <v>65</v>
      </c>
      <c r="BA171" t="s">
        <v>65</v>
      </c>
      <c r="BB171" t="s">
        <v>856</v>
      </c>
      <c r="BC171" t="s">
        <v>1618</v>
      </c>
      <c r="BD171" t="s">
        <v>1619</v>
      </c>
    </row>
    <row r="172" ht="51.5" spans="1:56">
      <c r="A172" t="str">
        <f>_xlfn.DISPIMG("ID_3DBAE646C8CB4B5D9BF1F3F01226FC3F",1)</f>
        <v>=DISPIMG("ID_3DBAE646C8CB4B5D9BF1F3F01226FC3F",1)</v>
      </c>
      <c r="B172" t="s">
        <v>520</v>
      </c>
      <c r="C172" t="s">
        <v>520</v>
      </c>
      <c r="D172" t="s">
        <v>65</v>
      </c>
      <c r="E172" t="s">
        <v>1620</v>
      </c>
      <c r="F172" t="s">
        <v>1621</v>
      </c>
      <c r="G172" t="s">
        <v>1069</v>
      </c>
      <c r="H172" t="s">
        <v>1622</v>
      </c>
      <c r="I172" t="s">
        <v>1623</v>
      </c>
      <c r="J172" t="s">
        <v>974</v>
      </c>
      <c r="K172" t="s">
        <v>850</v>
      </c>
      <c r="L172" t="s">
        <v>851</v>
      </c>
      <c r="M172">
        <v>17711</v>
      </c>
      <c r="N172" t="s">
        <v>852</v>
      </c>
      <c r="O172" t="s">
        <v>1624</v>
      </c>
      <c r="P172" t="s">
        <v>2809</v>
      </c>
      <c r="Q172">
        <v>1.1</v>
      </c>
      <c r="R172" t="s">
        <v>2964</v>
      </c>
      <c r="S172">
        <v>1.0406</v>
      </c>
      <c r="T172" t="s">
        <v>2965</v>
      </c>
      <c r="U172" t="s">
        <v>64</v>
      </c>
      <c r="V172" t="s">
        <v>2812</v>
      </c>
      <c r="W172" t="s">
        <v>2861</v>
      </c>
      <c r="X172" t="s">
        <v>2862</v>
      </c>
      <c r="Y172" t="s">
        <v>2903</v>
      </c>
      <c r="Z172" t="s">
        <v>2816</v>
      </c>
      <c r="AA172" t="s">
        <v>2816</v>
      </c>
      <c r="AB172" t="s">
        <v>2816</v>
      </c>
      <c r="AC172" t="s">
        <v>2863</v>
      </c>
      <c r="AD172" t="s">
        <v>2819</v>
      </c>
      <c r="AE172" t="s">
        <v>2864</v>
      </c>
      <c r="AF172" t="s">
        <v>2900</v>
      </c>
      <c r="AG172" t="s">
        <v>2865</v>
      </c>
      <c r="AH172" t="s">
        <v>2823</v>
      </c>
      <c r="AI172">
        <v>1</v>
      </c>
      <c r="AJ172">
        <v>492</v>
      </c>
      <c r="AK172">
        <v>18691.08</v>
      </c>
      <c r="AL172">
        <v>37.99</v>
      </c>
      <c r="AM172">
        <v>0.6444</v>
      </c>
      <c r="AN172">
        <v>7.81</v>
      </c>
      <c r="AO172">
        <v>4.3</v>
      </c>
      <c r="AP172">
        <v>1289</v>
      </c>
      <c r="AQ172">
        <v>1</v>
      </c>
      <c r="AR172">
        <v>492</v>
      </c>
      <c r="AT172" t="s">
        <v>947</v>
      </c>
      <c r="AU172" t="s">
        <v>1625</v>
      </c>
      <c r="AV172">
        <v>865</v>
      </c>
      <c r="AW172">
        <v>1</v>
      </c>
      <c r="AX172">
        <v>17</v>
      </c>
      <c r="AY172" t="s">
        <v>867</v>
      </c>
      <c r="AZ172" t="s">
        <v>65</v>
      </c>
      <c r="BA172" t="s">
        <v>65</v>
      </c>
      <c r="BB172" t="s">
        <v>856</v>
      </c>
      <c r="BC172" t="s">
        <v>1626</v>
      </c>
      <c r="BD172" t="s">
        <v>1627</v>
      </c>
    </row>
    <row r="173" ht="51.5" spans="1:56">
      <c r="A173" t="str">
        <f>_xlfn.DISPIMG("ID_C6D17E1139C940D4A05554BC8126AF0D",1)</f>
        <v>=DISPIMG("ID_C6D17E1139C940D4A05554BC8126AF0D",1)</v>
      </c>
      <c r="B173" t="s">
        <v>1628</v>
      </c>
      <c r="C173" t="s">
        <v>1628</v>
      </c>
      <c r="D173" t="s">
        <v>65</v>
      </c>
      <c r="E173" t="s">
        <v>1629</v>
      </c>
      <c r="F173" t="s">
        <v>1630</v>
      </c>
      <c r="G173" t="s">
        <v>1631</v>
      </c>
      <c r="H173" t="s">
        <v>1632</v>
      </c>
      <c r="I173" t="s">
        <v>1633</v>
      </c>
      <c r="J173" t="s">
        <v>1634</v>
      </c>
      <c r="K173" t="s">
        <v>850</v>
      </c>
      <c r="L173" t="s">
        <v>851</v>
      </c>
      <c r="M173">
        <v>30684</v>
      </c>
      <c r="N173" t="s">
        <v>852</v>
      </c>
      <c r="O173" t="s">
        <v>1635</v>
      </c>
      <c r="P173" t="s">
        <v>2852</v>
      </c>
      <c r="Q173">
        <v>12</v>
      </c>
      <c r="R173" t="s">
        <v>2969</v>
      </c>
      <c r="S173">
        <v>11.352</v>
      </c>
      <c r="T173" t="s">
        <v>2970</v>
      </c>
      <c r="U173" t="s">
        <v>2877</v>
      </c>
      <c r="V173" t="s">
        <v>2836</v>
      </c>
      <c r="W173" t="s">
        <v>2849</v>
      </c>
      <c r="X173" t="s">
        <v>2844</v>
      </c>
      <c r="Y173" t="s">
        <v>2829</v>
      </c>
      <c r="Z173" t="s">
        <v>2817</v>
      </c>
      <c r="AA173" t="s">
        <v>2817</v>
      </c>
      <c r="AB173" t="s">
        <v>2816</v>
      </c>
      <c r="AC173" t="s">
        <v>2818</v>
      </c>
      <c r="AD173" t="s">
        <v>2839</v>
      </c>
      <c r="AE173" t="s">
        <v>2887</v>
      </c>
      <c r="AF173" t="s">
        <v>2883</v>
      </c>
      <c r="AG173" t="s">
        <v>2865</v>
      </c>
      <c r="AH173" t="s">
        <v>2823</v>
      </c>
      <c r="AI173">
        <v>1</v>
      </c>
      <c r="AJ173">
        <v>1235</v>
      </c>
      <c r="AK173">
        <v>185237.66</v>
      </c>
      <c r="AL173">
        <v>149.99</v>
      </c>
      <c r="AM173">
        <v>0.7235</v>
      </c>
      <c r="AN173">
        <v>18.97</v>
      </c>
      <c r="AO173">
        <v>4.4</v>
      </c>
      <c r="AP173">
        <v>2734</v>
      </c>
      <c r="AQ173">
        <v>0.0672</v>
      </c>
      <c r="AR173">
        <v>83</v>
      </c>
      <c r="AT173" t="s">
        <v>854</v>
      </c>
      <c r="AU173" t="s">
        <v>1386</v>
      </c>
      <c r="AV173">
        <v>195</v>
      </c>
      <c r="AW173">
        <v>1</v>
      </c>
      <c r="AX173">
        <v>6</v>
      </c>
      <c r="AY173" t="s">
        <v>65</v>
      </c>
      <c r="AZ173" t="s">
        <v>65</v>
      </c>
      <c r="BA173" t="s">
        <v>65</v>
      </c>
      <c r="BB173" t="s">
        <v>856</v>
      </c>
      <c r="BC173" t="s">
        <v>1636</v>
      </c>
      <c r="BD173" t="s">
        <v>1637</v>
      </c>
    </row>
    <row r="174" ht="51.5" spans="1:56">
      <c r="A174" t="str">
        <f>_xlfn.DISPIMG("ID_C67D11E027814CBC9628DC0F72391987",1)</f>
        <v>=DISPIMG("ID_C67D11E027814CBC9628DC0F72391987",1)</v>
      </c>
      <c r="B174" t="s">
        <v>419</v>
      </c>
      <c r="C174" t="s">
        <v>419</v>
      </c>
      <c r="D174" t="s">
        <v>65</v>
      </c>
      <c r="E174" t="s">
        <v>1638</v>
      </c>
      <c r="F174" t="s">
        <v>1639</v>
      </c>
      <c r="G174" t="s">
        <v>1640</v>
      </c>
      <c r="H174" t="s">
        <v>1641</v>
      </c>
      <c r="I174" t="s">
        <v>1642</v>
      </c>
      <c r="J174" t="s">
        <v>934</v>
      </c>
      <c r="K174" t="s">
        <v>850</v>
      </c>
      <c r="L174" t="s">
        <v>851</v>
      </c>
      <c r="M174">
        <v>14037</v>
      </c>
      <c r="N174" t="s">
        <v>852</v>
      </c>
      <c r="O174" t="s">
        <v>1607</v>
      </c>
      <c r="P174" t="s">
        <v>2832</v>
      </c>
      <c r="Q174">
        <v>10</v>
      </c>
      <c r="R174" t="s">
        <v>2833</v>
      </c>
      <c r="S174">
        <v>9.46</v>
      </c>
      <c r="T174" t="s">
        <v>2834</v>
      </c>
      <c r="U174" t="s">
        <v>64</v>
      </c>
      <c r="V174" t="s">
        <v>2812</v>
      </c>
      <c r="W174" t="s">
        <v>2894</v>
      </c>
      <c r="X174" t="s">
        <v>2844</v>
      </c>
      <c r="Y174" t="s">
        <v>2815</v>
      </c>
      <c r="Z174" t="s">
        <v>2816</v>
      </c>
      <c r="AA174" t="s">
        <v>2817</v>
      </c>
      <c r="AB174" t="s">
        <v>2816</v>
      </c>
      <c r="AC174" t="s">
        <v>2818</v>
      </c>
      <c r="AD174" t="s">
        <v>2850</v>
      </c>
      <c r="AE174" t="s">
        <v>2880</v>
      </c>
      <c r="AF174" t="s">
        <v>2900</v>
      </c>
      <c r="AG174" t="s">
        <v>2865</v>
      </c>
      <c r="AH174" t="s">
        <v>2823</v>
      </c>
      <c r="AI174">
        <v>1</v>
      </c>
      <c r="AJ174">
        <v>666</v>
      </c>
      <c r="AK174">
        <v>126533.34</v>
      </c>
      <c r="AL174">
        <v>189.99</v>
      </c>
      <c r="AM174">
        <v>0.728</v>
      </c>
      <c r="AN174">
        <v>23.17</v>
      </c>
      <c r="AO174">
        <v>4.5</v>
      </c>
      <c r="AP174">
        <v>2334</v>
      </c>
      <c r="AQ174">
        <v>0</v>
      </c>
      <c r="AR174">
        <v>997</v>
      </c>
      <c r="AT174" t="s">
        <v>876</v>
      </c>
      <c r="AU174" t="s">
        <v>1643</v>
      </c>
      <c r="AV174">
        <v>844</v>
      </c>
      <c r="AW174">
        <v>1</v>
      </c>
      <c r="AX174">
        <v>3</v>
      </c>
      <c r="AY174" t="s">
        <v>1330</v>
      </c>
      <c r="AZ174" t="s">
        <v>65</v>
      </c>
      <c r="BA174" t="s">
        <v>1331</v>
      </c>
      <c r="BB174" t="s">
        <v>856</v>
      </c>
      <c r="BC174" t="s">
        <v>1644</v>
      </c>
      <c r="BD174" t="s">
        <v>1645</v>
      </c>
    </row>
    <row r="175" ht="51.5" spans="1:56">
      <c r="A175" t="str">
        <f>_xlfn.DISPIMG("ID_C649D54E3BEE4596A94D41E76DEB3E83",1)</f>
        <v>=DISPIMG("ID_C649D54E3BEE4596A94D41E76DEB3E83",1)</v>
      </c>
      <c r="B175" t="s">
        <v>1646</v>
      </c>
      <c r="C175" t="s">
        <v>1646</v>
      </c>
      <c r="D175" t="s">
        <v>65</v>
      </c>
      <c r="E175" t="s">
        <v>1647</v>
      </c>
      <c r="F175" t="s">
        <v>1648</v>
      </c>
      <c r="G175" t="s">
        <v>1408</v>
      </c>
      <c r="H175" t="s">
        <v>1649</v>
      </c>
      <c r="I175" t="s">
        <v>1650</v>
      </c>
      <c r="J175" t="s">
        <v>65</v>
      </c>
      <c r="K175" t="s">
        <v>850</v>
      </c>
      <c r="L175" t="s">
        <v>851</v>
      </c>
      <c r="M175">
        <v>16222</v>
      </c>
      <c r="N175" t="s">
        <v>1029</v>
      </c>
      <c r="O175" t="s">
        <v>1651</v>
      </c>
      <c r="P175" t="s">
        <v>2809</v>
      </c>
      <c r="Q175">
        <v>7</v>
      </c>
      <c r="R175" t="s">
        <v>2941</v>
      </c>
      <c r="S175">
        <v>6.622</v>
      </c>
      <c r="T175" t="s">
        <v>2942</v>
      </c>
      <c r="U175" t="s">
        <v>64</v>
      </c>
      <c r="V175" t="s">
        <v>2812</v>
      </c>
      <c r="W175" t="s">
        <v>2894</v>
      </c>
      <c r="X175" t="s">
        <v>2989</v>
      </c>
      <c r="Y175" t="s">
        <v>2815</v>
      </c>
      <c r="Z175" t="s">
        <v>2816</v>
      </c>
      <c r="AA175" t="s">
        <v>2817</v>
      </c>
      <c r="AB175" t="s">
        <v>2816</v>
      </c>
      <c r="AC175" t="s">
        <v>2818</v>
      </c>
      <c r="AD175" t="s">
        <v>2819</v>
      </c>
      <c r="AE175" t="s">
        <v>2840</v>
      </c>
      <c r="AF175" t="s">
        <v>2821</v>
      </c>
      <c r="AG175" t="s">
        <v>2822</v>
      </c>
      <c r="AH175" t="s">
        <v>2823</v>
      </c>
      <c r="AI175">
        <v>1</v>
      </c>
      <c r="AJ175">
        <v>418</v>
      </c>
      <c r="AK175">
        <v>41540.84</v>
      </c>
      <c r="AL175">
        <v>104</v>
      </c>
      <c r="AM175">
        <v>0.6591</v>
      </c>
      <c r="AN175">
        <v>18.97</v>
      </c>
      <c r="AO175">
        <v>4.6</v>
      </c>
      <c r="AP175">
        <v>2141</v>
      </c>
      <c r="AQ175">
        <v>0.0766</v>
      </c>
      <c r="AR175">
        <v>32</v>
      </c>
      <c r="AT175" t="s">
        <v>854</v>
      </c>
      <c r="AU175" t="s">
        <v>1652</v>
      </c>
      <c r="AV175">
        <v>1235</v>
      </c>
      <c r="AW175">
        <v>1</v>
      </c>
      <c r="AX175">
        <v>31</v>
      </c>
      <c r="AY175" t="s">
        <v>1653</v>
      </c>
      <c r="AZ175" t="s">
        <v>1110</v>
      </c>
      <c r="BA175" t="s">
        <v>1654</v>
      </c>
      <c r="BB175" t="s">
        <v>856</v>
      </c>
      <c r="BC175" t="s">
        <v>1655</v>
      </c>
      <c r="BD175" t="s">
        <v>1656</v>
      </c>
    </row>
    <row r="176" ht="51.5" spans="1:56">
      <c r="A176" t="str">
        <f>_xlfn.DISPIMG("ID_483305CF252249D1AC3FAAE06499E4E2",1)</f>
        <v>=DISPIMG("ID_483305CF252249D1AC3FAAE06499E4E2",1)</v>
      </c>
      <c r="B176" t="s">
        <v>1657</v>
      </c>
      <c r="C176" t="s">
        <v>1657</v>
      </c>
      <c r="D176" t="s">
        <v>65</v>
      </c>
      <c r="E176" t="s">
        <v>1658</v>
      </c>
      <c r="F176" t="s">
        <v>1659</v>
      </c>
      <c r="G176" t="s">
        <v>1660</v>
      </c>
      <c r="H176" t="s">
        <v>1661</v>
      </c>
      <c r="I176" t="s">
        <v>1662</v>
      </c>
      <c r="J176" t="s">
        <v>1634</v>
      </c>
      <c r="K176" t="s">
        <v>850</v>
      </c>
      <c r="L176" t="s">
        <v>851</v>
      </c>
      <c r="M176">
        <v>15808</v>
      </c>
      <c r="N176" t="s">
        <v>852</v>
      </c>
      <c r="O176" t="s">
        <v>1663</v>
      </c>
      <c r="P176" t="s">
        <v>2809</v>
      </c>
      <c r="Q176">
        <v>24</v>
      </c>
      <c r="R176" t="s">
        <v>2991</v>
      </c>
      <c r="S176">
        <v>22.704</v>
      </c>
      <c r="T176" t="s">
        <v>2992</v>
      </c>
      <c r="U176" t="s">
        <v>2877</v>
      </c>
      <c r="V176" t="s">
        <v>2836</v>
      </c>
      <c r="W176" t="s">
        <v>2894</v>
      </c>
      <c r="X176" t="s">
        <v>2844</v>
      </c>
      <c r="Y176" t="s">
        <v>2815</v>
      </c>
      <c r="Z176" t="s">
        <v>2817</v>
      </c>
      <c r="AA176" t="s">
        <v>2817</v>
      </c>
      <c r="AB176" t="s">
        <v>2816</v>
      </c>
      <c r="AC176" t="s">
        <v>2912</v>
      </c>
      <c r="AD176" t="s">
        <v>2839</v>
      </c>
      <c r="AE176" t="s">
        <v>2906</v>
      </c>
      <c r="AF176" t="s">
        <v>2883</v>
      </c>
      <c r="AG176" t="s">
        <v>2930</v>
      </c>
      <c r="AH176" t="s">
        <v>2940</v>
      </c>
      <c r="AI176">
        <v>1</v>
      </c>
      <c r="AJ176">
        <v>600</v>
      </c>
      <c r="AK176">
        <v>71994</v>
      </c>
      <c r="AL176">
        <v>119.99</v>
      </c>
      <c r="AM176">
        <v>0.6149</v>
      </c>
      <c r="AN176">
        <v>28.21</v>
      </c>
      <c r="AO176">
        <v>4.2</v>
      </c>
      <c r="AP176">
        <v>121</v>
      </c>
      <c r="AQ176">
        <v>0.0617</v>
      </c>
      <c r="AR176">
        <v>37</v>
      </c>
      <c r="AT176" t="s">
        <v>1267</v>
      </c>
      <c r="AU176" t="s">
        <v>1664</v>
      </c>
      <c r="AV176">
        <v>187</v>
      </c>
      <c r="AW176">
        <v>1</v>
      </c>
      <c r="AX176">
        <v>1</v>
      </c>
      <c r="AY176" t="s">
        <v>1665</v>
      </c>
      <c r="AZ176" t="s">
        <v>65</v>
      </c>
      <c r="BA176" t="s">
        <v>1666</v>
      </c>
      <c r="BB176" t="s">
        <v>856</v>
      </c>
      <c r="BC176" t="s">
        <v>1667</v>
      </c>
      <c r="BD176" t="s">
        <v>1668</v>
      </c>
    </row>
    <row r="177" ht="51.5" spans="1:56">
      <c r="A177" t="str">
        <f>_xlfn.DISPIMG("ID_2795715DC5D74671AD3CB580CAED5E6A",1)</f>
        <v>=DISPIMG("ID_2795715DC5D74671AD3CB580CAED5E6A",1)</v>
      </c>
      <c r="B177" t="s">
        <v>1669</v>
      </c>
      <c r="C177" t="s">
        <v>1669</v>
      </c>
      <c r="D177" t="s">
        <v>65</v>
      </c>
      <c r="E177" t="s">
        <v>1670</v>
      </c>
      <c r="F177" t="s">
        <v>1671</v>
      </c>
      <c r="G177" t="s">
        <v>931</v>
      </c>
      <c r="H177" t="s">
        <v>1672</v>
      </c>
      <c r="I177" t="s">
        <v>1673</v>
      </c>
      <c r="J177" t="s">
        <v>934</v>
      </c>
      <c r="K177" t="s">
        <v>850</v>
      </c>
      <c r="L177" t="s">
        <v>851</v>
      </c>
      <c r="M177">
        <v>11157</v>
      </c>
      <c r="N177" t="s">
        <v>852</v>
      </c>
      <c r="O177" t="s">
        <v>1674</v>
      </c>
      <c r="P177" t="s">
        <v>2881</v>
      </c>
      <c r="Q177">
        <v>6</v>
      </c>
      <c r="R177" t="s">
        <v>2841</v>
      </c>
      <c r="S177">
        <v>5.676</v>
      </c>
      <c r="T177" t="s">
        <v>2842</v>
      </c>
      <c r="U177" t="s">
        <v>64</v>
      </c>
      <c r="V177" t="s">
        <v>2812</v>
      </c>
      <c r="W177" t="s">
        <v>2861</v>
      </c>
      <c r="X177" t="s">
        <v>2844</v>
      </c>
      <c r="Y177" t="s">
        <v>2815</v>
      </c>
      <c r="Z177" t="s">
        <v>2816</v>
      </c>
      <c r="AA177" t="s">
        <v>2816</v>
      </c>
      <c r="AB177" t="s">
        <v>2816</v>
      </c>
      <c r="AC177" t="s">
        <v>2863</v>
      </c>
      <c r="AD177" t="s">
        <v>2819</v>
      </c>
      <c r="AE177" t="s">
        <v>2866</v>
      </c>
      <c r="AF177" t="s">
        <v>2821</v>
      </c>
      <c r="AG177" t="s">
        <v>2822</v>
      </c>
      <c r="AH177" t="s">
        <v>2823</v>
      </c>
      <c r="AI177">
        <v>1</v>
      </c>
      <c r="AJ177">
        <v>500</v>
      </c>
      <c r="AK177">
        <v>28425</v>
      </c>
      <c r="AL177">
        <v>56.85</v>
      </c>
      <c r="AM177">
        <v>0.5163</v>
      </c>
      <c r="AN177">
        <v>18.97</v>
      </c>
      <c r="AO177">
        <v>4.6</v>
      </c>
      <c r="AP177">
        <v>11972</v>
      </c>
      <c r="AQ177">
        <v>0.038</v>
      </c>
      <c r="AR177">
        <v>19</v>
      </c>
      <c r="AT177" t="s">
        <v>854</v>
      </c>
      <c r="AU177" t="s">
        <v>1675</v>
      </c>
      <c r="AV177">
        <v>1680</v>
      </c>
      <c r="AW177">
        <v>1</v>
      </c>
      <c r="AX177">
        <v>2</v>
      </c>
      <c r="AY177" t="s">
        <v>867</v>
      </c>
      <c r="AZ177" t="s">
        <v>65</v>
      </c>
      <c r="BA177" t="s">
        <v>65</v>
      </c>
      <c r="BB177" t="s">
        <v>856</v>
      </c>
      <c r="BC177" t="s">
        <v>1676</v>
      </c>
      <c r="BD177" t="s">
        <v>1677</v>
      </c>
    </row>
    <row r="178" ht="51.5" spans="1:56">
      <c r="A178" t="str">
        <f>_xlfn.DISPIMG("ID_35B0A37ECC2647E99C4330092C5B67A9",1)</f>
        <v>=DISPIMG("ID_35B0A37ECC2647E99C4330092C5B67A9",1)</v>
      </c>
      <c r="B178" t="s">
        <v>95</v>
      </c>
      <c r="C178" t="s">
        <v>95</v>
      </c>
      <c r="D178" t="s">
        <v>65</v>
      </c>
      <c r="E178" t="s">
        <v>1678</v>
      </c>
      <c r="F178" t="s">
        <v>1679</v>
      </c>
      <c r="G178" t="s">
        <v>861</v>
      </c>
      <c r="H178" t="s">
        <v>1680</v>
      </c>
      <c r="I178" t="s">
        <v>1681</v>
      </c>
      <c r="J178" t="s">
        <v>1012</v>
      </c>
      <c r="K178" t="s">
        <v>850</v>
      </c>
      <c r="L178" t="s">
        <v>851</v>
      </c>
      <c r="M178">
        <v>13280</v>
      </c>
      <c r="N178" t="s">
        <v>852</v>
      </c>
      <c r="O178" t="s">
        <v>1682</v>
      </c>
      <c r="P178" t="s">
        <v>2809</v>
      </c>
      <c r="Q178">
        <v>5.8</v>
      </c>
      <c r="R178" t="s">
        <v>2847</v>
      </c>
      <c r="S178">
        <v>5.4868</v>
      </c>
      <c r="T178" t="s">
        <v>2848</v>
      </c>
      <c r="U178" t="s">
        <v>64</v>
      </c>
      <c r="V178" t="s">
        <v>2812</v>
      </c>
      <c r="W178" t="s">
        <v>2920</v>
      </c>
      <c r="X178" t="s">
        <v>2844</v>
      </c>
      <c r="Y178" t="s">
        <v>2815</v>
      </c>
      <c r="Z178" t="s">
        <v>2816</v>
      </c>
      <c r="AA178" t="s">
        <v>2817</v>
      </c>
      <c r="AB178" t="s">
        <v>2817</v>
      </c>
      <c r="AC178" t="s">
        <v>2922</v>
      </c>
      <c r="AD178" t="s">
        <v>2850</v>
      </c>
      <c r="AE178" t="s">
        <v>2906</v>
      </c>
      <c r="AF178" t="s">
        <v>2883</v>
      </c>
      <c r="AG178" t="s">
        <v>2993</v>
      </c>
      <c r="AH178" t="s">
        <v>2979</v>
      </c>
      <c r="AI178">
        <v>1</v>
      </c>
      <c r="AJ178">
        <v>981</v>
      </c>
      <c r="AK178">
        <v>117710.19</v>
      </c>
      <c r="AL178">
        <v>119.99</v>
      </c>
      <c r="AM178">
        <v>0.6884</v>
      </c>
      <c r="AN178">
        <v>19.39</v>
      </c>
      <c r="AO178">
        <v>4</v>
      </c>
      <c r="AP178">
        <v>55</v>
      </c>
      <c r="AQ178">
        <v>0.0306</v>
      </c>
      <c r="AR178">
        <v>30</v>
      </c>
      <c r="AT178" t="s">
        <v>947</v>
      </c>
      <c r="AU178" t="s">
        <v>1683</v>
      </c>
      <c r="AV178">
        <v>203</v>
      </c>
      <c r="AW178">
        <v>1</v>
      </c>
      <c r="AX178">
        <v>1</v>
      </c>
      <c r="AY178" t="s">
        <v>867</v>
      </c>
      <c r="AZ178" t="s">
        <v>65</v>
      </c>
      <c r="BA178" t="s">
        <v>65</v>
      </c>
      <c r="BB178" t="s">
        <v>856</v>
      </c>
      <c r="BC178" t="s">
        <v>1684</v>
      </c>
      <c r="BD178" t="s">
        <v>1685</v>
      </c>
    </row>
    <row r="179" ht="51.5" spans="1:56">
      <c r="A179" t="str">
        <f>_xlfn.DISPIMG("ID_BB253EF55B6C4CAC9D7887F594953095",1)</f>
        <v>=DISPIMG("ID_BB253EF55B6C4CAC9D7887F594953095",1)</v>
      </c>
      <c r="B179" t="s">
        <v>1703</v>
      </c>
      <c r="C179" t="s">
        <v>1703</v>
      </c>
      <c r="D179" t="s">
        <v>65</v>
      </c>
      <c r="E179" t="s">
        <v>1704</v>
      </c>
      <c r="F179" t="s">
        <v>1705</v>
      </c>
      <c r="G179" t="s">
        <v>1152</v>
      </c>
      <c r="H179" t="s">
        <v>1706</v>
      </c>
      <c r="I179" t="s">
        <v>1707</v>
      </c>
      <c r="J179" t="s">
        <v>934</v>
      </c>
      <c r="K179" t="s">
        <v>850</v>
      </c>
      <c r="L179" t="s">
        <v>851</v>
      </c>
      <c r="M179">
        <v>15830</v>
      </c>
      <c r="N179" t="s">
        <v>852</v>
      </c>
      <c r="O179" t="s">
        <v>1708</v>
      </c>
      <c r="P179" t="s">
        <v>2809</v>
      </c>
      <c r="Q179">
        <v>12.5</v>
      </c>
      <c r="R179" t="s">
        <v>2994</v>
      </c>
      <c r="S179">
        <v>11.825</v>
      </c>
      <c r="T179" t="s">
        <v>2995</v>
      </c>
      <c r="U179" t="s">
        <v>2877</v>
      </c>
      <c r="V179" t="s">
        <v>2904</v>
      </c>
      <c r="W179" t="s">
        <v>2878</v>
      </c>
      <c r="X179" t="s">
        <v>2844</v>
      </c>
      <c r="Y179" t="s">
        <v>2815</v>
      </c>
      <c r="Z179" t="s">
        <v>2817</v>
      </c>
      <c r="AA179" t="s">
        <v>2817</v>
      </c>
      <c r="AB179" t="s">
        <v>2816</v>
      </c>
      <c r="AC179" t="s">
        <v>2818</v>
      </c>
      <c r="AD179" t="s">
        <v>2850</v>
      </c>
      <c r="AE179" t="s">
        <v>2906</v>
      </c>
      <c r="AF179" t="s">
        <v>2821</v>
      </c>
      <c r="AG179" t="s">
        <v>2865</v>
      </c>
      <c r="AH179" t="s">
        <v>2823</v>
      </c>
      <c r="AI179">
        <v>1</v>
      </c>
      <c r="AJ179">
        <v>1010</v>
      </c>
      <c r="AK179">
        <v>85829.805</v>
      </c>
      <c r="AL179">
        <v>119.99</v>
      </c>
      <c r="AM179">
        <v>0.5922</v>
      </c>
      <c r="AN179">
        <v>21.91</v>
      </c>
      <c r="AO179">
        <v>4.5</v>
      </c>
      <c r="AP179">
        <v>13845</v>
      </c>
      <c r="AQ179">
        <v>0.095</v>
      </c>
      <c r="AR179">
        <v>96</v>
      </c>
      <c r="AT179" t="s">
        <v>854</v>
      </c>
      <c r="AU179" t="s">
        <v>1709</v>
      </c>
      <c r="AV179">
        <v>1225</v>
      </c>
      <c r="AW179">
        <v>1</v>
      </c>
      <c r="AX179">
        <v>4</v>
      </c>
      <c r="AY179" t="s">
        <v>65</v>
      </c>
      <c r="AZ179" t="s">
        <v>65</v>
      </c>
      <c r="BA179" t="s">
        <v>65</v>
      </c>
      <c r="BB179" t="s">
        <v>856</v>
      </c>
      <c r="BC179" t="s">
        <v>1710</v>
      </c>
      <c r="BD179" t="s">
        <v>1711</v>
      </c>
    </row>
    <row r="180" ht="51.5" spans="1:56">
      <c r="A180" t="str">
        <f>_xlfn.DISPIMG("ID_B039124550CD4981B557EE255393115B",1)</f>
        <v>=DISPIMG("ID_B039124550CD4981B557EE255393115B",1)</v>
      </c>
      <c r="B180" t="s">
        <v>1712</v>
      </c>
      <c r="C180" t="s">
        <v>1712</v>
      </c>
      <c r="D180" t="s">
        <v>65</v>
      </c>
      <c r="E180" t="s">
        <v>1713</v>
      </c>
      <c r="F180" t="s">
        <v>1714</v>
      </c>
      <c r="G180" t="s">
        <v>1715</v>
      </c>
      <c r="H180" t="s">
        <v>1716</v>
      </c>
      <c r="I180" t="s">
        <v>1717</v>
      </c>
      <c r="J180" t="s">
        <v>974</v>
      </c>
      <c r="K180" t="s">
        <v>850</v>
      </c>
      <c r="L180" t="s">
        <v>851</v>
      </c>
      <c r="M180">
        <v>23256</v>
      </c>
      <c r="N180" t="s">
        <v>852</v>
      </c>
      <c r="O180" t="s">
        <v>1718</v>
      </c>
      <c r="P180" t="s">
        <v>2832</v>
      </c>
      <c r="Q180">
        <v>31.4</v>
      </c>
      <c r="R180" t="s">
        <v>2996</v>
      </c>
      <c r="S180">
        <v>29.7044</v>
      </c>
      <c r="T180" t="s">
        <v>2997</v>
      </c>
      <c r="U180" t="s">
        <v>2877</v>
      </c>
      <c r="V180" t="s">
        <v>2836</v>
      </c>
      <c r="W180" t="s">
        <v>2998</v>
      </c>
      <c r="X180" t="s">
        <v>2874</v>
      </c>
      <c r="Y180" t="s">
        <v>2829</v>
      </c>
      <c r="Z180" t="s">
        <v>2817</v>
      </c>
      <c r="AA180" t="s">
        <v>2817</v>
      </c>
      <c r="AB180" t="s">
        <v>2816</v>
      </c>
      <c r="AC180" t="s">
        <v>2845</v>
      </c>
      <c r="AD180" t="s">
        <v>2839</v>
      </c>
      <c r="AE180" t="s">
        <v>2857</v>
      </c>
      <c r="AF180" t="s">
        <v>2917</v>
      </c>
      <c r="AG180" t="s">
        <v>2933</v>
      </c>
      <c r="AH180" t="s">
        <v>2934</v>
      </c>
      <c r="AI180">
        <v>1</v>
      </c>
      <c r="AJ180">
        <v>231</v>
      </c>
      <c r="AK180">
        <v>43887.69</v>
      </c>
      <c r="AL180">
        <v>239.99</v>
      </c>
      <c r="AM180">
        <v>0.6949</v>
      </c>
      <c r="AN180">
        <v>29.47</v>
      </c>
      <c r="AO180">
        <v>4.9</v>
      </c>
      <c r="AP180">
        <v>11</v>
      </c>
      <c r="AQ180">
        <v>0.0433</v>
      </c>
      <c r="AR180">
        <v>10</v>
      </c>
      <c r="AT180" t="s">
        <v>65</v>
      </c>
      <c r="AU180" t="s">
        <v>1719</v>
      </c>
      <c r="AV180">
        <v>85</v>
      </c>
      <c r="AW180">
        <v>1</v>
      </c>
      <c r="AX180">
        <v>2</v>
      </c>
      <c r="AY180" t="s">
        <v>1720</v>
      </c>
      <c r="AZ180" t="s">
        <v>1401</v>
      </c>
      <c r="BA180" t="s">
        <v>1721</v>
      </c>
      <c r="BB180" t="s">
        <v>856</v>
      </c>
      <c r="BC180" t="s">
        <v>1722</v>
      </c>
      <c r="BD180" t="s">
        <v>1723</v>
      </c>
    </row>
    <row r="181" ht="51.5" spans="1:56">
      <c r="A181" t="str">
        <f>_xlfn.DISPIMG("ID_879CF2E30A904DAFA7C2843A597570A3",1)</f>
        <v>=DISPIMG("ID_879CF2E30A904DAFA7C2843A597570A3",1)</v>
      </c>
      <c r="B181" t="s">
        <v>1736</v>
      </c>
      <c r="C181" t="s">
        <v>1736</v>
      </c>
      <c r="D181" t="s">
        <v>65</v>
      </c>
      <c r="E181" t="s">
        <v>1737</v>
      </c>
      <c r="F181" t="s">
        <v>1738</v>
      </c>
      <c r="G181" t="s">
        <v>1408</v>
      </c>
      <c r="H181" t="s">
        <v>1739</v>
      </c>
      <c r="I181" t="s">
        <v>1740</v>
      </c>
      <c r="J181" t="s">
        <v>934</v>
      </c>
      <c r="K181" t="s">
        <v>850</v>
      </c>
      <c r="L181" t="s">
        <v>851</v>
      </c>
      <c r="M181">
        <v>17477</v>
      </c>
      <c r="N181" t="s">
        <v>1029</v>
      </c>
      <c r="O181" t="s">
        <v>1741</v>
      </c>
      <c r="P181" t="s">
        <v>2832</v>
      </c>
      <c r="Q181">
        <v>6</v>
      </c>
      <c r="R181" t="s">
        <v>2841</v>
      </c>
      <c r="S181">
        <v>5.676</v>
      </c>
      <c r="T181" t="s">
        <v>2842</v>
      </c>
      <c r="U181" t="s">
        <v>2907</v>
      </c>
      <c r="V181" t="s">
        <v>2812</v>
      </c>
      <c r="W181" t="s">
        <v>2849</v>
      </c>
      <c r="X181" t="s">
        <v>2814</v>
      </c>
      <c r="Y181" t="s">
        <v>2895</v>
      </c>
      <c r="Z181" t="s">
        <v>2817</v>
      </c>
      <c r="AA181" t="s">
        <v>2817</v>
      </c>
      <c r="AB181" t="s">
        <v>2816</v>
      </c>
      <c r="AC181" t="s">
        <v>2845</v>
      </c>
      <c r="AD181" t="s">
        <v>2839</v>
      </c>
      <c r="AE181" t="s">
        <v>2840</v>
      </c>
      <c r="AF181" t="s">
        <v>2900</v>
      </c>
      <c r="AG181" t="s">
        <v>2865</v>
      </c>
      <c r="AH181" t="s">
        <v>2823</v>
      </c>
      <c r="AI181">
        <v>1</v>
      </c>
      <c r="AJ181">
        <v>540</v>
      </c>
      <c r="AK181">
        <v>55614.598</v>
      </c>
      <c r="AL181">
        <v>102.99</v>
      </c>
      <c r="AM181">
        <v>0.6332</v>
      </c>
      <c r="AN181">
        <v>22.33</v>
      </c>
      <c r="AO181">
        <v>4.5</v>
      </c>
      <c r="AP181">
        <v>2593</v>
      </c>
      <c r="AQ181">
        <v>0.0963</v>
      </c>
      <c r="AR181">
        <v>52</v>
      </c>
      <c r="AT181" t="s">
        <v>876</v>
      </c>
      <c r="AU181" t="s">
        <v>1268</v>
      </c>
      <c r="AV181">
        <v>896</v>
      </c>
      <c r="AW181">
        <v>1</v>
      </c>
      <c r="AX181">
        <v>1</v>
      </c>
      <c r="AY181" t="s">
        <v>1032</v>
      </c>
      <c r="AZ181" t="s">
        <v>65</v>
      </c>
      <c r="BA181" t="s">
        <v>1033</v>
      </c>
      <c r="BB181" t="s">
        <v>856</v>
      </c>
      <c r="BC181" t="s">
        <v>1742</v>
      </c>
      <c r="BD181" t="s">
        <v>1743</v>
      </c>
    </row>
    <row r="182" ht="51.5" spans="1:56">
      <c r="A182" t="str">
        <f>_xlfn.DISPIMG("ID_B36370CE9DE24B8A8FBAB44B1FB4C28F",1)</f>
        <v>=DISPIMG("ID_B36370CE9DE24B8A8FBAB44B1FB4C28F",1)</v>
      </c>
      <c r="B182" t="s">
        <v>1744</v>
      </c>
      <c r="C182" t="s">
        <v>1744</v>
      </c>
      <c r="D182" t="s">
        <v>65</v>
      </c>
      <c r="E182" t="s">
        <v>1745</v>
      </c>
      <c r="F182" t="s">
        <v>1746</v>
      </c>
      <c r="G182" t="s">
        <v>1059</v>
      </c>
      <c r="H182" t="s">
        <v>1747</v>
      </c>
      <c r="I182" t="s">
        <v>1748</v>
      </c>
      <c r="J182" t="s">
        <v>864</v>
      </c>
      <c r="K182" t="s">
        <v>850</v>
      </c>
      <c r="L182" t="s">
        <v>851</v>
      </c>
      <c r="M182">
        <v>13708</v>
      </c>
      <c r="N182" t="s">
        <v>852</v>
      </c>
      <c r="O182" t="s">
        <v>1749</v>
      </c>
      <c r="P182" t="s">
        <v>2852</v>
      </c>
      <c r="Q182">
        <v>20</v>
      </c>
      <c r="R182" t="s">
        <v>2961</v>
      </c>
      <c r="S182">
        <v>18.92</v>
      </c>
      <c r="T182" t="s">
        <v>2962</v>
      </c>
      <c r="U182" t="s">
        <v>2877</v>
      </c>
      <c r="V182" t="s">
        <v>2836</v>
      </c>
      <c r="W182" t="s">
        <v>2837</v>
      </c>
      <c r="X182" t="s">
        <v>2874</v>
      </c>
      <c r="Y182" t="s">
        <v>2829</v>
      </c>
      <c r="Z182" t="s">
        <v>2817</v>
      </c>
      <c r="AA182" t="s">
        <v>2816</v>
      </c>
      <c r="AB182" t="s">
        <v>2816</v>
      </c>
      <c r="AC182" t="s">
        <v>2863</v>
      </c>
      <c r="AD182" t="s">
        <v>2839</v>
      </c>
      <c r="AE182" t="s">
        <v>2937</v>
      </c>
      <c r="AF182" t="s">
        <v>2851</v>
      </c>
      <c r="AG182" t="s">
        <v>2865</v>
      </c>
      <c r="AH182" t="s">
        <v>2823</v>
      </c>
      <c r="AI182">
        <v>1</v>
      </c>
      <c r="AJ182">
        <v>585</v>
      </c>
      <c r="AK182">
        <v>76044.16</v>
      </c>
      <c r="AL182">
        <v>129.99</v>
      </c>
      <c r="AM182">
        <v>0.6491</v>
      </c>
      <c r="AN182">
        <v>26.11</v>
      </c>
      <c r="AO182">
        <v>4.3</v>
      </c>
      <c r="AP182">
        <v>1422</v>
      </c>
      <c r="AQ182">
        <v>0.1111</v>
      </c>
      <c r="AR182">
        <v>65</v>
      </c>
      <c r="AT182" t="s">
        <v>854</v>
      </c>
      <c r="AU182" t="s">
        <v>1750</v>
      </c>
      <c r="AV182">
        <v>951</v>
      </c>
      <c r="AW182">
        <v>1</v>
      </c>
      <c r="AX182">
        <v>4</v>
      </c>
      <c r="AY182" t="s">
        <v>867</v>
      </c>
      <c r="AZ182" t="s">
        <v>65</v>
      </c>
      <c r="BA182" t="s">
        <v>65</v>
      </c>
      <c r="BB182" t="s">
        <v>856</v>
      </c>
      <c r="BC182" t="s">
        <v>1751</v>
      </c>
      <c r="BD182" t="s">
        <v>1752</v>
      </c>
    </row>
    <row r="183" ht="51.5" spans="1:56">
      <c r="A183" t="str">
        <f>_xlfn.DISPIMG("ID_72B4040D07174C6A87D1E8DBFE9FF175",1)</f>
        <v>=DISPIMG("ID_72B4040D07174C6A87D1E8DBFE9FF175",1)</v>
      </c>
      <c r="B183" t="s">
        <v>716</v>
      </c>
      <c r="C183" t="s">
        <v>716</v>
      </c>
      <c r="D183" t="s">
        <v>65</v>
      </c>
      <c r="E183" t="s">
        <v>1753</v>
      </c>
      <c r="F183" t="s">
        <v>1754</v>
      </c>
      <c r="G183" t="s">
        <v>1755</v>
      </c>
      <c r="H183" t="s">
        <v>1756</v>
      </c>
      <c r="I183" t="s">
        <v>1757</v>
      </c>
      <c r="J183" t="s">
        <v>934</v>
      </c>
      <c r="K183" t="s">
        <v>850</v>
      </c>
      <c r="L183" t="s">
        <v>851</v>
      </c>
      <c r="M183">
        <v>17635</v>
      </c>
      <c r="N183" t="s">
        <v>852</v>
      </c>
      <c r="O183" t="s">
        <v>1758</v>
      </c>
      <c r="P183" t="s">
        <v>2809</v>
      </c>
      <c r="Q183">
        <v>7</v>
      </c>
      <c r="R183" t="s">
        <v>2941</v>
      </c>
      <c r="S183">
        <v>6.622</v>
      </c>
      <c r="T183" t="s">
        <v>2942</v>
      </c>
      <c r="U183" t="s">
        <v>64</v>
      </c>
      <c r="V183" t="s">
        <v>2812</v>
      </c>
      <c r="W183" t="s">
        <v>2843</v>
      </c>
      <c r="X183" t="s">
        <v>2874</v>
      </c>
      <c r="Y183" t="s">
        <v>2815</v>
      </c>
      <c r="Z183" t="s">
        <v>2816</v>
      </c>
      <c r="AA183" t="s">
        <v>2817</v>
      </c>
      <c r="AB183" t="s">
        <v>2816</v>
      </c>
      <c r="AC183" t="s">
        <v>2818</v>
      </c>
      <c r="AD183" t="s">
        <v>2819</v>
      </c>
      <c r="AE183" t="s">
        <v>2820</v>
      </c>
      <c r="AF183" t="s">
        <v>2831</v>
      </c>
      <c r="AG183" t="s">
        <v>2822</v>
      </c>
      <c r="AH183" t="s">
        <v>2868</v>
      </c>
      <c r="AI183">
        <v>1</v>
      </c>
      <c r="AJ183">
        <v>372</v>
      </c>
      <c r="AK183">
        <v>27505.682</v>
      </c>
      <c r="AL183">
        <v>89.99</v>
      </c>
      <c r="AM183">
        <v>0.5821</v>
      </c>
      <c r="AN183">
        <v>19.81</v>
      </c>
      <c r="AO183">
        <v>4.6</v>
      </c>
      <c r="AP183">
        <v>806</v>
      </c>
      <c r="AQ183">
        <v>0.1075</v>
      </c>
      <c r="AR183">
        <v>40</v>
      </c>
      <c r="AT183" t="s">
        <v>876</v>
      </c>
      <c r="AU183" t="s">
        <v>1759</v>
      </c>
      <c r="AV183">
        <v>574</v>
      </c>
      <c r="AW183">
        <v>1</v>
      </c>
      <c r="AX183">
        <v>2</v>
      </c>
      <c r="AY183" t="s">
        <v>1760</v>
      </c>
      <c r="AZ183" t="s">
        <v>1288</v>
      </c>
      <c r="BA183" t="s">
        <v>1761</v>
      </c>
      <c r="BB183" t="s">
        <v>856</v>
      </c>
      <c r="BC183" t="s">
        <v>1484</v>
      </c>
      <c r="BD183" t="s">
        <v>1762</v>
      </c>
    </row>
    <row r="184" ht="51.5" spans="1:56">
      <c r="A184" t="str">
        <f>_xlfn.DISPIMG("ID_969655FD644345AB81031DDDED4C2B1D",1)</f>
        <v>=DISPIMG("ID_969655FD644345AB81031DDDED4C2B1D",1)</v>
      </c>
      <c r="B184" t="s">
        <v>1776</v>
      </c>
      <c r="C184" t="s">
        <v>1776</v>
      </c>
      <c r="D184" t="s">
        <v>65</v>
      </c>
      <c r="E184" t="s">
        <v>1777</v>
      </c>
      <c r="F184" t="s">
        <v>1778</v>
      </c>
      <c r="G184" t="s">
        <v>991</v>
      </c>
      <c r="H184" t="s">
        <v>1779</v>
      </c>
      <c r="I184" t="s">
        <v>1780</v>
      </c>
      <c r="J184" t="s">
        <v>974</v>
      </c>
      <c r="K184" t="s">
        <v>850</v>
      </c>
      <c r="L184" t="s">
        <v>851</v>
      </c>
      <c r="M184">
        <v>16129</v>
      </c>
      <c r="N184" t="s">
        <v>852</v>
      </c>
      <c r="O184" t="s">
        <v>1781</v>
      </c>
      <c r="P184" t="s">
        <v>2809</v>
      </c>
      <c r="Q184">
        <v>26</v>
      </c>
      <c r="R184" t="s">
        <v>2891</v>
      </c>
      <c r="S184">
        <v>24.596</v>
      </c>
      <c r="T184" t="s">
        <v>2892</v>
      </c>
      <c r="U184" t="s">
        <v>2877</v>
      </c>
      <c r="V184" t="s">
        <v>2836</v>
      </c>
      <c r="W184" t="s">
        <v>2894</v>
      </c>
      <c r="X184" t="s">
        <v>2874</v>
      </c>
      <c r="Y184" t="s">
        <v>2829</v>
      </c>
      <c r="Z184" t="s">
        <v>2817</v>
      </c>
      <c r="AA184" t="s">
        <v>2817</v>
      </c>
      <c r="AB184" t="s">
        <v>2816</v>
      </c>
      <c r="AC184" t="s">
        <v>2845</v>
      </c>
      <c r="AD184" t="s">
        <v>2839</v>
      </c>
      <c r="AE184" t="s">
        <v>2887</v>
      </c>
      <c r="AF184" t="s">
        <v>2883</v>
      </c>
      <c r="AG184" t="s">
        <v>2822</v>
      </c>
      <c r="AH184" t="s">
        <v>2979</v>
      </c>
      <c r="AI184">
        <v>1</v>
      </c>
      <c r="AJ184">
        <v>815</v>
      </c>
      <c r="AK184">
        <v>122241.85</v>
      </c>
      <c r="AL184">
        <v>149.99</v>
      </c>
      <c r="AM184">
        <v>0.7291</v>
      </c>
      <c r="AN184">
        <v>18.13</v>
      </c>
      <c r="AO184">
        <v>4.6</v>
      </c>
      <c r="AP184">
        <v>66</v>
      </c>
      <c r="AQ184">
        <v>0.0282</v>
      </c>
      <c r="AR184">
        <v>23</v>
      </c>
      <c r="AT184" t="s">
        <v>1267</v>
      </c>
      <c r="AU184" t="s">
        <v>1782</v>
      </c>
      <c r="AV184">
        <v>292</v>
      </c>
      <c r="AW184">
        <v>1</v>
      </c>
      <c r="AX184">
        <v>1</v>
      </c>
      <c r="AY184" t="s">
        <v>1783</v>
      </c>
      <c r="AZ184" t="s">
        <v>1288</v>
      </c>
      <c r="BA184" t="s">
        <v>1784</v>
      </c>
      <c r="BB184" t="s">
        <v>856</v>
      </c>
      <c r="BC184" t="s">
        <v>1785</v>
      </c>
      <c r="BD184" t="s">
        <v>1786</v>
      </c>
    </row>
    <row r="185" ht="51.5" spans="1:56">
      <c r="A185" t="str">
        <f>_xlfn.DISPIMG("ID_F217E099E8CF428AA89D30A138B55E1A",1)</f>
        <v>=DISPIMG("ID_F217E099E8CF428AA89D30A138B55E1A",1)</v>
      </c>
      <c r="B185" t="s">
        <v>640</v>
      </c>
      <c r="C185" t="s">
        <v>640</v>
      </c>
      <c r="D185" t="s">
        <v>65</v>
      </c>
      <c r="E185" t="s">
        <v>1797</v>
      </c>
      <c r="F185" t="s">
        <v>1798</v>
      </c>
      <c r="G185" t="s">
        <v>1799</v>
      </c>
      <c r="H185" t="s">
        <v>1800</v>
      </c>
      <c r="I185" t="s">
        <v>1801</v>
      </c>
      <c r="J185" t="s">
        <v>974</v>
      </c>
      <c r="K185" t="s">
        <v>850</v>
      </c>
      <c r="L185" t="s">
        <v>851</v>
      </c>
      <c r="M185">
        <v>15746</v>
      </c>
      <c r="N185" t="s">
        <v>852</v>
      </c>
      <c r="O185" t="s">
        <v>1758</v>
      </c>
      <c r="P185" t="s">
        <v>2809</v>
      </c>
      <c r="Q185">
        <v>5.3</v>
      </c>
      <c r="R185" t="s">
        <v>2999</v>
      </c>
      <c r="S185">
        <v>5.0138</v>
      </c>
      <c r="T185" t="s">
        <v>3000</v>
      </c>
      <c r="U185" t="s">
        <v>64</v>
      </c>
      <c r="V185" t="s">
        <v>2812</v>
      </c>
      <c r="W185" t="s">
        <v>2861</v>
      </c>
      <c r="X185" t="s">
        <v>2844</v>
      </c>
      <c r="Y185" t="s">
        <v>2815</v>
      </c>
      <c r="Z185" t="s">
        <v>2816</v>
      </c>
      <c r="AA185" t="s">
        <v>2816</v>
      </c>
      <c r="AB185" t="s">
        <v>2816</v>
      </c>
      <c r="AC185" t="s">
        <v>2863</v>
      </c>
      <c r="AD185" t="s">
        <v>2819</v>
      </c>
      <c r="AE185" t="s">
        <v>2882</v>
      </c>
      <c r="AF185" t="s">
        <v>2821</v>
      </c>
      <c r="AG185" t="s">
        <v>2822</v>
      </c>
      <c r="AH185" t="s">
        <v>2823</v>
      </c>
      <c r="AI185">
        <v>1</v>
      </c>
      <c r="AJ185">
        <v>3104</v>
      </c>
      <c r="AK185">
        <v>207129.94</v>
      </c>
      <c r="AL185">
        <v>66.73</v>
      </c>
      <c r="AM185">
        <v>0.5405</v>
      </c>
      <c r="AN185">
        <v>20.65</v>
      </c>
      <c r="AO185">
        <v>4.7</v>
      </c>
      <c r="AP185">
        <v>6211</v>
      </c>
      <c r="AQ185">
        <v>0.0409</v>
      </c>
      <c r="AR185">
        <v>127</v>
      </c>
      <c r="AT185" t="s">
        <v>854</v>
      </c>
      <c r="AU185" t="s">
        <v>1802</v>
      </c>
      <c r="AV185">
        <v>2187</v>
      </c>
      <c r="AW185">
        <v>1</v>
      </c>
      <c r="AX185">
        <v>2</v>
      </c>
      <c r="AY185" t="s">
        <v>867</v>
      </c>
      <c r="AZ185" t="s">
        <v>65</v>
      </c>
      <c r="BA185" t="s">
        <v>65</v>
      </c>
      <c r="BB185" t="s">
        <v>856</v>
      </c>
      <c r="BC185" t="s">
        <v>1803</v>
      </c>
      <c r="BD185" t="s">
        <v>1804</v>
      </c>
    </row>
    <row r="186" ht="51.5" spans="1:56">
      <c r="A186" t="str">
        <f>_xlfn.DISPIMG("ID_464ED34DBB5B474FAA9ABB287749C488",1)</f>
        <v>=DISPIMG("ID_464ED34DBB5B474FAA9ABB287749C488",1)</v>
      </c>
      <c r="B186" t="s">
        <v>1805</v>
      </c>
      <c r="C186" t="s">
        <v>1805</v>
      </c>
      <c r="D186" t="s">
        <v>65</v>
      </c>
      <c r="E186" t="s">
        <v>1806</v>
      </c>
      <c r="F186" t="s">
        <v>1807</v>
      </c>
      <c r="G186" t="s">
        <v>1408</v>
      </c>
      <c r="H186" t="s">
        <v>1808</v>
      </c>
      <c r="I186" t="s">
        <v>1809</v>
      </c>
      <c r="J186" t="s">
        <v>974</v>
      </c>
      <c r="K186" t="s">
        <v>850</v>
      </c>
      <c r="L186" t="s">
        <v>851</v>
      </c>
      <c r="M186">
        <v>14217</v>
      </c>
      <c r="N186" t="s">
        <v>1029</v>
      </c>
      <c r="O186" t="s">
        <v>1810</v>
      </c>
      <c r="P186" t="s">
        <v>2824</v>
      </c>
      <c r="Q186">
        <v>10</v>
      </c>
      <c r="R186" t="s">
        <v>2833</v>
      </c>
      <c r="S186">
        <v>9.46</v>
      </c>
      <c r="T186" t="s">
        <v>2834</v>
      </c>
      <c r="U186" t="s">
        <v>64</v>
      </c>
      <c r="V186" t="s">
        <v>2812</v>
      </c>
      <c r="W186" t="s">
        <v>2894</v>
      </c>
      <c r="X186" t="s">
        <v>2844</v>
      </c>
      <c r="Y186" t="s">
        <v>2815</v>
      </c>
      <c r="Z186" t="s">
        <v>2817</v>
      </c>
      <c r="AA186" t="s">
        <v>2817</v>
      </c>
      <c r="AB186" t="s">
        <v>2816</v>
      </c>
      <c r="AC186" t="s">
        <v>2818</v>
      </c>
      <c r="AD186" t="s">
        <v>2819</v>
      </c>
      <c r="AE186" t="s">
        <v>2830</v>
      </c>
      <c r="AF186" t="s">
        <v>2900</v>
      </c>
      <c r="AG186" t="s">
        <v>2865</v>
      </c>
      <c r="AH186" t="s">
        <v>2823</v>
      </c>
      <c r="AI186">
        <v>1</v>
      </c>
      <c r="AJ186">
        <v>234</v>
      </c>
      <c r="AK186">
        <v>21993.66</v>
      </c>
      <c r="AL186">
        <v>93.99</v>
      </c>
      <c r="AM186">
        <v>0.599</v>
      </c>
      <c r="AN186">
        <v>23.59</v>
      </c>
      <c r="AO186">
        <v>4.5</v>
      </c>
      <c r="AP186">
        <v>1506</v>
      </c>
      <c r="AQ186">
        <v>0</v>
      </c>
      <c r="AR186">
        <v>358</v>
      </c>
      <c r="AS186">
        <v>130</v>
      </c>
      <c r="AT186" t="s">
        <v>854</v>
      </c>
      <c r="AU186" t="s">
        <v>1811</v>
      </c>
      <c r="AV186">
        <v>900</v>
      </c>
      <c r="AW186">
        <v>1</v>
      </c>
      <c r="AX186">
        <v>1</v>
      </c>
      <c r="AY186" t="s">
        <v>1032</v>
      </c>
      <c r="AZ186" t="s">
        <v>65</v>
      </c>
      <c r="BA186" t="s">
        <v>1033</v>
      </c>
      <c r="BB186" t="s">
        <v>856</v>
      </c>
      <c r="BC186" t="s">
        <v>1812</v>
      </c>
      <c r="BD186" t="s">
        <v>1813</v>
      </c>
    </row>
    <row r="187" ht="51.45" spans="1:56">
      <c r="A187" t="str">
        <f>_xlfn.DISPIMG("ID_5C0C6AB0FB064505A0A3A4249472B177",1)</f>
        <v>=DISPIMG("ID_5C0C6AB0FB064505A0A3A4249472B177",1)</v>
      </c>
      <c r="B187" t="s">
        <v>1814</v>
      </c>
      <c r="C187" t="s">
        <v>1814</v>
      </c>
      <c r="D187" t="s">
        <v>65</v>
      </c>
      <c r="E187" t="s">
        <v>1815</v>
      </c>
      <c r="F187" t="s">
        <v>1816</v>
      </c>
      <c r="G187" t="s">
        <v>1173</v>
      </c>
      <c r="H187" t="s">
        <v>1817</v>
      </c>
      <c r="I187" t="s">
        <v>1818</v>
      </c>
      <c r="J187" t="s">
        <v>974</v>
      </c>
      <c r="K187" t="s">
        <v>850</v>
      </c>
      <c r="L187" t="s">
        <v>851</v>
      </c>
      <c r="M187">
        <v>21578</v>
      </c>
      <c r="N187" t="s">
        <v>852</v>
      </c>
      <c r="O187" t="s">
        <v>1624</v>
      </c>
      <c r="P187" t="s">
        <v>2809</v>
      </c>
      <c r="Q187">
        <v>3.7</v>
      </c>
      <c r="R187" t="s">
        <v>2931</v>
      </c>
      <c r="S187">
        <v>3.5002</v>
      </c>
      <c r="T187" t="s">
        <v>2932</v>
      </c>
      <c r="U187" t="s">
        <v>64</v>
      </c>
      <c r="V187" t="s">
        <v>2812</v>
      </c>
      <c r="W187" t="s">
        <v>2878</v>
      </c>
      <c r="X187" t="s">
        <v>2921</v>
      </c>
      <c r="Y187" t="s">
        <v>2815</v>
      </c>
      <c r="Z187" t="s">
        <v>2816</v>
      </c>
      <c r="AA187" t="s">
        <v>2816</v>
      </c>
      <c r="AB187" t="s">
        <v>2816</v>
      </c>
      <c r="AC187" t="s">
        <v>2818</v>
      </c>
      <c r="AD187" t="s">
        <v>2819</v>
      </c>
      <c r="AE187" t="s">
        <v>2882</v>
      </c>
      <c r="AF187" t="s">
        <v>2821</v>
      </c>
      <c r="AG187" t="s">
        <v>2822</v>
      </c>
      <c r="AH187" t="s">
        <v>2823</v>
      </c>
      <c r="AI187">
        <v>1</v>
      </c>
      <c r="AJ187">
        <v>577</v>
      </c>
      <c r="AK187">
        <v>35623.98</v>
      </c>
      <c r="AL187">
        <v>61.74</v>
      </c>
      <c r="AM187">
        <v>0.5496</v>
      </c>
      <c r="AN187">
        <v>18.55</v>
      </c>
      <c r="AO187">
        <v>4.6</v>
      </c>
      <c r="AP187">
        <v>15252</v>
      </c>
      <c r="AQ187">
        <v>0.1265</v>
      </c>
      <c r="AR187">
        <v>73</v>
      </c>
      <c r="AT187" t="s">
        <v>876</v>
      </c>
      <c r="AU187" t="s">
        <v>1819</v>
      </c>
      <c r="AV187">
        <v>2419</v>
      </c>
      <c r="AW187">
        <v>1</v>
      </c>
      <c r="AX187">
        <v>1</v>
      </c>
      <c r="AY187" t="s">
        <v>867</v>
      </c>
      <c r="AZ187" t="s">
        <v>65</v>
      </c>
      <c r="BA187" t="s">
        <v>65</v>
      </c>
      <c r="BB187" t="s">
        <v>856</v>
      </c>
      <c r="BC187" t="s">
        <v>1820</v>
      </c>
      <c r="BD187" t="s">
        <v>1821</v>
      </c>
    </row>
    <row r="188" ht="51.45" spans="1:56">
      <c r="A188" t="str">
        <f>_xlfn.DISPIMG("ID_CB0487FB602744618A7F91CD508B1A11",1)</f>
        <v>=DISPIMG("ID_CB0487FB602744618A7F91CD508B1A11",1)</v>
      </c>
      <c r="B188" t="s">
        <v>148</v>
      </c>
      <c r="C188" t="s">
        <v>148</v>
      </c>
      <c r="D188" t="s">
        <v>65</v>
      </c>
      <c r="E188" t="s">
        <v>1822</v>
      </c>
      <c r="F188" t="s">
        <v>1823</v>
      </c>
      <c r="G188" t="s">
        <v>1408</v>
      </c>
      <c r="H188" t="s">
        <v>1824</v>
      </c>
      <c r="I188" t="s">
        <v>1825</v>
      </c>
      <c r="J188" t="s">
        <v>974</v>
      </c>
      <c r="K188" t="s">
        <v>850</v>
      </c>
      <c r="L188" t="s">
        <v>851</v>
      </c>
      <c r="M188">
        <v>17956</v>
      </c>
      <c r="N188" t="s">
        <v>1029</v>
      </c>
      <c r="O188" t="s">
        <v>1826</v>
      </c>
      <c r="P188" t="s">
        <v>2809</v>
      </c>
      <c r="Q188">
        <v>4.7</v>
      </c>
      <c r="R188" t="s">
        <v>3001</v>
      </c>
      <c r="S188">
        <v>4.4462</v>
      </c>
      <c r="T188" t="s">
        <v>3002</v>
      </c>
      <c r="U188" t="s">
        <v>2877</v>
      </c>
      <c r="V188" t="s">
        <v>2836</v>
      </c>
      <c r="W188" t="s">
        <v>2878</v>
      </c>
      <c r="X188" t="s">
        <v>2828</v>
      </c>
      <c r="Y188" t="s">
        <v>2829</v>
      </c>
      <c r="Z188" t="s">
        <v>2817</v>
      </c>
      <c r="AA188" t="s">
        <v>2816</v>
      </c>
      <c r="AB188" t="s">
        <v>2816</v>
      </c>
      <c r="AC188" t="s">
        <v>2863</v>
      </c>
      <c r="AD188" t="s">
        <v>2839</v>
      </c>
      <c r="AE188" t="s">
        <v>2937</v>
      </c>
      <c r="AF188" t="s">
        <v>2851</v>
      </c>
      <c r="AG188" t="s">
        <v>2930</v>
      </c>
      <c r="AH188" t="s">
        <v>2823</v>
      </c>
      <c r="AI188">
        <v>1</v>
      </c>
      <c r="AJ188">
        <v>561</v>
      </c>
      <c r="AK188">
        <v>72369</v>
      </c>
      <c r="AL188">
        <v>129</v>
      </c>
      <c r="AM188">
        <v>0.6509</v>
      </c>
      <c r="AN188">
        <v>25.69</v>
      </c>
      <c r="AO188">
        <v>4.2</v>
      </c>
      <c r="AP188">
        <v>7603</v>
      </c>
      <c r="AQ188">
        <v>0.1123</v>
      </c>
      <c r="AR188">
        <v>63</v>
      </c>
      <c r="AT188" t="s">
        <v>947</v>
      </c>
      <c r="AU188" t="s">
        <v>1827</v>
      </c>
      <c r="AV188">
        <v>1092</v>
      </c>
      <c r="AW188">
        <v>1</v>
      </c>
      <c r="AX188">
        <v>1</v>
      </c>
      <c r="AY188" t="s">
        <v>65</v>
      </c>
      <c r="AZ188" t="s">
        <v>65</v>
      </c>
      <c r="BA188" t="s">
        <v>65</v>
      </c>
      <c r="BB188" t="s">
        <v>856</v>
      </c>
      <c r="BC188" t="s">
        <v>1828</v>
      </c>
      <c r="BD188" t="s">
        <v>1829</v>
      </c>
    </row>
    <row r="189" ht="51.45" spans="1:56">
      <c r="A189" t="str">
        <f>_xlfn.DISPIMG("ID_CC1202716ADD48108E8CA742BBC48881",1)</f>
        <v>=DISPIMG("ID_CC1202716ADD48108E8CA742BBC48881",1)</v>
      </c>
      <c r="B189" t="s">
        <v>1830</v>
      </c>
      <c r="C189" t="s">
        <v>1830</v>
      </c>
      <c r="D189" t="s">
        <v>65</v>
      </c>
      <c r="E189" t="s">
        <v>1831</v>
      </c>
      <c r="F189" t="s">
        <v>1832</v>
      </c>
      <c r="G189" t="s">
        <v>1833</v>
      </c>
      <c r="H189" t="s">
        <v>1834</v>
      </c>
      <c r="I189" t="s">
        <v>1835</v>
      </c>
      <c r="J189" t="s">
        <v>974</v>
      </c>
      <c r="K189" t="s">
        <v>850</v>
      </c>
      <c r="L189" t="s">
        <v>851</v>
      </c>
      <c r="M189">
        <v>20148</v>
      </c>
      <c r="N189" t="s">
        <v>852</v>
      </c>
      <c r="O189" t="s">
        <v>1836</v>
      </c>
      <c r="P189" t="s">
        <v>2832</v>
      </c>
      <c r="Q189">
        <v>6</v>
      </c>
      <c r="R189" t="s">
        <v>2841</v>
      </c>
      <c r="S189">
        <v>5.676</v>
      </c>
      <c r="T189" t="s">
        <v>2842</v>
      </c>
      <c r="U189" t="s">
        <v>2877</v>
      </c>
      <c r="V189" t="s">
        <v>2812</v>
      </c>
      <c r="W189" t="s">
        <v>2813</v>
      </c>
      <c r="X189" t="s">
        <v>2908</v>
      </c>
      <c r="Y189" t="s">
        <v>2895</v>
      </c>
      <c r="Z189" t="s">
        <v>2816</v>
      </c>
      <c r="AA189" t="s">
        <v>2817</v>
      </c>
      <c r="AB189" t="s">
        <v>2816</v>
      </c>
      <c r="AC189" t="s">
        <v>2818</v>
      </c>
      <c r="AD189" t="s">
        <v>2850</v>
      </c>
      <c r="AE189" t="s">
        <v>2882</v>
      </c>
      <c r="AF189" t="s">
        <v>2821</v>
      </c>
      <c r="AG189" t="s">
        <v>2822</v>
      </c>
      <c r="AH189" t="s">
        <v>2911</v>
      </c>
      <c r="AI189">
        <v>1</v>
      </c>
      <c r="AJ189">
        <v>241</v>
      </c>
      <c r="AK189">
        <v>16867.59</v>
      </c>
      <c r="AL189">
        <v>69.99</v>
      </c>
      <c r="AM189">
        <v>0.537</v>
      </c>
      <c r="AN189">
        <v>21.91</v>
      </c>
      <c r="AO189">
        <v>4.7</v>
      </c>
      <c r="AP189">
        <v>547</v>
      </c>
      <c r="AQ189">
        <v>0.0664</v>
      </c>
      <c r="AR189">
        <v>16</v>
      </c>
      <c r="AT189" t="s">
        <v>854</v>
      </c>
      <c r="AU189" t="s">
        <v>1837</v>
      </c>
      <c r="AV189">
        <v>1153</v>
      </c>
      <c r="AW189">
        <v>1</v>
      </c>
      <c r="AX189">
        <v>1</v>
      </c>
      <c r="AY189" t="s">
        <v>1330</v>
      </c>
      <c r="AZ189" t="s">
        <v>65</v>
      </c>
      <c r="BA189" t="s">
        <v>1331</v>
      </c>
      <c r="BB189" t="s">
        <v>856</v>
      </c>
      <c r="BC189" t="s">
        <v>1838</v>
      </c>
      <c r="BD189" t="s">
        <v>1839</v>
      </c>
    </row>
    <row r="190" ht="51.45" spans="1:56">
      <c r="A190" t="str">
        <f>_xlfn.DISPIMG("ID_9572C02FFE664DA5B1B4E2E84F048994",1)</f>
        <v>=DISPIMG("ID_9572C02FFE664DA5B1B4E2E84F048994",1)</v>
      </c>
      <c r="B190" t="s">
        <v>1840</v>
      </c>
      <c r="C190" t="s">
        <v>1840</v>
      </c>
      <c r="D190" t="s">
        <v>65</v>
      </c>
      <c r="E190" t="s">
        <v>1841</v>
      </c>
      <c r="F190" t="s">
        <v>1842</v>
      </c>
      <c r="G190" t="s">
        <v>1843</v>
      </c>
      <c r="H190" t="s">
        <v>1844</v>
      </c>
      <c r="I190" t="s">
        <v>1845</v>
      </c>
      <c r="J190" t="s">
        <v>934</v>
      </c>
      <c r="K190" t="s">
        <v>1846</v>
      </c>
      <c r="L190" t="s">
        <v>851</v>
      </c>
      <c r="M190">
        <v>8604</v>
      </c>
      <c r="N190" t="s">
        <v>1847</v>
      </c>
      <c r="O190" t="s">
        <v>965</v>
      </c>
      <c r="P190" t="s">
        <v>2809</v>
      </c>
      <c r="Q190">
        <v>4.4</v>
      </c>
      <c r="R190" t="s">
        <v>3003</v>
      </c>
      <c r="S190">
        <v>4.1624</v>
      </c>
      <c r="T190" t="s">
        <v>3004</v>
      </c>
      <c r="U190" t="s">
        <v>2877</v>
      </c>
      <c r="V190" t="s">
        <v>2836</v>
      </c>
      <c r="W190" t="s">
        <v>2947</v>
      </c>
      <c r="X190" t="s">
        <v>2874</v>
      </c>
      <c r="Y190" t="s">
        <v>2895</v>
      </c>
      <c r="Z190" t="s">
        <v>2817</v>
      </c>
      <c r="AA190" t="s">
        <v>2817</v>
      </c>
      <c r="AB190" t="s">
        <v>2816</v>
      </c>
      <c r="AC190" t="s">
        <v>2818</v>
      </c>
      <c r="AD190" t="s">
        <v>2889</v>
      </c>
      <c r="AE190" t="s">
        <v>2857</v>
      </c>
      <c r="AF190" t="s">
        <v>2883</v>
      </c>
      <c r="AG190" t="s">
        <v>2865</v>
      </c>
      <c r="AH190" t="s">
        <v>2823</v>
      </c>
      <c r="AI190">
        <v>1</v>
      </c>
      <c r="AJ190">
        <v>956</v>
      </c>
      <c r="AK190">
        <v>334552.22</v>
      </c>
      <c r="AL190">
        <v>279.95</v>
      </c>
      <c r="AM190">
        <v>0.7634</v>
      </c>
      <c r="AN190">
        <v>30.31</v>
      </c>
      <c r="AO190">
        <v>4.5</v>
      </c>
      <c r="AP190">
        <v>1271</v>
      </c>
      <c r="AQ190">
        <v>0.0617</v>
      </c>
      <c r="AR190">
        <v>59</v>
      </c>
      <c r="AT190" t="s">
        <v>1098</v>
      </c>
      <c r="AU190" t="s">
        <v>1848</v>
      </c>
      <c r="AV190">
        <v>290</v>
      </c>
      <c r="AW190">
        <v>1</v>
      </c>
      <c r="AX190">
        <v>7</v>
      </c>
      <c r="AY190" t="s">
        <v>1849</v>
      </c>
      <c r="AZ190" t="s">
        <v>65</v>
      </c>
      <c r="BA190" t="s">
        <v>1850</v>
      </c>
      <c r="BB190" t="s">
        <v>856</v>
      </c>
      <c r="BC190" t="s">
        <v>1851</v>
      </c>
      <c r="BD190" t="s">
        <v>1852</v>
      </c>
    </row>
    <row r="191" ht="51.45" spans="1:56">
      <c r="A191" t="str">
        <f>_xlfn.DISPIMG("ID_73E1886387174503B4B3E5EFA3C065D9",1)</f>
        <v>=DISPIMG("ID_73E1886387174503B4B3E5EFA3C065D9",1)</v>
      </c>
      <c r="B191" t="s">
        <v>1853</v>
      </c>
      <c r="C191" t="s">
        <v>1853</v>
      </c>
      <c r="D191" t="s">
        <v>65</v>
      </c>
      <c r="E191" t="s">
        <v>1854</v>
      </c>
      <c r="F191" t="s">
        <v>1855</v>
      </c>
      <c r="G191" t="s">
        <v>1856</v>
      </c>
      <c r="H191" t="s">
        <v>1857</v>
      </c>
      <c r="I191" t="s">
        <v>1858</v>
      </c>
      <c r="J191" t="s">
        <v>864</v>
      </c>
      <c r="K191" t="s">
        <v>850</v>
      </c>
      <c r="L191" t="s">
        <v>851</v>
      </c>
      <c r="M191">
        <v>28125</v>
      </c>
      <c r="N191" t="s">
        <v>1859</v>
      </c>
      <c r="O191" t="s">
        <v>1860</v>
      </c>
      <c r="P191" t="s">
        <v>2809</v>
      </c>
      <c r="Q191">
        <v>19</v>
      </c>
      <c r="R191" t="s">
        <v>2973</v>
      </c>
      <c r="S191">
        <v>17.974</v>
      </c>
      <c r="T191" t="s">
        <v>2974</v>
      </c>
      <c r="U191" t="s">
        <v>2877</v>
      </c>
      <c r="V191" t="s">
        <v>2904</v>
      </c>
      <c r="W191" t="s">
        <v>2920</v>
      </c>
      <c r="X191" t="s">
        <v>2844</v>
      </c>
      <c r="Y191" t="s">
        <v>2829</v>
      </c>
      <c r="Z191" t="s">
        <v>2817</v>
      </c>
      <c r="AA191" t="s">
        <v>2817</v>
      </c>
      <c r="AB191" t="s">
        <v>2817</v>
      </c>
      <c r="AC191" t="s">
        <v>2922</v>
      </c>
      <c r="AD191" t="s">
        <v>2839</v>
      </c>
      <c r="AE191" t="s">
        <v>2984</v>
      </c>
      <c r="AF191" t="s">
        <v>2821</v>
      </c>
      <c r="AG191" t="s">
        <v>2865</v>
      </c>
      <c r="AH191" t="s">
        <v>2823</v>
      </c>
      <c r="AI191">
        <v>1</v>
      </c>
      <c r="AJ191">
        <v>406</v>
      </c>
      <c r="AK191">
        <v>54805.94</v>
      </c>
      <c r="AL191">
        <v>134.99</v>
      </c>
      <c r="AM191">
        <v>0.6752</v>
      </c>
      <c r="AN191">
        <v>23.59</v>
      </c>
      <c r="AO191">
        <v>4.4</v>
      </c>
      <c r="AP191">
        <v>1772</v>
      </c>
      <c r="AQ191">
        <v>0</v>
      </c>
      <c r="AR191">
        <v>0</v>
      </c>
      <c r="AT191" t="s">
        <v>947</v>
      </c>
      <c r="AU191" t="s">
        <v>1861</v>
      </c>
      <c r="AV191">
        <v>2557</v>
      </c>
      <c r="AW191">
        <v>1</v>
      </c>
      <c r="AX191">
        <v>22</v>
      </c>
      <c r="AY191" t="s">
        <v>1862</v>
      </c>
      <c r="AZ191" t="s">
        <v>1401</v>
      </c>
      <c r="BA191" t="s">
        <v>1863</v>
      </c>
      <c r="BB191" t="s">
        <v>856</v>
      </c>
      <c r="BC191" t="s">
        <v>1864</v>
      </c>
      <c r="BD191" t="s">
        <v>1865</v>
      </c>
    </row>
    <row r="192" ht="51.45" spans="1:56">
      <c r="A192" t="str">
        <f>_xlfn.DISPIMG("ID_8DB36B4766DF4617B57CCA29E23B4451",1)</f>
        <v>=DISPIMG("ID_8DB36B4766DF4617B57CCA29E23B4451",1)</v>
      </c>
      <c r="B192" t="s">
        <v>164</v>
      </c>
      <c r="C192" t="s">
        <v>164</v>
      </c>
      <c r="D192" t="s">
        <v>65</v>
      </c>
      <c r="E192" t="s">
        <v>1866</v>
      </c>
      <c r="F192" t="s">
        <v>1867</v>
      </c>
      <c r="G192" t="s">
        <v>1868</v>
      </c>
      <c r="H192" t="s">
        <v>1869</v>
      </c>
      <c r="I192" t="s">
        <v>1870</v>
      </c>
      <c r="J192" t="s">
        <v>65</v>
      </c>
      <c r="K192" t="s">
        <v>850</v>
      </c>
      <c r="L192" t="s">
        <v>851</v>
      </c>
      <c r="M192">
        <v>10397</v>
      </c>
      <c r="N192" t="s">
        <v>852</v>
      </c>
      <c r="O192" t="s">
        <v>1871</v>
      </c>
      <c r="P192" t="s">
        <v>3005</v>
      </c>
      <c r="Q192">
        <v>2.6</v>
      </c>
      <c r="R192" t="s">
        <v>2859</v>
      </c>
      <c r="S192">
        <v>2.4596</v>
      </c>
      <c r="T192" t="s">
        <v>2860</v>
      </c>
      <c r="U192" t="s">
        <v>64</v>
      </c>
      <c r="V192" t="s">
        <v>2812</v>
      </c>
      <c r="W192" t="s">
        <v>2861</v>
      </c>
      <c r="X192" t="s">
        <v>2989</v>
      </c>
      <c r="Y192" t="s">
        <v>2903</v>
      </c>
      <c r="Z192" t="s">
        <v>2816</v>
      </c>
      <c r="AA192" t="s">
        <v>2816</v>
      </c>
      <c r="AB192" t="s">
        <v>2816</v>
      </c>
      <c r="AC192" t="s">
        <v>2863</v>
      </c>
      <c r="AD192" t="s">
        <v>2819</v>
      </c>
      <c r="AE192" t="s">
        <v>3006</v>
      </c>
      <c r="AF192" t="s">
        <v>2851</v>
      </c>
      <c r="AG192" t="s">
        <v>3007</v>
      </c>
      <c r="AH192" t="s">
        <v>2979</v>
      </c>
      <c r="AI192">
        <v>1</v>
      </c>
      <c r="AJ192">
        <v>3836</v>
      </c>
      <c r="AK192">
        <v>22478.96</v>
      </c>
      <c r="AL192">
        <v>5.86</v>
      </c>
      <c r="AM192">
        <v>0.85</v>
      </c>
      <c r="AO192">
        <v>2</v>
      </c>
      <c r="AP192">
        <v>64</v>
      </c>
      <c r="AQ192">
        <v>0.0102</v>
      </c>
      <c r="AR192">
        <v>39</v>
      </c>
      <c r="AS192">
        <v>3</v>
      </c>
      <c r="AT192" t="s">
        <v>1098</v>
      </c>
      <c r="AU192" t="s">
        <v>1145</v>
      </c>
      <c r="AV192">
        <v>1084</v>
      </c>
      <c r="AW192">
        <v>1</v>
      </c>
      <c r="AX192">
        <v>1</v>
      </c>
      <c r="AY192" t="s">
        <v>1872</v>
      </c>
      <c r="AZ192" t="s">
        <v>65</v>
      </c>
      <c r="BA192" t="s">
        <v>65</v>
      </c>
      <c r="BB192" t="s">
        <v>856</v>
      </c>
      <c r="BC192" t="s">
        <v>1403</v>
      </c>
      <c r="BD192" t="s">
        <v>1873</v>
      </c>
    </row>
    <row r="193" ht="51.45" spans="1:56">
      <c r="A193" t="str">
        <f>_xlfn.DISPIMG("ID_F98384A16BC64D7BA97CBA86855B88C3",1)</f>
        <v>=DISPIMG("ID_F98384A16BC64D7BA97CBA86855B88C3",1)</v>
      </c>
      <c r="B193" t="s">
        <v>1883</v>
      </c>
      <c r="C193" t="s">
        <v>1883</v>
      </c>
      <c r="D193" t="s">
        <v>65</v>
      </c>
      <c r="E193" t="s">
        <v>1884</v>
      </c>
      <c r="F193" t="s">
        <v>1885</v>
      </c>
      <c r="G193" t="s">
        <v>1886</v>
      </c>
      <c r="H193" t="s">
        <v>1887</v>
      </c>
      <c r="I193" t="s">
        <v>1888</v>
      </c>
      <c r="J193" t="s">
        <v>974</v>
      </c>
      <c r="K193" t="s">
        <v>850</v>
      </c>
      <c r="L193" t="s">
        <v>851</v>
      </c>
      <c r="M193">
        <v>17516</v>
      </c>
      <c r="N193" t="s">
        <v>1889</v>
      </c>
      <c r="O193" t="s">
        <v>1890</v>
      </c>
      <c r="P193" t="s">
        <v>2809</v>
      </c>
      <c r="Q193">
        <v>26</v>
      </c>
      <c r="R193" t="s">
        <v>2891</v>
      </c>
      <c r="S193">
        <v>24.596</v>
      </c>
      <c r="T193" t="s">
        <v>2892</v>
      </c>
      <c r="U193" t="s">
        <v>2877</v>
      </c>
      <c r="V193" t="s">
        <v>2904</v>
      </c>
      <c r="W193" t="s">
        <v>2837</v>
      </c>
      <c r="X193" t="s">
        <v>2828</v>
      </c>
      <c r="Y193" t="s">
        <v>2815</v>
      </c>
      <c r="Z193" t="s">
        <v>2817</v>
      </c>
      <c r="AA193" t="s">
        <v>2816</v>
      </c>
      <c r="AB193" t="s">
        <v>2816</v>
      </c>
      <c r="AC193" t="s">
        <v>2863</v>
      </c>
      <c r="AD193" t="s">
        <v>2839</v>
      </c>
      <c r="AE193" t="s">
        <v>2906</v>
      </c>
      <c r="AF193" t="s">
        <v>2883</v>
      </c>
      <c r="AG193" t="s">
        <v>2993</v>
      </c>
      <c r="AH193" t="s">
        <v>2940</v>
      </c>
      <c r="AI193">
        <v>1</v>
      </c>
      <c r="AJ193">
        <v>510</v>
      </c>
      <c r="AK193">
        <v>60894</v>
      </c>
      <c r="AL193">
        <v>119.4</v>
      </c>
      <c r="AM193">
        <v>0.6288</v>
      </c>
      <c r="AN193">
        <v>25.69</v>
      </c>
      <c r="AO193">
        <v>3.9</v>
      </c>
      <c r="AP193">
        <v>199</v>
      </c>
      <c r="AQ193">
        <v>0.0471</v>
      </c>
      <c r="AR193">
        <v>24</v>
      </c>
      <c r="AT193" t="s">
        <v>65</v>
      </c>
      <c r="AU193" t="s">
        <v>1891</v>
      </c>
      <c r="AV193">
        <v>346</v>
      </c>
      <c r="AW193">
        <v>1</v>
      </c>
      <c r="AX193">
        <v>1</v>
      </c>
      <c r="AY193" t="s">
        <v>867</v>
      </c>
      <c r="AZ193" t="s">
        <v>65</v>
      </c>
      <c r="BA193" t="s">
        <v>65</v>
      </c>
      <c r="BB193" t="s">
        <v>856</v>
      </c>
      <c r="BC193" t="s">
        <v>1435</v>
      </c>
      <c r="BD193" t="s">
        <v>1892</v>
      </c>
    </row>
    <row r="194" ht="51.45" spans="1:56">
      <c r="A194" t="str">
        <f>_xlfn.DISPIMG("ID_2352E1B134914D12BF01409D0D810953",1)</f>
        <v>=DISPIMG("ID_2352E1B134914D12BF01409D0D810953",1)</v>
      </c>
      <c r="B194" t="s">
        <v>1900</v>
      </c>
      <c r="C194" t="s">
        <v>1900</v>
      </c>
      <c r="D194" t="s">
        <v>65</v>
      </c>
      <c r="E194" t="s">
        <v>1901</v>
      </c>
      <c r="F194" t="s">
        <v>1902</v>
      </c>
      <c r="G194" t="s">
        <v>1302</v>
      </c>
      <c r="H194" t="s">
        <v>1903</v>
      </c>
      <c r="I194" t="s">
        <v>1904</v>
      </c>
      <c r="J194" t="s">
        <v>934</v>
      </c>
      <c r="K194" t="s">
        <v>850</v>
      </c>
      <c r="L194" t="s">
        <v>851</v>
      </c>
      <c r="M194">
        <v>18419</v>
      </c>
      <c r="N194" t="s">
        <v>852</v>
      </c>
      <c r="O194" t="s">
        <v>1905</v>
      </c>
      <c r="P194" t="s">
        <v>2852</v>
      </c>
      <c r="Q194">
        <v>10.6</v>
      </c>
      <c r="R194" t="s">
        <v>3008</v>
      </c>
      <c r="S194">
        <v>10.0276</v>
      </c>
      <c r="T194" t="s">
        <v>3009</v>
      </c>
      <c r="U194" t="s">
        <v>2877</v>
      </c>
      <c r="V194" t="s">
        <v>2904</v>
      </c>
      <c r="W194" t="s">
        <v>2894</v>
      </c>
      <c r="X194" t="s">
        <v>2828</v>
      </c>
      <c r="Y194" t="s">
        <v>2815</v>
      </c>
      <c r="Z194" t="s">
        <v>2817</v>
      </c>
      <c r="AA194" t="s">
        <v>2817</v>
      </c>
      <c r="AB194" t="s">
        <v>2816</v>
      </c>
      <c r="AC194" t="s">
        <v>2818</v>
      </c>
      <c r="AD194" t="s">
        <v>2839</v>
      </c>
      <c r="AE194" t="s">
        <v>2939</v>
      </c>
      <c r="AF194" t="s">
        <v>2851</v>
      </c>
      <c r="AG194" t="s">
        <v>2865</v>
      </c>
      <c r="AH194" t="s">
        <v>2823</v>
      </c>
      <c r="AI194">
        <v>1</v>
      </c>
      <c r="AJ194">
        <v>589</v>
      </c>
      <c r="AK194">
        <v>53004.11</v>
      </c>
      <c r="AL194">
        <v>79.99</v>
      </c>
      <c r="AM194">
        <v>0.5972</v>
      </c>
      <c r="AN194">
        <v>22.75</v>
      </c>
      <c r="AO194">
        <v>4.5</v>
      </c>
      <c r="AP194">
        <v>7326</v>
      </c>
      <c r="AQ194">
        <v>0.1511</v>
      </c>
      <c r="AR194">
        <v>89</v>
      </c>
      <c r="AT194" t="s">
        <v>947</v>
      </c>
      <c r="AU194" t="s">
        <v>1906</v>
      </c>
      <c r="AV194">
        <v>1077</v>
      </c>
      <c r="AW194">
        <v>1</v>
      </c>
      <c r="AX194">
        <v>1</v>
      </c>
      <c r="AY194" t="s">
        <v>1307</v>
      </c>
      <c r="AZ194" t="s">
        <v>65</v>
      </c>
      <c r="BA194" t="s">
        <v>1308</v>
      </c>
      <c r="BB194" t="s">
        <v>856</v>
      </c>
      <c r="BC194" t="s">
        <v>1907</v>
      </c>
      <c r="BD194" t="s">
        <v>1908</v>
      </c>
    </row>
    <row r="195" ht="51.45" spans="1:56">
      <c r="A195" t="str">
        <f>_xlfn.DISPIMG("ID_3868C3AA8AB74668B4C622B8CE1F41E2",1)</f>
        <v>=DISPIMG("ID_3868C3AA8AB74668B4C622B8CE1F41E2",1)</v>
      </c>
      <c r="B195" t="s">
        <v>1909</v>
      </c>
      <c r="C195" t="s">
        <v>1909</v>
      </c>
      <c r="D195" t="s">
        <v>65</v>
      </c>
      <c r="E195" t="s">
        <v>1910</v>
      </c>
      <c r="F195" t="s">
        <v>1911</v>
      </c>
      <c r="G195" t="s">
        <v>1302</v>
      </c>
      <c r="H195" t="s">
        <v>1912</v>
      </c>
      <c r="I195" t="s">
        <v>1913</v>
      </c>
      <c r="J195" t="s">
        <v>934</v>
      </c>
      <c r="K195" t="s">
        <v>850</v>
      </c>
      <c r="L195" t="s">
        <v>851</v>
      </c>
      <c r="M195">
        <v>14404</v>
      </c>
      <c r="N195" t="s">
        <v>852</v>
      </c>
      <c r="O195" t="s">
        <v>1708</v>
      </c>
      <c r="P195" t="s">
        <v>2809</v>
      </c>
      <c r="Q195">
        <v>19</v>
      </c>
      <c r="R195" t="s">
        <v>2973</v>
      </c>
      <c r="S195">
        <v>17.974</v>
      </c>
      <c r="T195" t="s">
        <v>2974</v>
      </c>
      <c r="U195" t="s">
        <v>2877</v>
      </c>
      <c r="V195" t="s">
        <v>2836</v>
      </c>
      <c r="W195" t="s">
        <v>2894</v>
      </c>
      <c r="X195" t="s">
        <v>2814</v>
      </c>
      <c r="Y195" t="s">
        <v>2829</v>
      </c>
      <c r="Z195" t="s">
        <v>2817</v>
      </c>
      <c r="AA195" t="s">
        <v>2817</v>
      </c>
      <c r="AB195" t="s">
        <v>2816</v>
      </c>
      <c r="AC195" t="s">
        <v>2912</v>
      </c>
      <c r="AD195" t="s">
        <v>2839</v>
      </c>
      <c r="AE195" t="s">
        <v>2820</v>
      </c>
      <c r="AF195" t="s">
        <v>2851</v>
      </c>
      <c r="AG195" t="s">
        <v>2865</v>
      </c>
      <c r="AH195" t="s">
        <v>2823</v>
      </c>
      <c r="AI195">
        <v>1</v>
      </c>
      <c r="AJ195">
        <v>555</v>
      </c>
      <c r="AK195">
        <v>49944.45</v>
      </c>
      <c r="AL195">
        <v>89.99</v>
      </c>
      <c r="AM195">
        <v>0.5599</v>
      </c>
      <c r="AN195">
        <v>26.11</v>
      </c>
      <c r="AO195">
        <v>4.4</v>
      </c>
      <c r="AP195">
        <v>5402</v>
      </c>
      <c r="AQ195">
        <v>0.1207</v>
      </c>
      <c r="AR195">
        <v>67</v>
      </c>
      <c r="AT195" t="s">
        <v>947</v>
      </c>
      <c r="AU195" t="s">
        <v>1914</v>
      </c>
      <c r="AV195">
        <v>1061</v>
      </c>
      <c r="AW195">
        <v>1</v>
      </c>
      <c r="AX195">
        <v>1</v>
      </c>
      <c r="AY195" t="s">
        <v>1307</v>
      </c>
      <c r="AZ195" t="s">
        <v>65</v>
      </c>
      <c r="BA195" t="s">
        <v>1308</v>
      </c>
      <c r="BB195" t="s">
        <v>856</v>
      </c>
      <c r="BC195" t="s">
        <v>1915</v>
      </c>
      <c r="BD195" t="s">
        <v>1916</v>
      </c>
    </row>
    <row r="196" ht="51.45" spans="1:56">
      <c r="A196" t="str">
        <f>_xlfn.DISPIMG("ID_A032B38D857046A3BD39D6C51FA809AC",1)</f>
        <v>=DISPIMG("ID_A032B38D857046A3BD39D6C51FA809AC",1)</v>
      </c>
      <c r="B196" t="s">
        <v>1917</v>
      </c>
      <c r="C196" t="s">
        <v>1917</v>
      </c>
      <c r="D196" t="s">
        <v>65</v>
      </c>
      <c r="E196" t="s">
        <v>1918</v>
      </c>
      <c r="F196" t="s">
        <v>1919</v>
      </c>
      <c r="G196" t="s">
        <v>1920</v>
      </c>
      <c r="H196" t="s">
        <v>1921</v>
      </c>
      <c r="I196" t="s">
        <v>1922</v>
      </c>
      <c r="J196" t="s">
        <v>934</v>
      </c>
      <c r="K196" t="s">
        <v>850</v>
      </c>
      <c r="L196" t="s">
        <v>851</v>
      </c>
      <c r="M196">
        <v>16717</v>
      </c>
      <c r="N196" t="s">
        <v>852</v>
      </c>
      <c r="O196" t="s">
        <v>1923</v>
      </c>
      <c r="P196" t="s">
        <v>3005</v>
      </c>
      <c r="Q196">
        <v>4.5</v>
      </c>
      <c r="R196" t="s">
        <v>2959</v>
      </c>
      <c r="S196">
        <v>4.257</v>
      </c>
      <c r="T196" t="s">
        <v>2960</v>
      </c>
      <c r="U196" t="s">
        <v>64</v>
      </c>
      <c r="V196" t="s">
        <v>2812</v>
      </c>
      <c r="W196" t="s">
        <v>2878</v>
      </c>
      <c r="X196" t="s">
        <v>2828</v>
      </c>
      <c r="Y196" t="s">
        <v>2815</v>
      </c>
      <c r="Z196" t="s">
        <v>2816</v>
      </c>
      <c r="AA196" t="s">
        <v>2817</v>
      </c>
      <c r="AB196" t="s">
        <v>2816</v>
      </c>
      <c r="AC196" t="s">
        <v>2818</v>
      </c>
      <c r="AD196" t="s">
        <v>2819</v>
      </c>
      <c r="AE196" t="s">
        <v>2840</v>
      </c>
      <c r="AF196" t="s">
        <v>2831</v>
      </c>
      <c r="AG196" t="s">
        <v>2865</v>
      </c>
      <c r="AH196" t="s">
        <v>2868</v>
      </c>
      <c r="AI196">
        <v>1</v>
      </c>
      <c r="AJ196">
        <v>851</v>
      </c>
      <c r="AK196">
        <v>93601.484</v>
      </c>
      <c r="AL196">
        <v>109.99</v>
      </c>
      <c r="AM196">
        <v>0.689</v>
      </c>
      <c r="AN196">
        <v>17.71</v>
      </c>
      <c r="AO196">
        <v>4.5</v>
      </c>
      <c r="AP196">
        <v>848</v>
      </c>
      <c r="AQ196">
        <v>0.027</v>
      </c>
      <c r="AR196">
        <v>23</v>
      </c>
      <c r="AT196" t="s">
        <v>854</v>
      </c>
      <c r="AU196" t="s">
        <v>1924</v>
      </c>
      <c r="AV196">
        <v>638</v>
      </c>
      <c r="AW196">
        <v>1</v>
      </c>
      <c r="AX196">
        <v>1</v>
      </c>
      <c r="AY196" t="s">
        <v>1925</v>
      </c>
      <c r="AZ196" t="s">
        <v>65</v>
      </c>
      <c r="BA196" t="s">
        <v>1926</v>
      </c>
      <c r="BB196" t="s">
        <v>856</v>
      </c>
      <c r="BC196" t="s">
        <v>1927</v>
      </c>
      <c r="BD196" t="s">
        <v>1928</v>
      </c>
    </row>
    <row r="197" ht="51.45" spans="1:56">
      <c r="A197" t="str">
        <f>_xlfn.DISPIMG("ID_14325EF052B64C239526A059D2F20F7F",1)</f>
        <v>=DISPIMG("ID_14325EF052B64C239526A059D2F20F7F",1)</v>
      </c>
      <c r="B197" t="s">
        <v>1929</v>
      </c>
      <c r="C197" t="s">
        <v>1929</v>
      </c>
      <c r="D197" t="s">
        <v>65</v>
      </c>
      <c r="E197" t="s">
        <v>1930</v>
      </c>
      <c r="F197" t="s">
        <v>1931</v>
      </c>
      <c r="G197" t="s">
        <v>1932</v>
      </c>
      <c r="H197" t="s">
        <v>1933</v>
      </c>
      <c r="I197" t="s">
        <v>1934</v>
      </c>
      <c r="J197" t="s">
        <v>934</v>
      </c>
      <c r="K197" t="s">
        <v>850</v>
      </c>
      <c r="L197" t="s">
        <v>851</v>
      </c>
      <c r="M197">
        <v>19139</v>
      </c>
      <c r="N197" t="s">
        <v>852</v>
      </c>
      <c r="O197" t="s">
        <v>1935</v>
      </c>
      <c r="P197" t="s">
        <v>2809</v>
      </c>
      <c r="Q197">
        <v>2.9</v>
      </c>
      <c r="R197" t="s">
        <v>3010</v>
      </c>
      <c r="S197">
        <v>2.7434</v>
      </c>
      <c r="T197" t="s">
        <v>3011</v>
      </c>
      <c r="U197" t="s">
        <v>64</v>
      </c>
      <c r="V197" t="s">
        <v>2812</v>
      </c>
      <c r="W197" t="s">
        <v>2938</v>
      </c>
      <c r="X197" t="s">
        <v>2921</v>
      </c>
      <c r="Y197" t="s">
        <v>2815</v>
      </c>
      <c r="Z197" t="s">
        <v>2816</v>
      </c>
      <c r="AA197" t="s">
        <v>2817</v>
      </c>
      <c r="AB197" t="s">
        <v>2816</v>
      </c>
      <c r="AC197" t="s">
        <v>2818</v>
      </c>
      <c r="AD197" t="s">
        <v>2819</v>
      </c>
      <c r="AE197" t="s">
        <v>2916</v>
      </c>
      <c r="AF197" t="s">
        <v>2831</v>
      </c>
      <c r="AG197" t="s">
        <v>2822</v>
      </c>
      <c r="AH197" t="s">
        <v>2823</v>
      </c>
      <c r="AI197">
        <v>1</v>
      </c>
      <c r="AJ197">
        <v>309</v>
      </c>
      <c r="AK197">
        <v>15357.3</v>
      </c>
      <c r="AL197">
        <v>49.7</v>
      </c>
      <c r="AM197">
        <v>0.5444</v>
      </c>
      <c r="AN197">
        <v>15.19</v>
      </c>
      <c r="AO197">
        <v>4.6</v>
      </c>
      <c r="AP197">
        <v>1625</v>
      </c>
      <c r="AQ197">
        <v>0.1553</v>
      </c>
      <c r="AR197">
        <v>48</v>
      </c>
      <c r="AT197" t="s">
        <v>854</v>
      </c>
      <c r="AU197" t="s">
        <v>1936</v>
      </c>
      <c r="AV197">
        <v>666</v>
      </c>
      <c r="AW197">
        <v>1</v>
      </c>
      <c r="AX197">
        <v>1</v>
      </c>
      <c r="AY197" t="s">
        <v>867</v>
      </c>
      <c r="AZ197" t="s">
        <v>65</v>
      </c>
      <c r="BA197" t="s">
        <v>65</v>
      </c>
      <c r="BB197" t="s">
        <v>856</v>
      </c>
      <c r="BC197" t="s">
        <v>1937</v>
      </c>
      <c r="BD197" t="s">
        <v>1938</v>
      </c>
    </row>
    <row r="198" ht="51.45" spans="1:56">
      <c r="A198" t="str">
        <f>_xlfn.DISPIMG("ID_CAFA875542924B7C8C1FF07E87DC82F6",1)</f>
        <v>=DISPIMG("ID_CAFA875542924B7C8C1FF07E87DC82F6",1)</v>
      </c>
      <c r="B198" t="s">
        <v>1939</v>
      </c>
      <c r="C198" t="s">
        <v>1939</v>
      </c>
      <c r="D198" t="s">
        <v>65</v>
      </c>
      <c r="E198" t="s">
        <v>1940</v>
      </c>
      <c r="F198" t="s">
        <v>1941</v>
      </c>
      <c r="G198" t="s">
        <v>1942</v>
      </c>
      <c r="H198" t="s">
        <v>1943</v>
      </c>
      <c r="I198" t="s">
        <v>1944</v>
      </c>
      <c r="J198" t="s">
        <v>1634</v>
      </c>
      <c r="K198" t="s">
        <v>850</v>
      </c>
      <c r="L198" t="s">
        <v>851</v>
      </c>
      <c r="M198">
        <v>24418</v>
      </c>
      <c r="N198" t="s">
        <v>852</v>
      </c>
      <c r="O198" t="s">
        <v>1945</v>
      </c>
      <c r="P198" t="s">
        <v>2809</v>
      </c>
      <c r="Q198">
        <v>7</v>
      </c>
      <c r="R198" t="s">
        <v>2941</v>
      </c>
      <c r="S198">
        <v>6.622</v>
      </c>
      <c r="T198" t="s">
        <v>2942</v>
      </c>
      <c r="U198" t="s">
        <v>64</v>
      </c>
      <c r="V198" t="s">
        <v>2812</v>
      </c>
      <c r="W198" t="s">
        <v>2888</v>
      </c>
      <c r="X198" t="s">
        <v>2844</v>
      </c>
      <c r="Y198" t="s">
        <v>2815</v>
      </c>
      <c r="Z198" t="s">
        <v>2816</v>
      </c>
      <c r="AA198" t="s">
        <v>2817</v>
      </c>
      <c r="AB198" t="s">
        <v>2816</v>
      </c>
      <c r="AC198" t="s">
        <v>2818</v>
      </c>
      <c r="AD198" t="s">
        <v>2819</v>
      </c>
      <c r="AE198" t="s">
        <v>2882</v>
      </c>
      <c r="AF198" t="s">
        <v>2883</v>
      </c>
      <c r="AG198" t="s">
        <v>2930</v>
      </c>
      <c r="AH198" t="s">
        <v>2940</v>
      </c>
      <c r="AI198">
        <v>1</v>
      </c>
      <c r="AJ198">
        <v>578</v>
      </c>
      <c r="AK198">
        <v>35830.223</v>
      </c>
      <c r="AL198">
        <v>61.99</v>
      </c>
      <c r="AM198">
        <v>0.4898</v>
      </c>
      <c r="AN198">
        <v>22.33</v>
      </c>
      <c r="AO198">
        <v>4.2</v>
      </c>
      <c r="AP198">
        <v>239</v>
      </c>
      <c r="AQ198">
        <v>0.0848</v>
      </c>
      <c r="AR198">
        <v>49</v>
      </c>
      <c r="AT198" t="s">
        <v>876</v>
      </c>
      <c r="AU198" t="s">
        <v>1946</v>
      </c>
      <c r="AV198">
        <v>230</v>
      </c>
      <c r="AW198">
        <v>1</v>
      </c>
      <c r="AX198">
        <v>1</v>
      </c>
      <c r="AY198" t="s">
        <v>1947</v>
      </c>
      <c r="AZ198" t="s">
        <v>1288</v>
      </c>
      <c r="BA198" t="s">
        <v>1948</v>
      </c>
      <c r="BB198" t="s">
        <v>856</v>
      </c>
      <c r="BC198" t="s">
        <v>1949</v>
      </c>
      <c r="BD198" t="s">
        <v>1950</v>
      </c>
    </row>
    <row r="199" ht="51.45" spans="1:56">
      <c r="A199" t="str">
        <f>_xlfn.DISPIMG("ID_F9B083DFE5154E15A17EC7936B463F2F",1)</f>
        <v>=DISPIMG("ID_F9B083DFE5154E15A17EC7936B463F2F",1)</v>
      </c>
      <c r="B199" t="s">
        <v>1951</v>
      </c>
      <c r="C199" t="s">
        <v>1951</v>
      </c>
      <c r="D199" t="s">
        <v>65</v>
      </c>
      <c r="E199" t="s">
        <v>1952</v>
      </c>
      <c r="F199" t="s">
        <v>1953</v>
      </c>
      <c r="G199" t="s">
        <v>1059</v>
      </c>
      <c r="H199" t="s">
        <v>1954</v>
      </c>
      <c r="I199" t="s">
        <v>1955</v>
      </c>
      <c r="J199" t="s">
        <v>864</v>
      </c>
      <c r="K199" t="s">
        <v>850</v>
      </c>
      <c r="L199" t="s">
        <v>851</v>
      </c>
      <c r="M199">
        <v>22603</v>
      </c>
      <c r="N199" t="s">
        <v>852</v>
      </c>
      <c r="O199" t="s">
        <v>1956</v>
      </c>
      <c r="P199" t="s">
        <v>2852</v>
      </c>
      <c r="Q199">
        <v>21</v>
      </c>
      <c r="R199" t="s">
        <v>3012</v>
      </c>
      <c r="S199">
        <v>19.866</v>
      </c>
      <c r="T199" t="s">
        <v>3013</v>
      </c>
      <c r="U199" t="s">
        <v>2877</v>
      </c>
      <c r="V199" t="s">
        <v>2836</v>
      </c>
      <c r="W199" t="s">
        <v>2827</v>
      </c>
      <c r="X199" t="s">
        <v>2874</v>
      </c>
      <c r="Y199" t="s">
        <v>2829</v>
      </c>
      <c r="Z199" t="s">
        <v>2817</v>
      </c>
      <c r="AA199" t="s">
        <v>2817</v>
      </c>
      <c r="AB199" t="s">
        <v>2816</v>
      </c>
      <c r="AC199" t="s">
        <v>2818</v>
      </c>
      <c r="AD199" t="s">
        <v>2839</v>
      </c>
      <c r="AE199" t="s">
        <v>2887</v>
      </c>
      <c r="AF199" t="s">
        <v>2851</v>
      </c>
      <c r="AG199" t="s">
        <v>2865</v>
      </c>
      <c r="AH199" t="s">
        <v>2823</v>
      </c>
      <c r="AI199">
        <v>1</v>
      </c>
      <c r="AJ199">
        <v>365</v>
      </c>
      <c r="AK199">
        <v>54746.35</v>
      </c>
      <c r="AL199">
        <v>149.99</v>
      </c>
      <c r="AM199">
        <v>0.6479</v>
      </c>
      <c r="AN199">
        <v>30.31</v>
      </c>
      <c r="AO199">
        <v>4.5</v>
      </c>
      <c r="AP199">
        <v>2652</v>
      </c>
      <c r="AQ199">
        <v>0.1288</v>
      </c>
      <c r="AR199">
        <v>47</v>
      </c>
      <c r="AT199" t="s">
        <v>947</v>
      </c>
      <c r="AU199" t="s">
        <v>1957</v>
      </c>
      <c r="AV199">
        <v>930</v>
      </c>
      <c r="AW199">
        <v>1</v>
      </c>
      <c r="AX199">
        <v>9</v>
      </c>
      <c r="AY199" t="s">
        <v>867</v>
      </c>
      <c r="AZ199" t="s">
        <v>65</v>
      </c>
      <c r="BA199" t="s">
        <v>65</v>
      </c>
      <c r="BB199" t="s">
        <v>856</v>
      </c>
      <c r="BC199" t="s">
        <v>1751</v>
      </c>
      <c r="BD199" t="s">
        <v>1958</v>
      </c>
    </row>
    <row r="200" ht="51.45" spans="1:56">
      <c r="A200" t="str">
        <f>_xlfn.DISPIMG("ID_C84511F9722846388FB698BCF9E760FB",1)</f>
        <v>=DISPIMG("ID_C84511F9722846388FB698BCF9E760FB",1)</v>
      </c>
      <c r="B200" t="s">
        <v>1959</v>
      </c>
      <c r="C200" t="s">
        <v>1959</v>
      </c>
      <c r="D200" t="s">
        <v>65</v>
      </c>
      <c r="E200" t="s">
        <v>1960</v>
      </c>
      <c r="F200" t="s">
        <v>1961</v>
      </c>
      <c r="G200" t="s">
        <v>1059</v>
      </c>
      <c r="H200" t="s">
        <v>1962</v>
      </c>
      <c r="I200" t="s">
        <v>1963</v>
      </c>
      <c r="J200" t="s">
        <v>934</v>
      </c>
      <c r="K200" t="s">
        <v>850</v>
      </c>
      <c r="L200" t="s">
        <v>851</v>
      </c>
      <c r="M200">
        <v>12961</v>
      </c>
      <c r="N200" t="s">
        <v>852</v>
      </c>
      <c r="O200" t="s">
        <v>1964</v>
      </c>
      <c r="P200" t="s">
        <v>2986</v>
      </c>
      <c r="Q200">
        <v>2</v>
      </c>
      <c r="R200" t="s">
        <v>2914</v>
      </c>
      <c r="S200">
        <v>1.892</v>
      </c>
      <c r="T200" t="s">
        <v>2915</v>
      </c>
      <c r="U200" t="s">
        <v>64</v>
      </c>
      <c r="V200" t="s">
        <v>2812</v>
      </c>
      <c r="W200" t="s">
        <v>2861</v>
      </c>
      <c r="X200" t="s">
        <v>2862</v>
      </c>
      <c r="Y200" t="s">
        <v>2815</v>
      </c>
      <c r="Z200" t="s">
        <v>2816</v>
      </c>
      <c r="AA200" t="s">
        <v>2816</v>
      </c>
      <c r="AB200" t="s">
        <v>2816</v>
      </c>
      <c r="AC200" t="s">
        <v>2863</v>
      </c>
      <c r="AD200" t="s">
        <v>2819</v>
      </c>
      <c r="AE200" t="s">
        <v>2916</v>
      </c>
      <c r="AF200" t="s">
        <v>2883</v>
      </c>
      <c r="AG200" t="s">
        <v>2865</v>
      </c>
      <c r="AH200" t="s">
        <v>2884</v>
      </c>
      <c r="AI200">
        <v>1</v>
      </c>
      <c r="AJ200">
        <v>610</v>
      </c>
      <c r="AK200">
        <v>30493.9</v>
      </c>
      <c r="AL200">
        <v>49.99</v>
      </c>
      <c r="AM200">
        <v>0.5629</v>
      </c>
      <c r="AN200">
        <v>14.35</v>
      </c>
      <c r="AO200">
        <v>4.3</v>
      </c>
      <c r="AP200">
        <v>357</v>
      </c>
      <c r="AQ200">
        <v>0</v>
      </c>
      <c r="AR200">
        <v>0</v>
      </c>
      <c r="AT200" t="s">
        <v>876</v>
      </c>
      <c r="AU200" t="s">
        <v>1965</v>
      </c>
      <c r="AV200">
        <v>276</v>
      </c>
      <c r="AW200">
        <v>1</v>
      </c>
      <c r="AX200">
        <v>12</v>
      </c>
      <c r="AY200" t="s">
        <v>867</v>
      </c>
      <c r="AZ200" t="s">
        <v>65</v>
      </c>
      <c r="BA200" t="s">
        <v>65</v>
      </c>
      <c r="BB200" t="s">
        <v>856</v>
      </c>
      <c r="BC200" t="s">
        <v>1966</v>
      </c>
      <c r="BD200" t="s">
        <v>1967</v>
      </c>
    </row>
    <row r="201" ht="51.45" spans="1:56">
      <c r="A201" t="str">
        <f>_xlfn.DISPIMG("ID_41B0691D1D0044738862DF6167707F7F",1)</f>
        <v>=DISPIMG("ID_41B0691D1D0044738862DF6167707F7F",1)</v>
      </c>
      <c r="B201" t="s">
        <v>1968</v>
      </c>
      <c r="C201" t="s">
        <v>1968</v>
      </c>
      <c r="D201" t="s">
        <v>65</v>
      </c>
      <c r="E201" t="s">
        <v>1969</v>
      </c>
      <c r="F201" t="s">
        <v>1970</v>
      </c>
      <c r="G201" t="s">
        <v>1799</v>
      </c>
      <c r="H201" t="s">
        <v>1971</v>
      </c>
      <c r="I201" t="s">
        <v>1972</v>
      </c>
      <c r="J201" t="s">
        <v>974</v>
      </c>
      <c r="K201" t="s">
        <v>850</v>
      </c>
      <c r="L201" t="s">
        <v>851</v>
      </c>
      <c r="M201">
        <v>32907</v>
      </c>
      <c r="N201" t="s">
        <v>852</v>
      </c>
      <c r="O201" t="s">
        <v>1973</v>
      </c>
      <c r="P201" t="s">
        <v>2809</v>
      </c>
      <c r="Q201">
        <v>3.4</v>
      </c>
      <c r="R201" t="s">
        <v>3014</v>
      </c>
      <c r="S201">
        <v>3.2164</v>
      </c>
      <c r="T201" t="s">
        <v>3015</v>
      </c>
      <c r="U201" t="s">
        <v>64</v>
      </c>
      <c r="V201" t="s">
        <v>2812</v>
      </c>
      <c r="W201" t="s">
        <v>2861</v>
      </c>
      <c r="X201" t="s">
        <v>2828</v>
      </c>
      <c r="Y201" t="s">
        <v>2815</v>
      </c>
      <c r="Z201" t="s">
        <v>2816</v>
      </c>
      <c r="AA201" t="s">
        <v>2816</v>
      </c>
      <c r="AB201" t="s">
        <v>2816</v>
      </c>
      <c r="AC201" t="s">
        <v>2863</v>
      </c>
      <c r="AD201" t="s">
        <v>2819</v>
      </c>
      <c r="AE201" t="s">
        <v>2866</v>
      </c>
      <c r="AF201" t="s">
        <v>2821</v>
      </c>
      <c r="AG201" t="s">
        <v>2822</v>
      </c>
      <c r="AH201" t="s">
        <v>2823</v>
      </c>
      <c r="AI201">
        <v>1</v>
      </c>
      <c r="AJ201">
        <v>216</v>
      </c>
      <c r="AK201">
        <v>12627.359</v>
      </c>
      <c r="AL201">
        <v>58.46</v>
      </c>
      <c r="AM201">
        <v>0.5542</v>
      </c>
      <c r="AN201">
        <v>17.29</v>
      </c>
      <c r="AO201">
        <v>4.6</v>
      </c>
      <c r="AP201">
        <v>4355</v>
      </c>
      <c r="AQ201">
        <v>0.0741</v>
      </c>
      <c r="AR201">
        <v>16</v>
      </c>
      <c r="AT201" t="s">
        <v>876</v>
      </c>
      <c r="AU201" t="s">
        <v>1802</v>
      </c>
      <c r="AV201">
        <v>2187</v>
      </c>
      <c r="AW201">
        <v>1</v>
      </c>
      <c r="AX201">
        <v>2</v>
      </c>
      <c r="AY201" t="s">
        <v>867</v>
      </c>
      <c r="AZ201" t="s">
        <v>65</v>
      </c>
      <c r="BA201" t="s">
        <v>65</v>
      </c>
      <c r="BB201" t="s">
        <v>856</v>
      </c>
      <c r="BC201" t="s">
        <v>1974</v>
      </c>
      <c r="BD201" t="s">
        <v>1975</v>
      </c>
    </row>
    <row r="202" ht="51.45" spans="1:56">
      <c r="A202" t="str">
        <f>_xlfn.DISPIMG("ID_3211C43D397B4A3EAF999BDB4C1D6252",1)</f>
        <v>=DISPIMG("ID_3211C43D397B4A3EAF999BDB4C1D6252",1)</v>
      </c>
      <c r="B202" t="s">
        <v>401</v>
      </c>
      <c r="C202" t="s">
        <v>401</v>
      </c>
      <c r="D202" t="s">
        <v>65</v>
      </c>
      <c r="E202" t="s">
        <v>1987</v>
      </c>
      <c r="F202" t="s">
        <v>1988</v>
      </c>
      <c r="G202" t="s">
        <v>1989</v>
      </c>
      <c r="H202" t="s">
        <v>1990</v>
      </c>
      <c r="I202" t="s">
        <v>1991</v>
      </c>
      <c r="J202" t="s">
        <v>934</v>
      </c>
      <c r="K202" t="s">
        <v>850</v>
      </c>
      <c r="L202" t="s">
        <v>851</v>
      </c>
      <c r="M202">
        <v>24313</v>
      </c>
      <c r="N202" t="s">
        <v>852</v>
      </c>
      <c r="O202" t="s">
        <v>1992</v>
      </c>
      <c r="P202" t="s">
        <v>2809</v>
      </c>
      <c r="Q202">
        <v>32</v>
      </c>
      <c r="R202" t="s">
        <v>3016</v>
      </c>
      <c r="S202">
        <v>30.272</v>
      </c>
      <c r="T202" t="s">
        <v>3017</v>
      </c>
      <c r="U202" t="s">
        <v>2877</v>
      </c>
      <c r="V202" t="s">
        <v>2836</v>
      </c>
      <c r="W202" t="s">
        <v>2998</v>
      </c>
      <c r="X202" t="s">
        <v>2874</v>
      </c>
      <c r="Y202" t="s">
        <v>2829</v>
      </c>
      <c r="Z202" t="s">
        <v>2817</v>
      </c>
      <c r="AA202" t="s">
        <v>2817</v>
      </c>
      <c r="AB202" t="s">
        <v>2816</v>
      </c>
      <c r="AC202" t="s">
        <v>2818</v>
      </c>
      <c r="AD202" t="s">
        <v>2839</v>
      </c>
      <c r="AE202" t="s">
        <v>2880</v>
      </c>
      <c r="AF202" t="s">
        <v>2831</v>
      </c>
      <c r="AG202" t="s">
        <v>2865</v>
      </c>
      <c r="AH202" t="s">
        <v>2911</v>
      </c>
      <c r="AI202">
        <v>1</v>
      </c>
      <c r="AJ202">
        <v>490</v>
      </c>
      <c r="AK202">
        <v>112695.1</v>
      </c>
      <c r="AL202">
        <v>189.99</v>
      </c>
      <c r="AM202">
        <v>0.7219</v>
      </c>
      <c r="AN202">
        <v>29.47</v>
      </c>
      <c r="AO202">
        <v>4.3</v>
      </c>
      <c r="AP202">
        <v>731</v>
      </c>
      <c r="AQ202">
        <v>0.1061</v>
      </c>
      <c r="AR202">
        <v>52</v>
      </c>
      <c r="AT202" t="s">
        <v>947</v>
      </c>
      <c r="AU202" t="s">
        <v>914</v>
      </c>
      <c r="AV202">
        <v>605</v>
      </c>
      <c r="AW202">
        <v>1</v>
      </c>
      <c r="AX202">
        <v>2</v>
      </c>
      <c r="AY202" t="s">
        <v>1993</v>
      </c>
      <c r="AZ202" t="s">
        <v>1401</v>
      </c>
      <c r="BA202" t="s">
        <v>1994</v>
      </c>
      <c r="BB202" t="s">
        <v>856</v>
      </c>
      <c r="BC202" t="s">
        <v>1644</v>
      </c>
      <c r="BD202" t="s">
        <v>1995</v>
      </c>
    </row>
    <row r="203" ht="51.45" spans="1:56">
      <c r="A203" t="str">
        <f>_xlfn.DISPIMG("ID_A7D8F3B098D14F84B7383CC735E1FCBE",1)</f>
        <v>=DISPIMG("ID_A7D8F3B098D14F84B7383CC735E1FCBE",1)</v>
      </c>
      <c r="B203" t="s">
        <v>1996</v>
      </c>
      <c r="C203" t="s">
        <v>1996</v>
      </c>
      <c r="D203" t="s">
        <v>65</v>
      </c>
      <c r="E203" t="s">
        <v>1997</v>
      </c>
      <c r="F203" t="s">
        <v>1998</v>
      </c>
      <c r="G203" t="s">
        <v>1999</v>
      </c>
      <c r="H203" t="s">
        <v>2000</v>
      </c>
      <c r="I203" t="s">
        <v>2001</v>
      </c>
      <c r="J203" t="s">
        <v>974</v>
      </c>
      <c r="K203" t="s">
        <v>850</v>
      </c>
      <c r="L203" t="s">
        <v>851</v>
      </c>
      <c r="M203">
        <v>24510</v>
      </c>
      <c r="N203" t="s">
        <v>852</v>
      </c>
      <c r="O203" t="s">
        <v>2002</v>
      </c>
      <c r="P203" t="s">
        <v>2986</v>
      </c>
      <c r="Q203">
        <v>4.5</v>
      </c>
      <c r="R203" t="s">
        <v>2959</v>
      </c>
      <c r="S203">
        <v>4.257</v>
      </c>
      <c r="T203" t="s">
        <v>2960</v>
      </c>
      <c r="U203" t="s">
        <v>64</v>
      </c>
      <c r="V203" t="s">
        <v>2812</v>
      </c>
      <c r="W203" t="s">
        <v>2878</v>
      </c>
      <c r="X203" t="s">
        <v>2844</v>
      </c>
      <c r="Y203" t="s">
        <v>2815</v>
      </c>
      <c r="Z203" t="s">
        <v>2816</v>
      </c>
      <c r="AA203" t="s">
        <v>2816</v>
      </c>
      <c r="AB203" t="s">
        <v>2816</v>
      </c>
      <c r="AC203" t="s">
        <v>2863</v>
      </c>
      <c r="AD203" t="s">
        <v>2819</v>
      </c>
      <c r="AE203" t="s">
        <v>2924</v>
      </c>
      <c r="AF203" t="s">
        <v>2831</v>
      </c>
      <c r="AG203" t="s">
        <v>2865</v>
      </c>
      <c r="AH203" t="s">
        <v>2823</v>
      </c>
      <c r="AI203">
        <v>1</v>
      </c>
      <c r="AJ203">
        <v>363</v>
      </c>
      <c r="AK203">
        <v>65321.848</v>
      </c>
      <c r="AL203">
        <v>179.95</v>
      </c>
      <c r="AM203">
        <v>0.7212</v>
      </c>
      <c r="AN203">
        <v>23.17</v>
      </c>
      <c r="AO203">
        <v>4.5</v>
      </c>
      <c r="AP203">
        <v>1122</v>
      </c>
      <c r="AQ203">
        <v>0.0771</v>
      </c>
      <c r="AR203">
        <v>28</v>
      </c>
      <c r="AT203" t="s">
        <v>876</v>
      </c>
      <c r="AU203" t="s">
        <v>2003</v>
      </c>
      <c r="AV203">
        <v>664</v>
      </c>
      <c r="AW203">
        <v>1</v>
      </c>
      <c r="AX203">
        <v>4</v>
      </c>
      <c r="AY203" t="s">
        <v>65</v>
      </c>
      <c r="AZ203" t="s">
        <v>65</v>
      </c>
      <c r="BA203" t="s">
        <v>65</v>
      </c>
      <c r="BB203" t="s">
        <v>856</v>
      </c>
      <c r="BC203" t="s">
        <v>2004</v>
      </c>
      <c r="BD203" t="s">
        <v>2005</v>
      </c>
    </row>
  </sheetData>
  <autoFilter xmlns:etc="http://www.wps.cn/officeDocument/2017/etCustomData" ref="A1:BD101" etc:filterBottomFollowUsedRange="0">
    <extLst/>
  </autoFilter>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1"/>
  <sheetViews>
    <sheetView zoomScale="70" zoomScaleNormal="70" workbookViewId="0">
      <selection activeCell="A1" sqref="A1:AT101"/>
    </sheetView>
  </sheetViews>
  <sheetFormatPr defaultColWidth="9" defaultRowHeight="13.5"/>
  <cols>
    <col min="2" max="3" width="9" hidden="1" customWidth="1"/>
    <col min="6" max="6" width="9" hidden="1" customWidth="1"/>
    <col min="8" max="8" width="9" hidden="1" customWidth="1"/>
    <col min="9" max="9" width="79.7" customWidth="1"/>
    <col min="10" max="10" width="9" hidden="1" customWidth="1"/>
    <col min="12" max="12" width="16.175" customWidth="1"/>
    <col min="14" max="14" width="12.625"/>
    <col min="21" max="21" width="10.5833333333333" style="1" customWidth="1"/>
    <col min="22" max="22" width="10.4416666666667" style="1" customWidth="1"/>
    <col min="23" max="23" width="8.875" style="1" customWidth="1"/>
    <col min="24" max="24" width="10.875" style="1" customWidth="1"/>
    <col min="25" max="25" width="5.125" style="1" customWidth="1"/>
  </cols>
  <sheetData>
    <row r="1" ht="27" customHeight="1" spans="1:46">
      <c r="A1" s="2" t="s">
        <v>809</v>
      </c>
      <c r="B1" s="2" t="s">
        <v>810</v>
      </c>
      <c r="C1" s="2" t="s">
        <v>811</v>
      </c>
      <c r="D1" s="2" t="s">
        <v>812</v>
      </c>
      <c r="E1" s="2" t="s">
        <v>813</v>
      </c>
      <c r="F1" s="2" t="s">
        <v>814</v>
      </c>
      <c r="G1" s="2" t="s">
        <v>815</v>
      </c>
      <c r="H1" s="2" t="s">
        <v>816</v>
      </c>
      <c r="I1" s="2" t="s">
        <v>817</v>
      </c>
      <c r="J1" s="2" t="s">
        <v>818</v>
      </c>
      <c r="K1" s="2" t="s">
        <v>819</v>
      </c>
      <c r="L1" s="2" t="s">
        <v>820</v>
      </c>
      <c r="M1" s="3" t="s">
        <v>821</v>
      </c>
      <c r="N1" s="2" t="s">
        <v>822</v>
      </c>
      <c r="O1" s="3" t="s">
        <v>823</v>
      </c>
      <c r="P1" s="4" t="s">
        <v>2790</v>
      </c>
      <c r="Q1" s="4" t="s">
        <v>4435</v>
      </c>
      <c r="R1" s="4" t="s">
        <v>2795</v>
      </c>
      <c r="S1" s="4" t="s">
        <v>5266</v>
      </c>
      <c r="T1" s="4" t="s">
        <v>2804</v>
      </c>
      <c r="U1" s="4" t="s">
        <v>2805</v>
      </c>
      <c r="V1" s="4" t="s">
        <v>834</v>
      </c>
      <c r="W1" s="4" t="s">
        <v>2806</v>
      </c>
      <c r="X1" s="4" t="s">
        <v>2807</v>
      </c>
      <c r="Y1" s="4" t="s">
        <v>2808</v>
      </c>
      <c r="Z1" s="3" t="s">
        <v>824</v>
      </c>
      <c r="AA1" s="3" t="s">
        <v>825</v>
      </c>
      <c r="AB1" s="5" t="s">
        <v>826</v>
      </c>
      <c r="AC1" s="6" t="s">
        <v>827</v>
      </c>
      <c r="AD1" s="5" t="s">
        <v>828</v>
      </c>
      <c r="AE1" s="7" t="s">
        <v>829</v>
      </c>
      <c r="AF1" s="3" t="s">
        <v>48</v>
      </c>
      <c r="AG1" s="8" t="s">
        <v>830</v>
      </c>
      <c r="AH1" s="3" t="s">
        <v>831</v>
      </c>
      <c r="AI1" s="3" t="s">
        <v>832</v>
      </c>
      <c r="AJ1" s="2" t="s">
        <v>833</v>
      </c>
      <c r="AK1" s="2" t="s">
        <v>834</v>
      </c>
      <c r="AL1" s="3" t="s">
        <v>835</v>
      </c>
      <c r="AM1" s="3" t="s">
        <v>836</v>
      </c>
      <c r="AN1" s="3" t="s">
        <v>837</v>
      </c>
      <c r="AO1" s="2" t="s">
        <v>838</v>
      </c>
      <c r="AP1" s="2" t="s">
        <v>839</v>
      </c>
      <c r="AQ1" s="2" t="s">
        <v>840</v>
      </c>
      <c r="AR1" s="2" t="s">
        <v>841</v>
      </c>
      <c r="AS1" s="2" t="s">
        <v>842</v>
      </c>
      <c r="AT1" s="2" t="s">
        <v>843</v>
      </c>
    </row>
    <row r="2" ht="24" customHeight="1" spans="1:46">
      <c r="A2" s="9" t="str">
        <f>_xlfn.DISPIMG("ID_0AF7D39FECD34B5D8D4ED32FBC2DAA78",1)</f>
        <v>=DISPIMG("ID_0AF7D39FECD34B5D8D4ED32FBC2DAA78",1)</v>
      </c>
      <c r="B2" s="10" t="s">
        <v>5267</v>
      </c>
      <c r="C2" s="10" t="s">
        <v>5268</v>
      </c>
      <c r="D2" s="10" t="s">
        <v>5269</v>
      </c>
      <c r="E2" s="10" t="s">
        <v>5270</v>
      </c>
      <c r="F2" s="10" t="s">
        <v>5271</v>
      </c>
      <c r="G2" s="10" t="s">
        <v>5272</v>
      </c>
      <c r="H2" s="10" t="s">
        <v>5273</v>
      </c>
      <c r="I2" s="10" t="s">
        <v>5274</v>
      </c>
      <c r="J2" s="9" t="s">
        <v>864</v>
      </c>
      <c r="K2" s="10" t="s">
        <v>5275</v>
      </c>
      <c r="L2" s="10" t="s">
        <v>851</v>
      </c>
      <c r="M2" s="11">
        <v>212</v>
      </c>
      <c r="N2" s="12" t="s">
        <v>5276</v>
      </c>
      <c r="O2" s="13">
        <v>1</v>
      </c>
      <c r="P2" s="13" t="s">
        <v>2986</v>
      </c>
      <c r="Q2" s="13" t="s">
        <v>5277</v>
      </c>
      <c r="R2" s="13" t="s">
        <v>3170</v>
      </c>
      <c r="S2" s="13" t="s">
        <v>5278</v>
      </c>
      <c r="T2" s="13" t="s">
        <v>3174</v>
      </c>
      <c r="U2" s="14" t="s">
        <v>3310</v>
      </c>
      <c r="V2" s="14" t="s">
        <v>2821</v>
      </c>
      <c r="W2" s="14" t="s">
        <v>2865</v>
      </c>
      <c r="X2" s="14" t="s">
        <v>2823</v>
      </c>
      <c r="Y2" s="15">
        <v>1</v>
      </c>
      <c r="Z2" s="11">
        <v>21293</v>
      </c>
      <c r="AA2" s="11">
        <v>1064437.1</v>
      </c>
      <c r="AB2" s="16">
        <v>49.99</v>
      </c>
      <c r="AC2" s="17">
        <v>0.6856</v>
      </c>
      <c r="AD2" s="16">
        <v>8.22</v>
      </c>
      <c r="AE2" s="18">
        <v>4.5</v>
      </c>
      <c r="AF2" s="11">
        <v>25017</v>
      </c>
      <c r="AG2" s="19">
        <v>0.0041</v>
      </c>
      <c r="AH2" s="11">
        <v>88</v>
      </c>
      <c r="AI2" s="20"/>
      <c r="AJ2" s="9" t="s">
        <v>947</v>
      </c>
      <c r="AK2" s="9" t="s">
        <v>5279</v>
      </c>
      <c r="AL2" s="21">
        <v>2372</v>
      </c>
      <c r="AM2" s="21">
        <v>7</v>
      </c>
      <c r="AN2" s="21">
        <v>6</v>
      </c>
      <c r="AO2" s="10" t="s">
        <v>1515</v>
      </c>
      <c r="AP2" s="9" t="s">
        <v>65</v>
      </c>
      <c r="AQ2" s="10" t="s">
        <v>65</v>
      </c>
      <c r="AR2" s="9" t="s">
        <v>1516</v>
      </c>
      <c r="AS2" s="22" t="s">
        <v>5280</v>
      </c>
      <c r="AT2" s="22" t="s">
        <v>5281</v>
      </c>
    </row>
    <row r="3" ht="24" customHeight="1" spans="1:46">
      <c r="A3" s="9" t="str">
        <f>_xlfn.DISPIMG("ID_50D73D10EDC6485E9781DC4C638AFFDB",1)</f>
        <v>=DISPIMG("ID_50D73D10EDC6485E9781DC4C638AFFDB",1)</v>
      </c>
      <c r="B3" s="10" t="s">
        <v>5282</v>
      </c>
      <c r="C3" s="10" t="s">
        <v>5283</v>
      </c>
      <c r="D3" s="10" t="s">
        <v>5284</v>
      </c>
      <c r="E3" s="10" t="s">
        <v>5285</v>
      </c>
      <c r="F3" s="10" t="s">
        <v>5286</v>
      </c>
      <c r="G3" s="10" t="s">
        <v>3854</v>
      </c>
      <c r="H3" s="10" t="s">
        <v>5287</v>
      </c>
      <c r="I3" s="10" t="s">
        <v>5288</v>
      </c>
      <c r="J3" s="9" t="s">
        <v>923</v>
      </c>
      <c r="K3" s="10" t="s">
        <v>5275</v>
      </c>
      <c r="L3" s="10" t="s">
        <v>851</v>
      </c>
      <c r="M3" s="11">
        <v>252</v>
      </c>
      <c r="N3" s="12" t="s">
        <v>5276</v>
      </c>
      <c r="O3" s="13" t="s">
        <v>865</v>
      </c>
      <c r="P3" s="13" t="s">
        <v>3005</v>
      </c>
      <c r="Q3" s="13" t="s">
        <v>5289</v>
      </c>
      <c r="R3" s="13" t="s">
        <v>3170</v>
      </c>
      <c r="S3" s="13" t="s">
        <v>5278</v>
      </c>
      <c r="T3" s="13" t="s">
        <v>3174</v>
      </c>
      <c r="U3" s="14" t="s">
        <v>3296</v>
      </c>
      <c r="V3" s="14" t="s">
        <v>2900</v>
      </c>
      <c r="W3" s="14" t="s">
        <v>2930</v>
      </c>
      <c r="X3" s="14" t="s">
        <v>2823</v>
      </c>
      <c r="Y3" s="15">
        <v>1</v>
      </c>
      <c r="Z3" s="11">
        <v>17933</v>
      </c>
      <c r="AA3" s="11">
        <v>804474.4</v>
      </c>
      <c r="AB3" s="16">
        <v>44.86</v>
      </c>
      <c r="AC3" s="17">
        <v>0.6596</v>
      </c>
      <c r="AD3" s="16">
        <v>8.54</v>
      </c>
      <c r="AE3" s="18">
        <v>4.2</v>
      </c>
      <c r="AF3" s="11">
        <v>2483</v>
      </c>
      <c r="AG3" s="19">
        <v>0.0089</v>
      </c>
      <c r="AH3" s="11">
        <v>160</v>
      </c>
      <c r="AI3" s="11">
        <v>57</v>
      </c>
      <c r="AJ3" s="9" t="s">
        <v>854</v>
      </c>
      <c r="AK3" s="9" t="s">
        <v>5290</v>
      </c>
      <c r="AL3" s="21">
        <v>770</v>
      </c>
      <c r="AM3" s="21">
        <v>6</v>
      </c>
      <c r="AN3" s="21">
        <v>14</v>
      </c>
      <c r="AO3" s="10" t="s">
        <v>1515</v>
      </c>
      <c r="AP3" s="9" t="s">
        <v>65</v>
      </c>
      <c r="AQ3" s="10" t="s">
        <v>65</v>
      </c>
      <c r="AR3" s="9" t="s">
        <v>1516</v>
      </c>
      <c r="AS3" s="22" t="s">
        <v>5291</v>
      </c>
      <c r="AT3" s="22" t="s">
        <v>5292</v>
      </c>
    </row>
    <row r="4" ht="24" customHeight="1" spans="1:46">
      <c r="A4" s="9" t="str">
        <f>_xlfn.DISPIMG("ID_B13033644EC1416C8599B90863A369F3",1)</f>
        <v>=DISPIMG("ID_B13033644EC1416C8599B90863A369F3",1)</v>
      </c>
      <c r="B4" s="10" t="s">
        <v>5293</v>
      </c>
      <c r="C4" s="10" t="s">
        <v>5294</v>
      </c>
      <c r="D4" s="10" t="s">
        <v>5295</v>
      </c>
      <c r="E4" s="10" t="s">
        <v>5296</v>
      </c>
      <c r="F4" s="10" t="s">
        <v>5297</v>
      </c>
      <c r="G4" s="10" t="s">
        <v>3854</v>
      </c>
      <c r="H4" s="10" t="s">
        <v>5298</v>
      </c>
      <c r="I4" s="10" t="s">
        <v>5299</v>
      </c>
      <c r="J4" s="9" t="s">
        <v>864</v>
      </c>
      <c r="K4" s="10" t="s">
        <v>5275</v>
      </c>
      <c r="L4" s="10" t="s">
        <v>5300</v>
      </c>
      <c r="M4" s="11">
        <v>135</v>
      </c>
      <c r="N4" s="12" t="s">
        <v>5301</v>
      </c>
      <c r="O4" s="13" t="s">
        <v>5302</v>
      </c>
      <c r="P4" s="13" t="s">
        <v>2963</v>
      </c>
      <c r="Q4" s="13" t="s">
        <v>5277</v>
      </c>
      <c r="R4" s="13" t="s">
        <v>3170</v>
      </c>
      <c r="S4" s="13" t="s">
        <v>5278</v>
      </c>
      <c r="T4" s="13" t="s">
        <v>3174</v>
      </c>
      <c r="U4" s="14" t="s">
        <v>3269</v>
      </c>
      <c r="V4" s="14" t="s">
        <v>2821</v>
      </c>
      <c r="W4" s="14" t="s">
        <v>2865</v>
      </c>
      <c r="X4" s="14" t="s">
        <v>2823</v>
      </c>
      <c r="Y4" s="15">
        <v>1</v>
      </c>
      <c r="Z4" s="11">
        <v>28432</v>
      </c>
      <c r="AA4" s="11">
        <v>1097759.5</v>
      </c>
      <c r="AB4" s="16">
        <v>38.61</v>
      </c>
      <c r="AC4" s="17">
        <v>0.6371</v>
      </c>
      <c r="AD4" s="16">
        <v>8.22</v>
      </c>
      <c r="AE4" s="18">
        <v>4.4</v>
      </c>
      <c r="AF4" s="11">
        <v>7863</v>
      </c>
      <c r="AG4" s="19">
        <v>0.0099</v>
      </c>
      <c r="AH4" s="11">
        <v>282</v>
      </c>
      <c r="AI4" s="11">
        <v>136</v>
      </c>
      <c r="AJ4" s="9" t="s">
        <v>876</v>
      </c>
      <c r="AK4" s="9" t="s">
        <v>5303</v>
      </c>
      <c r="AL4" s="21">
        <v>1489</v>
      </c>
      <c r="AM4" s="21">
        <v>8</v>
      </c>
      <c r="AN4" s="21">
        <v>12</v>
      </c>
      <c r="AO4" s="10" t="s">
        <v>1515</v>
      </c>
      <c r="AP4" s="9" t="s">
        <v>65</v>
      </c>
      <c r="AQ4" s="10" t="s">
        <v>65</v>
      </c>
      <c r="AR4" s="9" t="s">
        <v>1516</v>
      </c>
      <c r="AS4" s="22" t="s">
        <v>1413</v>
      </c>
      <c r="AT4" s="22" t="s">
        <v>5304</v>
      </c>
    </row>
    <row r="5" ht="24" customHeight="1" spans="1:46">
      <c r="A5" s="9" t="str">
        <f>_xlfn.DISPIMG("ID_1D83F4269E6D4F44BBED3EF85B366C7D",1)</f>
        <v>=DISPIMG("ID_1D83F4269E6D4F44BBED3EF85B366C7D",1)</v>
      </c>
      <c r="B5" s="10" t="s">
        <v>5305</v>
      </c>
      <c r="C5" s="10" t="s">
        <v>5306</v>
      </c>
      <c r="D5" s="10" t="s">
        <v>5307</v>
      </c>
      <c r="E5" s="10" t="s">
        <v>5308</v>
      </c>
      <c r="F5" s="10" t="s">
        <v>5309</v>
      </c>
      <c r="G5" s="10" t="s">
        <v>1059</v>
      </c>
      <c r="H5" s="10" t="s">
        <v>5310</v>
      </c>
      <c r="I5" s="10" t="s">
        <v>5311</v>
      </c>
      <c r="J5" s="9" t="s">
        <v>864</v>
      </c>
      <c r="K5" s="10" t="s">
        <v>5275</v>
      </c>
      <c r="L5" s="10" t="s">
        <v>851</v>
      </c>
      <c r="M5" s="11">
        <v>374</v>
      </c>
      <c r="N5" s="12" t="s">
        <v>5276</v>
      </c>
      <c r="O5" s="13" t="s">
        <v>875</v>
      </c>
      <c r="P5" s="13" t="s">
        <v>2809</v>
      </c>
      <c r="Q5" s="13" t="s">
        <v>5277</v>
      </c>
      <c r="R5" s="13" t="s">
        <v>3170</v>
      </c>
      <c r="S5" s="13" t="s">
        <v>5278</v>
      </c>
      <c r="T5" s="13" t="s">
        <v>3174</v>
      </c>
      <c r="U5" s="14" t="s">
        <v>3269</v>
      </c>
      <c r="V5" s="14" t="s">
        <v>2821</v>
      </c>
      <c r="W5" s="14" t="s">
        <v>2865</v>
      </c>
      <c r="X5" s="14" t="s">
        <v>2823</v>
      </c>
      <c r="Y5" s="15">
        <v>1</v>
      </c>
      <c r="Z5" s="11">
        <v>23494</v>
      </c>
      <c r="AA5" s="11">
        <v>855416.56</v>
      </c>
      <c r="AB5" s="16">
        <v>36.41</v>
      </c>
      <c r="AC5" s="17">
        <v>0.6328</v>
      </c>
      <c r="AD5" s="16">
        <v>7.91</v>
      </c>
      <c r="AE5" s="18">
        <v>4.3</v>
      </c>
      <c r="AF5" s="11">
        <v>20239</v>
      </c>
      <c r="AG5" s="19">
        <v>0.01</v>
      </c>
      <c r="AH5" s="11">
        <v>235</v>
      </c>
      <c r="AI5" s="11">
        <v>563</v>
      </c>
      <c r="AJ5" s="9" t="s">
        <v>854</v>
      </c>
      <c r="AK5" s="9" t="s">
        <v>5312</v>
      </c>
      <c r="AL5" s="21">
        <v>1887</v>
      </c>
      <c r="AM5" s="21">
        <v>12</v>
      </c>
      <c r="AN5" s="21">
        <v>8</v>
      </c>
      <c r="AO5" s="10" t="s">
        <v>1515</v>
      </c>
      <c r="AP5" s="9" t="s">
        <v>65</v>
      </c>
      <c r="AQ5" s="10" t="s">
        <v>65</v>
      </c>
      <c r="AR5" s="9" t="s">
        <v>1516</v>
      </c>
      <c r="AS5" s="22" t="s">
        <v>5313</v>
      </c>
      <c r="AT5" s="22" t="s">
        <v>5314</v>
      </c>
    </row>
    <row r="6" ht="24" customHeight="1" spans="1:46">
      <c r="A6" s="9" t="str">
        <f>_xlfn.DISPIMG("ID_AD94F38361834BC7BCD346511BE5A985",1)</f>
        <v>=DISPIMG("ID_AD94F38361834BC7BCD346511BE5A985",1)</v>
      </c>
      <c r="B6" s="10" t="s">
        <v>5315</v>
      </c>
      <c r="C6" s="10" t="s">
        <v>5316</v>
      </c>
      <c r="D6" s="10" t="s">
        <v>5269</v>
      </c>
      <c r="E6" s="10" t="s">
        <v>5317</v>
      </c>
      <c r="F6" s="10" t="s">
        <v>5318</v>
      </c>
      <c r="G6" s="10" t="s">
        <v>5319</v>
      </c>
      <c r="H6" s="10" t="s">
        <v>5320</v>
      </c>
      <c r="I6" s="10" t="s">
        <v>5321</v>
      </c>
      <c r="J6" s="9" t="s">
        <v>893</v>
      </c>
      <c r="K6" s="10" t="s">
        <v>5275</v>
      </c>
      <c r="L6" s="10" t="s">
        <v>851</v>
      </c>
      <c r="M6" s="11">
        <v>522</v>
      </c>
      <c r="N6" s="12" t="s">
        <v>5322</v>
      </c>
      <c r="O6" s="13" t="s">
        <v>5323</v>
      </c>
      <c r="P6" s="13" t="s">
        <v>2986</v>
      </c>
      <c r="Q6" s="13" t="s">
        <v>5277</v>
      </c>
      <c r="R6" s="13" t="s">
        <v>3170</v>
      </c>
      <c r="S6" s="13" t="s">
        <v>5278</v>
      </c>
      <c r="T6" s="13" t="s">
        <v>3174</v>
      </c>
      <c r="U6" s="14" t="s">
        <v>3310</v>
      </c>
      <c r="V6" s="14" t="s">
        <v>2821</v>
      </c>
      <c r="W6" s="14" t="s">
        <v>2865</v>
      </c>
      <c r="X6" s="14" t="s">
        <v>2823</v>
      </c>
      <c r="Y6" s="15">
        <v>1</v>
      </c>
      <c r="Z6" s="11">
        <v>20836</v>
      </c>
      <c r="AA6" s="11">
        <v>1041591.7</v>
      </c>
      <c r="AB6" s="16">
        <v>49.99</v>
      </c>
      <c r="AC6" s="17">
        <v>0.6852</v>
      </c>
      <c r="AD6" s="16">
        <v>8.24</v>
      </c>
      <c r="AE6" s="18">
        <v>4.3</v>
      </c>
      <c r="AF6" s="11">
        <v>39021</v>
      </c>
      <c r="AG6" s="19">
        <v>0.0188</v>
      </c>
      <c r="AH6" s="11">
        <v>392</v>
      </c>
      <c r="AI6" s="11">
        <v>474</v>
      </c>
      <c r="AJ6" s="9" t="s">
        <v>947</v>
      </c>
      <c r="AK6" s="9" t="s">
        <v>5324</v>
      </c>
      <c r="AL6" s="21">
        <v>1253</v>
      </c>
      <c r="AM6" s="21">
        <v>6</v>
      </c>
      <c r="AN6" s="21">
        <v>10</v>
      </c>
      <c r="AO6" s="10" t="s">
        <v>5325</v>
      </c>
      <c r="AP6" s="9" t="s">
        <v>1110</v>
      </c>
      <c r="AQ6" s="10" t="s">
        <v>5326</v>
      </c>
      <c r="AR6" s="9" t="s">
        <v>997</v>
      </c>
      <c r="AS6" s="22" t="s">
        <v>5327</v>
      </c>
      <c r="AT6" s="22" t="s">
        <v>5328</v>
      </c>
    </row>
    <row r="7" ht="24" customHeight="1" spans="1:46">
      <c r="A7" s="9" t="str">
        <f>_xlfn.DISPIMG("ID_27EB01D2296D43EF9003AF60ACA08F04",1)</f>
        <v>=DISPIMG("ID_27EB01D2296D43EF9003AF60ACA08F04",1)</v>
      </c>
      <c r="B7" s="10" t="s">
        <v>5329</v>
      </c>
      <c r="C7" s="10" t="s">
        <v>5330</v>
      </c>
      <c r="D7" s="10" t="s">
        <v>5331</v>
      </c>
      <c r="E7" s="10" t="s">
        <v>5332</v>
      </c>
      <c r="F7" s="10" t="s">
        <v>5333</v>
      </c>
      <c r="G7" s="10" t="s">
        <v>5272</v>
      </c>
      <c r="H7" s="10" t="s">
        <v>5334</v>
      </c>
      <c r="I7" s="10" t="s">
        <v>5335</v>
      </c>
      <c r="J7" s="9" t="s">
        <v>934</v>
      </c>
      <c r="K7" s="10" t="s">
        <v>5275</v>
      </c>
      <c r="L7" s="10" t="s">
        <v>851</v>
      </c>
      <c r="M7" s="11">
        <v>946</v>
      </c>
      <c r="N7" s="12" t="s">
        <v>5276</v>
      </c>
      <c r="O7" s="13" t="s">
        <v>3215</v>
      </c>
      <c r="P7" s="13" t="s">
        <v>2986</v>
      </c>
      <c r="Q7" s="13" t="s">
        <v>5336</v>
      </c>
      <c r="R7" s="13" t="s">
        <v>3170</v>
      </c>
      <c r="S7" s="13" t="s">
        <v>5278</v>
      </c>
      <c r="T7" s="13" t="s">
        <v>3174</v>
      </c>
      <c r="U7" s="14" t="s">
        <v>5337</v>
      </c>
      <c r="V7" s="14" t="s">
        <v>2821</v>
      </c>
      <c r="W7" s="14" t="s">
        <v>2865</v>
      </c>
      <c r="X7" s="14" t="s">
        <v>2823</v>
      </c>
      <c r="Y7" s="15">
        <v>1</v>
      </c>
      <c r="Z7" s="11">
        <v>9706</v>
      </c>
      <c r="AA7" s="11">
        <v>776382.94</v>
      </c>
      <c r="AB7" s="16">
        <v>79.99</v>
      </c>
      <c r="AC7" s="17">
        <v>0.6271</v>
      </c>
      <c r="AD7" s="16">
        <v>17.83</v>
      </c>
      <c r="AE7" s="18">
        <v>4.3</v>
      </c>
      <c r="AF7" s="11">
        <v>7497</v>
      </c>
      <c r="AG7" s="19">
        <v>0.0081</v>
      </c>
      <c r="AH7" s="11">
        <v>79</v>
      </c>
      <c r="AI7" s="11">
        <v>147</v>
      </c>
      <c r="AJ7" s="9" t="s">
        <v>854</v>
      </c>
      <c r="AK7" s="9" t="s">
        <v>3460</v>
      </c>
      <c r="AL7" s="21">
        <v>1191</v>
      </c>
      <c r="AM7" s="21">
        <v>14</v>
      </c>
      <c r="AN7" s="21">
        <v>9</v>
      </c>
      <c r="AO7" s="10" t="s">
        <v>1515</v>
      </c>
      <c r="AP7" s="9" t="s">
        <v>65</v>
      </c>
      <c r="AQ7" s="10" t="s">
        <v>65</v>
      </c>
      <c r="AR7" s="9" t="s">
        <v>1516</v>
      </c>
      <c r="AS7" s="22" t="s">
        <v>5338</v>
      </c>
      <c r="AT7" s="22" t="s">
        <v>5339</v>
      </c>
    </row>
    <row r="8" ht="24" customHeight="1" spans="1:46">
      <c r="A8" s="9" t="str">
        <f>_xlfn.DISPIMG("ID_1DA1114F5B194C34B8177EA324E86F13",1)</f>
        <v>=DISPIMG("ID_1DA1114F5B194C34B8177EA324E86F13",1)</v>
      </c>
      <c r="B8" s="10" t="s">
        <v>5340</v>
      </c>
      <c r="C8" s="10" t="s">
        <v>5341</v>
      </c>
      <c r="D8" s="10" t="s">
        <v>5269</v>
      </c>
      <c r="E8" s="10" t="s">
        <v>5342</v>
      </c>
      <c r="F8" s="10" t="s">
        <v>5343</v>
      </c>
      <c r="G8" s="10" t="s">
        <v>1302</v>
      </c>
      <c r="H8" s="10" t="s">
        <v>5344</v>
      </c>
      <c r="I8" s="10" t="s">
        <v>5345</v>
      </c>
      <c r="J8" s="9" t="s">
        <v>934</v>
      </c>
      <c r="K8" s="10" t="s">
        <v>5275</v>
      </c>
      <c r="L8" s="10" t="s">
        <v>851</v>
      </c>
      <c r="M8" s="11">
        <v>948</v>
      </c>
      <c r="N8" s="12" t="s">
        <v>5301</v>
      </c>
      <c r="O8" s="13" t="s">
        <v>5346</v>
      </c>
      <c r="P8" s="13" t="s">
        <v>2986</v>
      </c>
      <c r="Q8" s="13" t="s">
        <v>5277</v>
      </c>
      <c r="R8" s="13" t="s">
        <v>3170</v>
      </c>
      <c r="S8" s="13" t="s">
        <v>5278</v>
      </c>
      <c r="T8" s="13" t="s">
        <v>3174</v>
      </c>
      <c r="U8" s="14" t="s">
        <v>3310</v>
      </c>
      <c r="V8" s="14" t="s">
        <v>2851</v>
      </c>
      <c r="W8" s="14" t="s">
        <v>2865</v>
      </c>
      <c r="X8" s="14" t="s">
        <v>2823</v>
      </c>
      <c r="Y8" s="15">
        <v>1</v>
      </c>
      <c r="Z8" s="11">
        <v>11603</v>
      </c>
      <c r="AA8" s="11">
        <v>580034</v>
      </c>
      <c r="AB8" s="16">
        <v>49.99</v>
      </c>
      <c r="AC8" s="17">
        <v>0.6792</v>
      </c>
      <c r="AD8" s="16">
        <v>8.54</v>
      </c>
      <c r="AE8" s="18">
        <v>4.5</v>
      </c>
      <c r="AF8" s="11">
        <v>10783</v>
      </c>
      <c r="AG8" s="19">
        <v>0.0099</v>
      </c>
      <c r="AH8" s="11">
        <v>115</v>
      </c>
      <c r="AI8" s="11">
        <v>98</v>
      </c>
      <c r="AJ8" s="9" t="s">
        <v>1267</v>
      </c>
      <c r="AK8" s="9" t="s">
        <v>5347</v>
      </c>
      <c r="AL8" s="21">
        <v>970</v>
      </c>
      <c r="AM8" s="21">
        <v>6</v>
      </c>
      <c r="AN8" s="21">
        <v>7</v>
      </c>
      <c r="AO8" s="10" t="s">
        <v>1307</v>
      </c>
      <c r="AP8" s="9" t="s">
        <v>1110</v>
      </c>
      <c r="AQ8" s="10" t="s">
        <v>5348</v>
      </c>
      <c r="AR8" s="9" t="s">
        <v>997</v>
      </c>
      <c r="AS8" s="22" t="s">
        <v>5349</v>
      </c>
      <c r="AT8" s="22" t="s">
        <v>5350</v>
      </c>
    </row>
    <row r="9" ht="24" customHeight="1" spans="1:46">
      <c r="A9" s="9" t="str">
        <f>_xlfn.DISPIMG("ID_D48B972C5FDC4EC18716DF8AB5924A0B",1)</f>
        <v>=DISPIMG("ID_D48B972C5FDC4EC18716DF8AB5924A0B",1)</v>
      </c>
      <c r="B9" s="10" t="s">
        <v>5351</v>
      </c>
      <c r="C9" s="10" t="s">
        <v>5352</v>
      </c>
      <c r="D9" s="10" t="s">
        <v>5353</v>
      </c>
      <c r="E9" s="10" t="s">
        <v>5354</v>
      </c>
      <c r="F9" s="10" t="s">
        <v>5355</v>
      </c>
      <c r="G9" s="10" t="s">
        <v>3854</v>
      </c>
      <c r="H9" s="10" t="s">
        <v>5356</v>
      </c>
      <c r="I9" s="10" t="s">
        <v>5357</v>
      </c>
      <c r="J9" s="9" t="s">
        <v>65</v>
      </c>
      <c r="K9" s="10" t="s">
        <v>5275</v>
      </c>
      <c r="L9" s="10" t="s">
        <v>851</v>
      </c>
      <c r="M9" s="11">
        <v>1461</v>
      </c>
      <c r="N9" s="12" t="s">
        <v>5276</v>
      </c>
      <c r="O9" s="13" t="s">
        <v>5358</v>
      </c>
      <c r="P9" s="13" t="s">
        <v>2824</v>
      </c>
      <c r="Q9" s="13" t="s">
        <v>5289</v>
      </c>
      <c r="R9" s="13" t="s">
        <v>3170</v>
      </c>
      <c r="S9" s="13" t="s">
        <v>5278</v>
      </c>
      <c r="T9" s="13" t="s">
        <v>5359</v>
      </c>
      <c r="U9" s="14" t="s">
        <v>3445</v>
      </c>
      <c r="V9" s="14" t="s">
        <v>2883</v>
      </c>
      <c r="W9" s="14" t="s">
        <v>2930</v>
      </c>
      <c r="X9" s="14" t="s">
        <v>2823</v>
      </c>
      <c r="Y9" s="15">
        <v>1</v>
      </c>
      <c r="Z9" s="11">
        <v>9521</v>
      </c>
      <c r="AA9" s="11">
        <v>541554.5</v>
      </c>
      <c r="AB9" s="16">
        <v>56.88</v>
      </c>
      <c r="AC9" s="17">
        <v>0.7055</v>
      </c>
      <c r="AD9" s="16">
        <v>8.22</v>
      </c>
      <c r="AE9" s="18">
        <v>4.2</v>
      </c>
      <c r="AF9" s="11">
        <v>1665</v>
      </c>
      <c r="AG9" s="19">
        <v>0</v>
      </c>
      <c r="AH9" s="11">
        <v>0</v>
      </c>
      <c r="AI9" s="11">
        <v>79</v>
      </c>
      <c r="AJ9" s="9" t="s">
        <v>854</v>
      </c>
      <c r="AK9" s="9" t="s">
        <v>5360</v>
      </c>
      <c r="AL9" s="21">
        <v>194</v>
      </c>
      <c r="AM9" s="21">
        <v>5</v>
      </c>
      <c r="AN9" s="21">
        <v>4</v>
      </c>
      <c r="AO9" s="10" t="s">
        <v>1515</v>
      </c>
      <c r="AP9" s="9" t="s">
        <v>65</v>
      </c>
      <c r="AQ9" s="10" t="s">
        <v>65</v>
      </c>
      <c r="AR9" s="9" t="s">
        <v>1516</v>
      </c>
      <c r="AS9" s="22" t="s">
        <v>5361</v>
      </c>
      <c r="AT9" s="22" t="s">
        <v>5362</v>
      </c>
    </row>
    <row r="10" ht="24" customHeight="1" spans="1:46">
      <c r="A10" s="9" t="str">
        <f>_xlfn.DISPIMG("ID_FF65840B8DDB4073B4CD635B60479263",1)</f>
        <v>=DISPIMG("ID_FF65840B8DDB4073B4CD635B60479263",1)</v>
      </c>
      <c r="B10" s="10" t="s">
        <v>5363</v>
      </c>
      <c r="C10" s="10" t="s">
        <v>5364</v>
      </c>
      <c r="D10" s="10" t="s">
        <v>5365</v>
      </c>
      <c r="E10" s="10" t="s">
        <v>5366</v>
      </c>
      <c r="F10" s="10" t="s">
        <v>5367</v>
      </c>
      <c r="G10" s="10" t="s">
        <v>5368</v>
      </c>
      <c r="H10" s="10" t="s">
        <v>5369</v>
      </c>
      <c r="I10" s="10" t="s">
        <v>5370</v>
      </c>
      <c r="J10" s="9" t="s">
        <v>1384</v>
      </c>
      <c r="K10" s="10" t="s">
        <v>5275</v>
      </c>
      <c r="L10" s="10" t="s">
        <v>851</v>
      </c>
      <c r="M10" s="11">
        <v>2229</v>
      </c>
      <c r="N10" s="12" t="s">
        <v>5276</v>
      </c>
      <c r="O10" s="13" t="s">
        <v>935</v>
      </c>
      <c r="P10" s="13" t="s">
        <v>2986</v>
      </c>
      <c r="Q10" s="13" t="s">
        <v>5277</v>
      </c>
      <c r="R10" s="13" t="s">
        <v>3170</v>
      </c>
      <c r="S10" s="13" t="s">
        <v>5278</v>
      </c>
      <c r="T10" s="13" t="s">
        <v>5371</v>
      </c>
      <c r="U10" s="14" t="s">
        <v>3790</v>
      </c>
      <c r="V10" s="14" t="s">
        <v>2917</v>
      </c>
      <c r="W10" s="14" t="s">
        <v>2993</v>
      </c>
      <c r="X10" s="14" t="s">
        <v>2979</v>
      </c>
      <c r="Y10" s="15">
        <v>1</v>
      </c>
      <c r="Z10" s="11">
        <v>1585</v>
      </c>
      <c r="AA10" s="11">
        <v>83989.16</v>
      </c>
      <c r="AB10" s="16">
        <v>52.99</v>
      </c>
      <c r="AC10" s="17">
        <v>0.6949</v>
      </c>
      <c r="AD10" s="16">
        <v>8.22</v>
      </c>
      <c r="AE10" s="18">
        <v>3.9</v>
      </c>
      <c r="AF10" s="11">
        <v>56</v>
      </c>
      <c r="AG10" s="19">
        <v>0.0114</v>
      </c>
      <c r="AH10" s="11">
        <v>18</v>
      </c>
      <c r="AI10" s="11">
        <v>4</v>
      </c>
      <c r="AJ10" s="9" t="s">
        <v>947</v>
      </c>
      <c r="AK10" s="9" t="s">
        <v>5372</v>
      </c>
      <c r="AL10" s="21">
        <v>123</v>
      </c>
      <c r="AM10" s="21">
        <v>2</v>
      </c>
      <c r="AN10" s="21">
        <v>11</v>
      </c>
      <c r="AO10" s="10" t="s">
        <v>1515</v>
      </c>
      <c r="AP10" s="9" t="s">
        <v>65</v>
      </c>
      <c r="AQ10" s="10" t="s">
        <v>65</v>
      </c>
      <c r="AR10" s="9" t="s">
        <v>1516</v>
      </c>
      <c r="AS10" s="22" t="s">
        <v>5313</v>
      </c>
      <c r="AT10" s="22" t="s">
        <v>5373</v>
      </c>
    </row>
    <row r="11" ht="24" customHeight="1" spans="1:46">
      <c r="A11" s="9" t="str">
        <f>_xlfn.DISPIMG("ID_5B412FB7F8D4434FA59692D8E5304052",1)</f>
        <v>=DISPIMG("ID_5B412FB7F8D4434FA59692D8E5304052",1)</v>
      </c>
      <c r="B11" s="10" t="s">
        <v>5374</v>
      </c>
      <c r="C11" s="10" t="s">
        <v>5375</v>
      </c>
      <c r="D11" s="10" t="s">
        <v>5376</v>
      </c>
      <c r="E11" s="10" t="s">
        <v>5377</v>
      </c>
      <c r="F11" s="10" t="s">
        <v>5378</v>
      </c>
      <c r="G11" s="10" t="s">
        <v>3854</v>
      </c>
      <c r="H11" s="10" t="s">
        <v>5379</v>
      </c>
      <c r="I11" s="10" t="s">
        <v>5380</v>
      </c>
      <c r="J11" s="9" t="s">
        <v>934</v>
      </c>
      <c r="K11" s="10" t="s">
        <v>5275</v>
      </c>
      <c r="L11" s="10" t="s">
        <v>851</v>
      </c>
      <c r="M11" s="11">
        <v>2609</v>
      </c>
      <c r="N11" s="12" t="s">
        <v>5276</v>
      </c>
      <c r="O11" s="13" t="s">
        <v>957</v>
      </c>
      <c r="P11" s="13" t="s">
        <v>2809</v>
      </c>
      <c r="Q11" s="23" t="s">
        <v>5381</v>
      </c>
      <c r="R11" s="13" t="s">
        <v>3170</v>
      </c>
      <c r="S11" s="13" t="s">
        <v>1003</v>
      </c>
      <c r="T11" s="13" t="s">
        <v>5382</v>
      </c>
      <c r="U11" s="14" t="s">
        <v>5383</v>
      </c>
      <c r="V11" s="14" t="s">
        <v>2821</v>
      </c>
      <c r="W11" s="14" t="s">
        <v>2865</v>
      </c>
      <c r="X11" s="14" t="s">
        <v>2823</v>
      </c>
      <c r="Y11" s="15">
        <v>1</v>
      </c>
      <c r="Z11" s="11">
        <v>4162</v>
      </c>
      <c r="AA11" s="11">
        <v>671122.5</v>
      </c>
      <c r="AB11" s="16">
        <v>161.25</v>
      </c>
      <c r="AC11" s="17">
        <v>0.5102</v>
      </c>
      <c r="AD11" s="16">
        <v>54.8</v>
      </c>
      <c r="AE11" s="18">
        <v>4.3</v>
      </c>
      <c r="AF11" s="11">
        <v>5132</v>
      </c>
      <c r="AG11" s="19">
        <v>0.0209</v>
      </c>
      <c r="AH11" s="11">
        <v>87</v>
      </c>
      <c r="AI11" s="11">
        <v>208</v>
      </c>
      <c r="AJ11" s="9" t="s">
        <v>947</v>
      </c>
      <c r="AK11" s="9" t="s">
        <v>5384</v>
      </c>
      <c r="AL11" s="21">
        <v>1374</v>
      </c>
      <c r="AM11" s="21">
        <v>15</v>
      </c>
      <c r="AN11" s="21">
        <v>5</v>
      </c>
      <c r="AO11" s="10" t="s">
        <v>1515</v>
      </c>
      <c r="AP11" s="9" t="s">
        <v>65</v>
      </c>
      <c r="AQ11" s="10" t="s">
        <v>65</v>
      </c>
      <c r="AR11" s="9" t="s">
        <v>1516</v>
      </c>
      <c r="AS11" s="22" t="s">
        <v>5385</v>
      </c>
      <c r="AT11" s="22" t="s">
        <v>5386</v>
      </c>
    </row>
    <row r="12" ht="24" customHeight="1" spans="1:46">
      <c r="A12" s="9" t="str">
        <f>_xlfn.DISPIMG("ID_DA8614D653D14F26808A91006DFA609A",1)</f>
        <v>=DISPIMG("ID_DA8614D653D14F26808A91006DFA609A",1)</v>
      </c>
      <c r="B12" s="10" t="s">
        <v>5387</v>
      </c>
      <c r="C12" s="10" t="s">
        <v>5388</v>
      </c>
      <c r="D12" s="10" t="s">
        <v>5389</v>
      </c>
      <c r="E12" s="10" t="s">
        <v>5390</v>
      </c>
      <c r="F12" s="10" t="s">
        <v>5391</v>
      </c>
      <c r="G12" s="10" t="s">
        <v>5392</v>
      </c>
      <c r="H12" s="10" t="s">
        <v>5393</v>
      </c>
      <c r="I12" s="10" t="s">
        <v>5394</v>
      </c>
      <c r="J12" s="9" t="s">
        <v>934</v>
      </c>
      <c r="K12" s="10" t="s">
        <v>5275</v>
      </c>
      <c r="L12" s="10" t="s">
        <v>851</v>
      </c>
      <c r="M12" s="11">
        <v>2667</v>
      </c>
      <c r="N12" s="12" t="s">
        <v>5276</v>
      </c>
      <c r="O12" s="13" t="s">
        <v>965</v>
      </c>
      <c r="P12" s="13" t="s">
        <v>2809</v>
      </c>
      <c r="Q12" s="13" t="s">
        <v>5277</v>
      </c>
      <c r="R12" s="13" t="s">
        <v>3170</v>
      </c>
      <c r="S12" s="13" t="s">
        <v>5278</v>
      </c>
      <c r="T12" s="13" t="s">
        <v>3174</v>
      </c>
      <c r="U12" s="14" t="s">
        <v>3269</v>
      </c>
      <c r="V12" s="14" t="s">
        <v>2821</v>
      </c>
      <c r="W12" s="14" t="s">
        <v>2865</v>
      </c>
      <c r="X12" s="14" t="s">
        <v>2823</v>
      </c>
      <c r="Y12" s="15">
        <v>1</v>
      </c>
      <c r="Z12" s="11">
        <v>6836</v>
      </c>
      <c r="AA12" s="11">
        <v>273371.66</v>
      </c>
      <c r="AB12" s="16">
        <v>39.99</v>
      </c>
      <c r="AC12" s="17">
        <v>0.6522</v>
      </c>
      <c r="AD12" s="16">
        <v>7.91</v>
      </c>
      <c r="AE12" s="18">
        <v>4.3</v>
      </c>
      <c r="AF12" s="11">
        <v>3222</v>
      </c>
      <c r="AG12" s="19">
        <v>0.0099</v>
      </c>
      <c r="AH12" s="11">
        <v>68</v>
      </c>
      <c r="AI12" s="11">
        <v>119</v>
      </c>
      <c r="AJ12" s="9" t="s">
        <v>947</v>
      </c>
      <c r="AK12" s="9" t="s">
        <v>5395</v>
      </c>
      <c r="AL12" s="21">
        <v>2211</v>
      </c>
      <c r="AM12" s="21">
        <v>7</v>
      </c>
      <c r="AN12" s="21">
        <v>12</v>
      </c>
      <c r="AO12" s="10" t="s">
        <v>1515</v>
      </c>
      <c r="AP12" s="9" t="s">
        <v>65</v>
      </c>
      <c r="AQ12" s="10" t="s">
        <v>65</v>
      </c>
      <c r="AR12" s="9" t="s">
        <v>1516</v>
      </c>
      <c r="AS12" s="22" t="s">
        <v>5396</v>
      </c>
      <c r="AT12" s="22" t="s">
        <v>5397</v>
      </c>
    </row>
    <row r="13" ht="24" customHeight="1" spans="1:46">
      <c r="A13" s="9" t="str">
        <f>_xlfn.DISPIMG("ID_2388E227482B49E9B45441A7682F88AF",1)</f>
        <v>=DISPIMG("ID_2388E227482B49E9B45441A7682F88AF",1)</v>
      </c>
      <c r="B13" s="10" t="s">
        <v>5398</v>
      </c>
      <c r="C13" s="10" t="s">
        <v>5399</v>
      </c>
      <c r="D13" s="10" t="s">
        <v>5400</v>
      </c>
      <c r="E13" s="10" t="s">
        <v>5401</v>
      </c>
      <c r="F13" s="10" t="s">
        <v>5402</v>
      </c>
      <c r="G13" s="10" t="s">
        <v>5403</v>
      </c>
      <c r="H13" s="10" t="s">
        <v>5404</v>
      </c>
      <c r="I13" s="10" t="s">
        <v>5405</v>
      </c>
      <c r="J13" s="9" t="s">
        <v>934</v>
      </c>
      <c r="K13" s="10" t="s">
        <v>5275</v>
      </c>
      <c r="L13" s="10" t="s">
        <v>851</v>
      </c>
      <c r="M13" s="11">
        <v>2710</v>
      </c>
      <c r="N13" s="12" t="s">
        <v>5276</v>
      </c>
      <c r="O13" s="13" t="s">
        <v>3294</v>
      </c>
      <c r="P13" s="13" t="s">
        <v>2958</v>
      </c>
      <c r="Q13" s="13" t="s">
        <v>5277</v>
      </c>
      <c r="R13" s="13" t="s">
        <v>3170</v>
      </c>
      <c r="S13" s="13" t="s">
        <v>5278</v>
      </c>
      <c r="T13" s="13" t="s">
        <v>3174</v>
      </c>
      <c r="U13" s="14" t="s">
        <v>3175</v>
      </c>
      <c r="V13" s="14" t="s">
        <v>2851</v>
      </c>
      <c r="W13" s="14" t="s">
        <v>2930</v>
      </c>
      <c r="X13" s="14" t="s">
        <v>2823</v>
      </c>
      <c r="Y13" s="15">
        <v>1</v>
      </c>
      <c r="Z13" s="11">
        <v>3378</v>
      </c>
      <c r="AA13" s="11">
        <v>92726.1</v>
      </c>
      <c r="AB13" s="16">
        <v>27.45</v>
      </c>
      <c r="AC13" s="17">
        <v>0.5175</v>
      </c>
      <c r="AD13" s="16">
        <v>8.22</v>
      </c>
      <c r="AE13" s="18">
        <v>4.1</v>
      </c>
      <c r="AF13" s="11">
        <v>2601</v>
      </c>
      <c r="AG13" s="19">
        <v>0.0207</v>
      </c>
      <c r="AH13" s="11">
        <v>70</v>
      </c>
      <c r="AI13" s="11">
        <v>52</v>
      </c>
      <c r="AJ13" s="9" t="s">
        <v>854</v>
      </c>
      <c r="AK13" s="9" t="s">
        <v>5406</v>
      </c>
      <c r="AL13" s="21">
        <v>922</v>
      </c>
      <c r="AM13" s="21">
        <v>5</v>
      </c>
      <c r="AN13" s="21">
        <v>10</v>
      </c>
      <c r="AO13" s="10" t="s">
        <v>1515</v>
      </c>
      <c r="AP13" s="9" t="s">
        <v>65</v>
      </c>
      <c r="AQ13" s="10" t="s">
        <v>65</v>
      </c>
      <c r="AR13" s="9" t="s">
        <v>1516</v>
      </c>
      <c r="AS13" s="22" t="s">
        <v>5407</v>
      </c>
      <c r="AT13" s="22" t="s">
        <v>5408</v>
      </c>
    </row>
    <row r="14" ht="24" customHeight="1" spans="1:46">
      <c r="A14" s="9" t="str">
        <f>_xlfn.DISPIMG("ID_7480317C958641ABA3737EBB9E9197DE",1)</f>
        <v>=DISPIMG("ID_7480317C958641ABA3737EBB9E9197DE",1)</v>
      </c>
      <c r="B14" s="10" t="s">
        <v>5409</v>
      </c>
      <c r="C14" s="10" t="s">
        <v>5410</v>
      </c>
      <c r="D14" s="10" t="s">
        <v>5411</v>
      </c>
      <c r="E14" s="10" t="s">
        <v>5412</v>
      </c>
      <c r="F14" s="10" t="s">
        <v>5413</v>
      </c>
      <c r="G14" s="10" t="s">
        <v>5414</v>
      </c>
      <c r="H14" s="10" t="s">
        <v>5415</v>
      </c>
      <c r="I14" s="10" t="s">
        <v>5416</v>
      </c>
      <c r="J14" s="9" t="s">
        <v>934</v>
      </c>
      <c r="K14" s="10" t="s">
        <v>4159</v>
      </c>
      <c r="L14" s="10" t="s">
        <v>851</v>
      </c>
      <c r="M14" s="11">
        <v>3119</v>
      </c>
      <c r="N14" s="12" t="s">
        <v>5276</v>
      </c>
      <c r="O14" s="13" t="s">
        <v>975</v>
      </c>
      <c r="P14" s="13" t="s">
        <v>2809</v>
      </c>
      <c r="Q14" s="13" t="s">
        <v>5417</v>
      </c>
      <c r="R14" s="13" t="s">
        <v>3170</v>
      </c>
      <c r="S14" s="13" t="s">
        <v>1003</v>
      </c>
      <c r="T14" s="13" t="s">
        <v>2896</v>
      </c>
      <c r="U14" s="14" t="s">
        <v>5418</v>
      </c>
      <c r="V14" s="14" t="s">
        <v>2821</v>
      </c>
      <c r="W14" s="14" t="s">
        <v>2865</v>
      </c>
      <c r="X14" s="14" t="s">
        <v>2823</v>
      </c>
      <c r="Y14" s="15">
        <v>1</v>
      </c>
      <c r="Z14" s="11">
        <v>3432</v>
      </c>
      <c r="AA14" s="11">
        <v>442728</v>
      </c>
      <c r="AB14" s="16">
        <v>129</v>
      </c>
      <c r="AC14" s="17">
        <v>0.5588</v>
      </c>
      <c r="AD14" s="16">
        <v>37.57</v>
      </c>
      <c r="AE14" s="18">
        <v>4.5</v>
      </c>
      <c r="AF14" s="11">
        <v>6776</v>
      </c>
      <c r="AG14" s="19">
        <v>0.016</v>
      </c>
      <c r="AH14" s="11">
        <v>55</v>
      </c>
      <c r="AI14" s="11">
        <v>608</v>
      </c>
      <c r="AJ14" s="9" t="s">
        <v>854</v>
      </c>
      <c r="AK14" s="9" t="s">
        <v>5419</v>
      </c>
      <c r="AL14" s="21">
        <v>3051</v>
      </c>
      <c r="AM14" s="21">
        <v>9</v>
      </c>
      <c r="AN14" s="21">
        <v>8</v>
      </c>
      <c r="AO14" s="10" t="s">
        <v>1515</v>
      </c>
      <c r="AP14" s="9" t="s">
        <v>65</v>
      </c>
      <c r="AQ14" s="10" t="s">
        <v>65</v>
      </c>
      <c r="AR14" s="9" t="s">
        <v>1516</v>
      </c>
      <c r="AS14" s="22" t="s">
        <v>5420</v>
      </c>
      <c r="AT14" s="22" t="s">
        <v>5421</v>
      </c>
    </row>
    <row r="15" ht="24" customHeight="1" spans="1:46">
      <c r="A15" s="9" t="str">
        <f>_xlfn.DISPIMG("ID_0894C5A4E5BD4E3683D0E3CBF5D9D6A6",1)</f>
        <v>=DISPIMG("ID_0894C5A4E5BD4E3683D0E3CBF5D9D6A6",1)</v>
      </c>
      <c r="B15" s="10" t="s">
        <v>5422</v>
      </c>
      <c r="C15" s="10" t="s">
        <v>5423</v>
      </c>
      <c r="D15" s="10" t="s">
        <v>5269</v>
      </c>
      <c r="E15" s="10" t="s">
        <v>5424</v>
      </c>
      <c r="F15" s="10" t="s">
        <v>5425</v>
      </c>
      <c r="G15" s="10" t="s">
        <v>3854</v>
      </c>
      <c r="H15" s="10" t="s">
        <v>5426</v>
      </c>
      <c r="I15" s="10" t="s">
        <v>5427</v>
      </c>
      <c r="J15" s="9" t="s">
        <v>934</v>
      </c>
      <c r="K15" s="10" t="s">
        <v>5275</v>
      </c>
      <c r="L15" s="10" t="s">
        <v>851</v>
      </c>
      <c r="M15" s="11">
        <v>3276</v>
      </c>
      <c r="N15" s="12" t="s">
        <v>5276</v>
      </c>
      <c r="O15" s="13" t="s">
        <v>3322</v>
      </c>
      <c r="P15" s="13" t="s">
        <v>2986</v>
      </c>
      <c r="Q15" s="13" t="s">
        <v>5277</v>
      </c>
      <c r="R15" s="13" t="s">
        <v>3170</v>
      </c>
      <c r="S15" s="13" t="s">
        <v>5278</v>
      </c>
      <c r="T15" s="13" t="s">
        <v>3174</v>
      </c>
      <c r="U15" s="14" t="s">
        <v>3296</v>
      </c>
      <c r="V15" s="14" t="s">
        <v>2821</v>
      </c>
      <c r="W15" s="14" t="s">
        <v>2993</v>
      </c>
      <c r="X15" s="14" t="s">
        <v>2823</v>
      </c>
      <c r="Y15" s="15">
        <v>1</v>
      </c>
      <c r="Z15" s="11">
        <v>5661</v>
      </c>
      <c r="AA15" s="11">
        <v>227345.77</v>
      </c>
      <c r="AB15" s="16">
        <v>40.16</v>
      </c>
      <c r="AC15" s="17">
        <v>0.653</v>
      </c>
      <c r="AD15" s="16">
        <v>7.91</v>
      </c>
      <c r="AE15" s="18">
        <v>4</v>
      </c>
      <c r="AF15" s="11">
        <v>2796</v>
      </c>
      <c r="AG15" s="19">
        <v>0.0115</v>
      </c>
      <c r="AH15" s="11">
        <v>65</v>
      </c>
      <c r="AI15" s="11">
        <v>150</v>
      </c>
      <c r="AJ15" s="9" t="s">
        <v>947</v>
      </c>
      <c r="AK15" s="9" t="s">
        <v>5428</v>
      </c>
      <c r="AL15" s="21">
        <v>1513</v>
      </c>
      <c r="AM15" s="21">
        <v>6</v>
      </c>
      <c r="AN15" s="21">
        <v>11</v>
      </c>
      <c r="AO15" s="10" t="s">
        <v>1515</v>
      </c>
      <c r="AP15" s="9" t="s">
        <v>65</v>
      </c>
      <c r="AQ15" s="10" t="s">
        <v>65</v>
      </c>
      <c r="AR15" s="9" t="s">
        <v>1516</v>
      </c>
      <c r="AS15" s="22" t="s">
        <v>1413</v>
      </c>
      <c r="AT15" s="22" t="s">
        <v>5429</v>
      </c>
    </row>
    <row r="16" ht="24" customHeight="1" spans="1:46">
      <c r="A16" s="9" t="str">
        <f>_xlfn.DISPIMG("ID_889907F383A34AD393555FE24CFF1DD5",1)</f>
        <v>=DISPIMG("ID_889907F383A34AD393555FE24CFF1DD5",1)</v>
      </c>
      <c r="B16" s="10" t="s">
        <v>5430</v>
      </c>
      <c r="C16" s="10" t="s">
        <v>5431</v>
      </c>
      <c r="D16" s="10" t="s">
        <v>5432</v>
      </c>
      <c r="E16" s="10" t="s">
        <v>5433</v>
      </c>
      <c r="F16" s="10" t="s">
        <v>5434</v>
      </c>
      <c r="G16" s="10" t="s">
        <v>5435</v>
      </c>
      <c r="H16" s="10" t="s">
        <v>5436</v>
      </c>
      <c r="I16" s="10" t="s">
        <v>5437</v>
      </c>
      <c r="J16" s="9" t="s">
        <v>1384</v>
      </c>
      <c r="K16" s="10" t="s">
        <v>5275</v>
      </c>
      <c r="L16" s="10" t="s">
        <v>851</v>
      </c>
      <c r="M16" s="11">
        <v>4040</v>
      </c>
      <c r="N16" s="12" t="s">
        <v>5276</v>
      </c>
      <c r="O16" s="13" t="s">
        <v>1021</v>
      </c>
      <c r="P16" s="13" t="s">
        <v>3005</v>
      </c>
      <c r="Q16" s="13" t="s">
        <v>5277</v>
      </c>
      <c r="R16" s="13" t="s">
        <v>5438</v>
      </c>
      <c r="S16" s="13" t="s">
        <v>5278</v>
      </c>
      <c r="T16" s="13" t="s">
        <v>5371</v>
      </c>
      <c r="U16" s="14" t="s">
        <v>3445</v>
      </c>
      <c r="V16" s="14" t="s">
        <v>2917</v>
      </c>
      <c r="W16" s="14" t="s">
        <v>2822</v>
      </c>
      <c r="X16" s="14" t="s">
        <v>2934</v>
      </c>
      <c r="Y16" s="15">
        <v>1</v>
      </c>
      <c r="Z16" s="11">
        <v>1807</v>
      </c>
      <c r="AA16" s="11">
        <v>108401.93</v>
      </c>
      <c r="AB16" s="16">
        <v>59.99</v>
      </c>
      <c r="AC16" s="17">
        <v>0.6161</v>
      </c>
      <c r="AD16" s="16">
        <v>14.03</v>
      </c>
      <c r="AE16" s="18">
        <v>4.7</v>
      </c>
      <c r="AF16" s="11">
        <v>29</v>
      </c>
      <c r="AG16" s="19">
        <v>0.0155</v>
      </c>
      <c r="AH16" s="11">
        <v>28</v>
      </c>
      <c r="AI16" s="20"/>
      <c r="AJ16" s="9" t="s">
        <v>1267</v>
      </c>
      <c r="AK16" s="9" t="s">
        <v>5439</v>
      </c>
      <c r="AL16" s="21">
        <v>68</v>
      </c>
      <c r="AM16" s="21">
        <v>2</v>
      </c>
      <c r="AN16" s="21">
        <v>1</v>
      </c>
      <c r="AO16" s="10" t="s">
        <v>1515</v>
      </c>
      <c r="AP16" s="9" t="s">
        <v>65</v>
      </c>
      <c r="AQ16" s="10" t="s">
        <v>65</v>
      </c>
      <c r="AR16" s="9" t="s">
        <v>1516</v>
      </c>
      <c r="AS16" s="22" t="s">
        <v>5440</v>
      </c>
      <c r="AT16" s="22" t="s">
        <v>5441</v>
      </c>
    </row>
    <row r="17" ht="24" customHeight="1" spans="1:46">
      <c r="A17" s="9" t="str">
        <f>_xlfn.DISPIMG("ID_8F62DC518A7749E98A78FF871E269E65",1)</f>
        <v>=DISPIMG("ID_8F62DC518A7749E98A78FF871E269E65",1)</v>
      </c>
      <c r="B17" s="10" t="s">
        <v>5442</v>
      </c>
      <c r="C17" s="10" t="s">
        <v>5443</v>
      </c>
      <c r="D17" s="10" t="s">
        <v>5444</v>
      </c>
      <c r="E17" s="10" t="s">
        <v>5445</v>
      </c>
      <c r="F17" s="10" t="s">
        <v>5446</v>
      </c>
      <c r="G17" s="10" t="s">
        <v>3854</v>
      </c>
      <c r="H17" s="10" t="s">
        <v>5447</v>
      </c>
      <c r="I17" s="10" t="s">
        <v>5448</v>
      </c>
      <c r="J17" s="9" t="s">
        <v>934</v>
      </c>
      <c r="K17" s="10" t="s">
        <v>5275</v>
      </c>
      <c r="L17" s="10" t="s">
        <v>851</v>
      </c>
      <c r="M17" s="11">
        <v>4412</v>
      </c>
      <c r="N17" s="12" t="s">
        <v>5276</v>
      </c>
      <c r="O17" s="13" t="s">
        <v>1013</v>
      </c>
      <c r="P17" s="13" t="s">
        <v>3459</v>
      </c>
      <c r="Q17" s="13" t="s">
        <v>5277</v>
      </c>
      <c r="R17" s="13" t="s">
        <v>3170</v>
      </c>
      <c r="S17" s="13" t="s">
        <v>5278</v>
      </c>
      <c r="T17" s="13" t="s">
        <v>3174</v>
      </c>
      <c r="U17" s="14" t="s">
        <v>3310</v>
      </c>
      <c r="V17" s="14" t="s">
        <v>2831</v>
      </c>
      <c r="W17" s="14" t="s">
        <v>2865</v>
      </c>
      <c r="X17" s="14" t="s">
        <v>2823</v>
      </c>
      <c r="Y17" s="15">
        <v>1</v>
      </c>
      <c r="Z17" s="11">
        <v>6714</v>
      </c>
      <c r="AA17" s="11">
        <v>335632.88</v>
      </c>
      <c r="AB17" s="16">
        <v>49.99</v>
      </c>
      <c r="AC17" s="17">
        <v>0.6918</v>
      </c>
      <c r="AD17" s="16">
        <v>7.91</v>
      </c>
      <c r="AE17" s="18">
        <v>4.4</v>
      </c>
      <c r="AF17" s="11">
        <v>1980</v>
      </c>
      <c r="AG17" s="19">
        <v>0.0061</v>
      </c>
      <c r="AH17" s="11">
        <v>41</v>
      </c>
      <c r="AI17" s="11">
        <v>72</v>
      </c>
      <c r="AJ17" s="9" t="s">
        <v>876</v>
      </c>
      <c r="AK17" s="9" t="s">
        <v>5449</v>
      </c>
      <c r="AL17" s="21">
        <v>673</v>
      </c>
      <c r="AM17" s="21">
        <v>7</v>
      </c>
      <c r="AN17" s="21">
        <v>7</v>
      </c>
      <c r="AO17" s="10" t="s">
        <v>1515</v>
      </c>
      <c r="AP17" s="9" t="s">
        <v>65</v>
      </c>
      <c r="AQ17" s="10" t="s">
        <v>65</v>
      </c>
      <c r="AR17" s="9" t="s">
        <v>1516</v>
      </c>
      <c r="AS17" s="22" t="s">
        <v>1413</v>
      </c>
      <c r="AT17" s="22" t="s">
        <v>5450</v>
      </c>
    </row>
    <row r="18" ht="24" customHeight="1" spans="1:46">
      <c r="A18" s="9" t="str">
        <f>_xlfn.DISPIMG("ID_0783D5F3879443B9AA001FCE11B877E6",1)</f>
        <v>=DISPIMG("ID_0783D5F3879443B9AA001FCE11B877E6",1)</v>
      </c>
      <c r="B18" s="10" t="s">
        <v>5451</v>
      </c>
      <c r="C18" s="10" t="s">
        <v>5452</v>
      </c>
      <c r="D18" s="10" t="s">
        <v>5453</v>
      </c>
      <c r="E18" s="10" t="s">
        <v>5454</v>
      </c>
      <c r="F18" s="10" t="s">
        <v>5455</v>
      </c>
      <c r="G18" s="10" t="s">
        <v>5319</v>
      </c>
      <c r="H18" s="10" t="s">
        <v>5456</v>
      </c>
      <c r="I18" s="10" t="s">
        <v>5457</v>
      </c>
      <c r="J18" s="9" t="s">
        <v>934</v>
      </c>
      <c r="K18" s="10" t="s">
        <v>5275</v>
      </c>
      <c r="L18" s="10" t="s">
        <v>851</v>
      </c>
      <c r="M18" s="11">
        <v>4724</v>
      </c>
      <c r="N18" s="12" t="s">
        <v>5322</v>
      </c>
      <c r="O18" s="13" t="s">
        <v>5458</v>
      </c>
      <c r="P18" s="13" t="s">
        <v>2881</v>
      </c>
      <c r="Q18" s="13" t="s">
        <v>5289</v>
      </c>
      <c r="R18" s="13" t="s">
        <v>3416</v>
      </c>
      <c r="S18" s="13" t="s">
        <v>5278</v>
      </c>
      <c r="T18" s="13" t="s">
        <v>3174</v>
      </c>
      <c r="U18" s="14" t="s">
        <v>3310</v>
      </c>
      <c r="V18" s="14" t="s">
        <v>2900</v>
      </c>
      <c r="W18" s="14" t="s">
        <v>2993</v>
      </c>
      <c r="X18" s="14" t="s">
        <v>2823</v>
      </c>
      <c r="Y18" s="15">
        <v>1</v>
      </c>
      <c r="Z18" s="11">
        <v>3732</v>
      </c>
      <c r="AA18" s="11">
        <v>182830.69</v>
      </c>
      <c r="AB18" s="16">
        <v>48.99</v>
      </c>
      <c r="AC18" s="17">
        <v>0.6757</v>
      </c>
      <c r="AD18" s="16">
        <v>8.54</v>
      </c>
      <c r="AE18" s="18">
        <v>4</v>
      </c>
      <c r="AF18" s="11">
        <v>9254</v>
      </c>
      <c r="AG18" s="19">
        <v>0.0389</v>
      </c>
      <c r="AH18" s="11">
        <v>145</v>
      </c>
      <c r="AI18" s="11">
        <v>150</v>
      </c>
      <c r="AJ18" s="9" t="s">
        <v>947</v>
      </c>
      <c r="AK18" s="9" t="s">
        <v>5459</v>
      </c>
      <c r="AL18" s="21">
        <v>848</v>
      </c>
      <c r="AM18" s="21">
        <v>4</v>
      </c>
      <c r="AN18" s="21">
        <v>5</v>
      </c>
      <c r="AO18" s="10" t="s">
        <v>5325</v>
      </c>
      <c r="AP18" s="9" t="s">
        <v>1110</v>
      </c>
      <c r="AQ18" s="10" t="s">
        <v>5326</v>
      </c>
      <c r="AR18" s="9" t="s">
        <v>997</v>
      </c>
      <c r="AS18" s="22" t="s">
        <v>5460</v>
      </c>
      <c r="AT18" s="22" t="s">
        <v>5461</v>
      </c>
    </row>
    <row r="19" ht="24" customHeight="1" spans="1:46">
      <c r="A19" s="9" t="str">
        <f>_xlfn.DISPIMG("ID_E0EFCA93C3234D23B2B3BFC2B4FE602B",1)</f>
        <v>=DISPIMG("ID_E0EFCA93C3234D23B2B3BFC2B4FE602B",1)</v>
      </c>
      <c r="B19" s="10" t="s">
        <v>5462</v>
      </c>
      <c r="C19" s="10" t="s">
        <v>5463</v>
      </c>
      <c r="D19" s="10" t="s">
        <v>5464</v>
      </c>
      <c r="E19" s="10" t="s">
        <v>5465</v>
      </c>
      <c r="F19" s="10" t="s">
        <v>5466</v>
      </c>
      <c r="G19" s="10" t="s">
        <v>5467</v>
      </c>
      <c r="H19" s="10" t="s">
        <v>5468</v>
      </c>
      <c r="I19" s="10" t="s">
        <v>5469</v>
      </c>
      <c r="J19" s="9" t="s">
        <v>974</v>
      </c>
      <c r="K19" s="10" t="s">
        <v>5470</v>
      </c>
      <c r="L19" s="10" t="s">
        <v>5300</v>
      </c>
      <c r="M19" s="11">
        <v>1930</v>
      </c>
      <c r="N19" s="12" t="s">
        <v>5301</v>
      </c>
      <c r="O19" s="13" t="s">
        <v>5471</v>
      </c>
      <c r="P19" s="13" t="s">
        <v>2809</v>
      </c>
      <c r="Q19" s="13" t="s">
        <v>5472</v>
      </c>
      <c r="R19" s="13" t="s">
        <v>3170</v>
      </c>
      <c r="S19" s="13" t="s">
        <v>1003</v>
      </c>
      <c r="T19" s="13" t="s">
        <v>3174</v>
      </c>
      <c r="U19" s="14" t="s">
        <v>5473</v>
      </c>
      <c r="V19" s="14" t="s">
        <v>2821</v>
      </c>
      <c r="W19" s="14" t="s">
        <v>2930</v>
      </c>
      <c r="X19" s="14" t="s">
        <v>2823</v>
      </c>
      <c r="Y19" s="15">
        <v>1</v>
      </c>
      <c r="Z19" s="11">
        <v>3086</v>
      </c>
      <c r="AA19" s="11">
        <v>918362.75</v>
      </c>
      <c r="AB19" s="16">
        <v>297.59</v>
      </c>
      <c r="AC19" s="17">
        <v>0.6022</v>
      </c>
      <c r="AD19" s="16">
        <v>73.74</v>
      </c>
      <c r="AE19" s="18">
        <v>4.1</v>
      </c>
      <c r="AF19" s="11">
        <v>3452</v>
      </c>
      <c r="AG19" s="19">
        <v>0.0123</v>
      </c>
      <c r="AH19" s="11">
        <v>38</v>
      </c>
      <c r="AI19" s="11">
        <v>432</v>
      </c>
      <c r="AJ19" s="9" t="s">
        <v>854</v>
      </c>
      <c r="AK19" s="9" t="s">
        <v>5474</v>
      </c>
      <c r="AL19" s="21">
        <v>3850</v>
      </c>
      <c r="AM19" s="21">
        <v>5</v>
      </c>
      <c r="AN19" s="21">
        <v>8</v>
      </c>
      <c r="AO19" s="10" t="s">
        <v>1515</v>
      </c>
      <c r="AP19" s="9" t="s">
        <v>65</v>
      </c>
      <c r="AQ19" s="10" t="s">
        <v>65</v>
      </c>
      <c r="AR19" s="9" t="s">
        <v>1516</v>
      </c>
      <c r="AS19" s="22" t="s">
        <v>5475</v>
      </c>
      <c r="AT19" s="22" t="s">
        <v>5476</v>
      </c>
    </row>
    <row r="20" ht="24" customHeight="1" spans="1:46">
      <c r="A20" s="9" t="str">
        <f>_xlfn.DISPIMG("ID_7C0005BFB5A64106920B92E3A61DE3C6",1)</f>
        <v>=DISPIMG("ID_7C0005BFB5A64106920B92E3A61DE3C6",1)</v>
      </c>
      <c r="B20" s="10" t="s">
        <v>5477</v>
      </c>
      <c r="C20" s="10" t="s">
        <v>5478</v>
      </c>
      <c r="D20" s="10" t="s">
        <v>3196</v>
      </c>
      <c r="E20" s="10" t="s">
        <v>5479</v>
      </c>
      <c r="F20" s="10" t="s">
        <v>5480</v>
      </c>
      <c r="G20" s="10" t="s">
        <v>3427</v>
      </c>
      <c r="H20" s="10" t="s">
        <v>5481</v>
      </c>
      <c r="I20" s="10" t="s">
        <v>5482</v>
      </c>
      <c r="J20" s="9" t="s">
        <v>934</v>
      </c>
      <c r="K20" s="10" t="s">
        <v>5275</v>
      </c>
      <c r="L20" s="10" t="s">
        <v>851</v>
      </c>
      <c r="M20" s="11">
        <v>5203</v>
      </c>
      <c r="N20" s="12" t="s">
        <v>5276</v>
      </c>
      <c r="O20" s="13" t="s">
        <v>3384</v>
      </c>
      <c r="P20" s="13" t="s">
        <v>2809</v>
      </c>
      <c r="Q20" s="13" t="s">
        <v>5277</v>
      </c>
      <c r="R20" s="13" t="s">
        <v>3170</v>
      </c>
      <c r="S20" s="13" t="s">
        <v>5278</v>
      </c>
      <c r="T20" s="13" t="s">
        <v>3174</v>
      </c>
      <c r="U20" s="14" t="s">
        <v>3269</v>
      </c>
      <c r="V20" s="14" t="s">
        <v>2821</v>
      </c>
      <c r="W20" s="14" t="s">
        <v>2930</v>
      </c>
      <c r="X20" s="14" t="s">
        <v>2911</v>
      </c>
      <c r="Y20" s="15">
        <v>1</v>
      </c>
      <c r="Z20" s="11">
        <v>3504</v>
      </c>
      <c r="AA20" s="11">
        <v>136620.97</v>
      </c>
      <c r="AB20" s="16">
        <v>38.99</v>
      </c>
      <c r="AC20" s="17">
        <v>0.6471</v>
      </c>
      <c r="AD20" s="16">
        <v>7.91</v>
      </c>
      <c r="AE20" s="18">
        <v>4.2</v>
      </c>
      <c r="AF20" s="11">
        <v>621</v>
      </c>
      <c r="AG20" s="19">
        <v>0.0083</v>
      </c>
      <c r="AH20" s="11">
        <v>29</v>
      </c>
      <c r="AI20" s="11">
        <v>5</v>
      </c>
      <c r="AJ20" s="9" t="s">
        <v>947</v>
      </c>
      <c r="AK20" s="9" t="s">
        <v>5483</v>
      </c>
      <c r="AL20" s="21">
        <v>1295</v>
      </c>
      <c r="AM20" s="21">
        <v>5</v>
      </c>
      <c r="AN20" s="21">
        <v>15</v>
      </c>
      <c r="AO20" s="10" t="s">
        <v>1515</v>
      </c>
      <c r="AP20" s="9" t="s">
        <v>65</v>
      </c>
      <c r="AQ20" s="10" t="s">
        <v>65</v>
      </c>
      <c r="AR20" s="9" t="s">
        <v>1516</v>
      </c>
      <c r="AS20" s="22" t="s">
        <v>5484</v>
      </c>
      <c r="AT20" s="22" t="s">
        <v>5485</v>
      </c>
    </row>
    <row r="21" ht="24" customHeight="1" spans="1:46">
      <c r="A21" s="9" t="str">
        <f>_xlfn.DISPIMG("ID_1A0C77516E4B418B88B728B6092F21CC",1)</f>
        <v>=DISPIMG("ID_1A0C77516E4B418B88B728B6092F21CC",1)</v>
      </c>
      <c r="B21" s="10" t="s">
        <v>5486</v>
      </c>
      <c r="C21" s="10" t="s">
        <v>5487</v>
      </c>
      <c r="D21" s="10" t="s">
        <v>5400</v>
      </c>
      <c r="E21" s="10" t="s">
        <v>5488</v>
      </c>
      <c r="F21" s="10" t="s">
        <v>5489</v>
      </c>
      <c r="G21" s="10" t="s">
        <v>3854</v>
      </c>
      <c r="H21" s="10" t="s">
        <v>5490</v>
      </c>
      <c r="I21" s="10" t="s">
        <v>5491</v>
      </c>
      <c r="J21" s="9" t="s">
        <v>934</v>
      </c>
      <c r="K21" s="10" t="s">
        <v>5275</v>
      </c>
      <c r="L21" s="10" t="s">
        <v>851</v>
      </c>
      <c r="M21" s="11">
        <v>5444</v>
      </c>
      <c r="N21" s="12" t="s">
        <v>5276</v>
      </c>
      <c r="O21" s="13" t="s">
        <v>3394</v>
      </c>
      <c r="P21" s="13" t="s">
        <v>2958</v>
      </c>
      <c r="Q21" s="13" t="s">
        <v>5417</v>
      </c>
      <c r="R21" s="13" t="s">
        <v>3170</v>
      </c>
      <c r="S21" s="13" t="s">
        <v>1003</v>
      </c>
      <c r="T21" s="13" t="s">
        <v>3174</v>
      </c>
      <c r="U21" s="14" t="s">
        <v>5492</v>
      </c>
      <c r="V21" s="14" t="s">
        <v>2821</v>
      </c>
      <c r="W21" s="14" t="s">
        <v>2865</v>
      </c>
      <c r="X21" s="14" t="s">
        <v>2823</v>
      </c>
      <c r="Y21" s="15">
        <v>1</v>
      </c>
      <c r="Z21" s="11">
        <v>2095</v>
      </c>
      <c r="AA21" s="11">
        <v>250562</v>
      </c>
      <c r="AB21" s="16">
        <v>119.6</v>
      </c>
      <c r="AC21" s="17">
        <v>0.5826</v>
      </c>
      <c r="AD21" s="16">
        <v>31.98</v>
      </c>
      <c r="AE21" s="18">
        <v>4.4</v>
      </c>
      <c r="AF21" s="11">
        <v>2554</v>
      </c>
      <c r="AG21" s="19">
        <v>0.0277</v>
      </c>
      <c r="AH21" s="11">
        <v>58</v>
      </c>
      <c r="AI21" s="11">
        <v>149</v>
      </c>
      <c r="AJ21" s="9" t="s">
        <v>854</v>
      </c>
      <c r="AK21" s="9" t="s">
        <v>1108</v>
      </c>
      <c r="AL21" s="21">
        <v>1415</v>
      </c>
      <c r="AM21" s="21">
        <v>6</v>
      </c>
      <c r="AN21" s="21">
        <v>8</v>
      </c>
      <c r="AO21" s="10" t="s">
        <v>1515</v>
      </c>
      <c r="AP21" s="9" t="s">
        <v>65</v>
      </c>
      <c r="AQ21" s="10" t="s">
        <v>65</v>
      </c>
      <c r="AR21" s="9" t="s">
        <v>1516</v>
      </c>
      <c r="AS21" s="22" t="s">
        <v>5493</v>
      </c>
      <c r="AT21" s="22" t="s">
        <v>5494</v>
      </c>
    </row>
    <row r="22" ht="24" customHeight="1" spans="1:46">
      <c r="A22" s="9" t="str">
        <f>_xlfn.DISPIMG("ID_89F005672EDE4B7D9C755F740DE55A55",1)</f>
        <v>=DISPIMG("ID_89F005672EDE4B7D9C755F740DE55A55",1)</v>
      </c>
      <c r="B22" s="10" t="s">
        <v>5495</v>
      </c>
      <c r="C22" s="10" t="s">
        <v>5496</v>
      </c>
      <c r="D22" s="10" t="s">
        <v>3196</v>
      </c>
      <c r="E22" s="10" t="s">
        <v>5497</v>
      </c>
      <c r="F22" s="10" t="s">
        <v>5498</v>
      </c>
      <c r="G22" s="10" t="s">
        <v>5499</v>
      </c>
      <c r="H22" s="10" t="s">
        <v>5500</v>
      </c>
      <c r="I22" s="10" t="s">
        <v>5501</v>
      </c>
      <c r="J22" s="9" t="s">
        <v>934</v>
      </c>
      <c r="K22" s="10" t="s">
        <v>5275</v>
      </c>
      <c r="L22" s="10" t="s">
        <v>5300</v>
      </c>
      <c r="M22" s="11">
        <v>2193</v>
      </c>
      <c r="N22" s="12" t="s">
        <v>5301</v>
      </c>
      <c r="O22" s="13" t="s">
        <v>5502</v>
      </c>
      <c r="P22" s="13" t="s">
        <v>2809</v>
      </c>
      <c r="Q22" s="13" t="s">
        <v>5289</v>
      </c>
      <c r="R22" s="13" t="s">
        <v>3170</v>
      </c>
      <c r="S22" s="13" t="s">
        <v>5278</v>
      </c>
      <c r="T22" s="13" t="s">
        <v>3174</v>
      </c>
      <c r="U22" s="14" t="s">
        <v>3790</v>
      </c>
      <c r="V22" s="14" t="s">
        <v>2831</v>
      </c>
      <c r="W22" s="14" t="s">
        <v>2930</v>
      </c>
      <c r="X22" s="14" t="s">
        <v>2823</v>
      </c>
      <c r="Y22" s="15">
        <v>1</v>
      </c>
      <c r="Z22" s="11">
        <v>5206</v>
      </c>
      <c r="AA22" s="11">
        <v>281071.94</v>
      </c>
      <c r="AB22" s="16">
        <v>53.99</v>
      </c>
      <c r="AC22" s="17">
        <v>0.6801</v>
      </c>
      <c r="AD22" s="16">
        <v>9.17</v>
      </c>
      <c r="AE22" s="18">
        <v>4.2</v>
      </c>
      <c r="AF22" s="11">
        <v>3739</v>
      </c>
      <c r="AG22" s="19">
        <v>0.0125</v>
      </c>
      <c r="AH22" s="11">
        <v>65</v>
      </c>
      <c r="AI22" s="11">
        <v>90</v>
      </c>
      <c r="AJ22" s="9" t="s">
        <v>876</v>
      </c>
      <c r="AK22" s="9" t="s">
        <v>5503</v>
      </c>
      <c r="AL22" s="21">
        <v>690</v>
      </c>
      <c r="AM22" s="21">
        <v>5</v>
      </c>
      <c r="AN22" s="21">
        <v>5</v>
      </c>
      <c r="AO22" s="10" t="s">
        <v>5504</v>
      </c>
      <c r="AP22" s="9" t="s">
        <v>1401</v>
      </c>
      <c r="AQ22" s="10" t="s">
        <v>5505</v>
      </c>
      <c r="AR22" s="9" t="s">
        <v>997</v>
      </c>
      <c r="AS22" s="22" t="s">
        <v>5506</v>
      </c>
      <c r="AT22" s="22" t="s">
        <v>5507</v>
      </c>
    </row>
    <row r="23" ht="24" customHeight="1" spans="1:46">
      <c r="A23" s="9" t="str">
        <f>_xlfn.DISPIMG("ID_D84A71EE775540DE9FD60A8D33110265",1)</f>
        <v>=DISPIMG("ID_D84A71EE775540DE9FD60A8D33110265",1)</v>
      </c>
      <c r="B23" s="10" t="s">
        <v>5508</v>
      </c>
      <c r="C23" s="10" t="s">
        <v>5509</v>
      </c>
      <c r="D23" s="10" t="s">
        <v>3333</v>
      </c>
      <c r="E23" s="10" t="s">
        <v>5510</v>
      </c>
      <c r="F23" s="10" t="s">
        <v>5511</v>
      </c>
      <c r="G23" s="10" t="s">
        <v>5512</v>
      </c>
      <c r="H23" s="10" t="s">
        <v>5513</v>
      </c>
      <c r="I23" s="10" t="s">
        <v>5514</v>
      </c>
      <c r="J23" s="9" t="s">
        <v>934</v>
      </c>
      <c r="K23" s="10" t="s">
        <v>5275</v>
      </c>
      <c r="L23" s="10" t="s">
        <v>851</v>
      </c>
      <c r="M23" s="11">
        <v>5836</v>
      </c>
      <c r="N23" s="12" t="s">
        <v>5276</v>
      </c>
      <c r="O23" s="13" t="s">
        <v>1062</v>
      </c>
      <c r="P23" s="13" t="s">
        <v>2986</v>
      </c>
      <c r="Q23" s="13" t="s">
        <v>5277</v>
      </c>
      <c r="R23" s="13" t="s">
        <v>3170</v>
      </c>
      <c r="S23" s="13" t="s">
        <v>5278</v>
      </c>
      <c r="T23" s="13" t="s">
        <v>3174</v>
      </c>
      <c r="U23" s="14" t="s">
        <v>3790</v>
      </c>
      <c r="V23" s="14" t="s">
        <v>2821</v>
      </c>
      <c r="W23" s="14" t="s">
        <v>2865</v>
      </c>
      <c r="X23" s="14" t="s">
        <v>2823</v>
      </c>
      <c r="Y23" s="15">
        <v>1</v>
      </c>
      <c r="Z23" s="11">
        <v>2524</v>
      </c>
      <c r="AA23" s="11">
        <v>127133.875</v>
      </c>
      <c r="AB23" s="16">
        <v>50.37</v>
      </c>
      <c r="AC23" s="17">
        <v>0.6805</v>
      </c>
      <c r="AD23" s="16">
        <v>8.54</v>
      </c>
      <c r="AE23" s="18">
        <v>4.5</v>
      </c>
      <c r="AF23" s="11">
        <v>2134</v>
      </c>
      <c r="AG23" s="19">
        <v>0.0087</v>
      </c>
      <c r="AH23" s="11">
        <v>22</v>
      </c>
      <c r="AI23" s="11">
        <v>62</v>
      </c>
      <c r="AJ23" s="9" t="s">
        <v>947</v>
      </c>
      <c r="AK23" s="9" t="s">
        <v>936</v>
      </c>
      <c r="AL23" s="21">
        <v>1146</v>
      </c>
      <c r="AM23" s="21">
        <v>4</v>
      </c>
      <c r="AN23" s="21">
        <v>3</v>
      </c>
      <c r="AO23" s="10" t="s">
        <v>5515</v>
      </c>
      <c r="AP23" s="9" t="s">
        <v>65</v>
      </c>
      <c r="AQ23" s="10" t="s">
        <v>65</v>
      </c>
      <c r="AR23" s="9" t="s">
        <v>997</v>
      </c>
      <c r="AS23" s="22" t="s">
        <v>5396</v>
      </c>
      <c r="AT23" s="22" t="s">
        <v>5516</v>
      </c>
    </row>
    <row r="24" ht="24" customHeight="1" spans="1:46">
      <c r="A24" s="9" t="str">
        <f>_xlfn.DISPIMG("ID_4DE2769D295A490BB275B6E0EDB90B6B",1)</f>
        <v>=DISPIMG("ID_4DE2769D295A490BB275B6E0EDB90B6B",1)</v>
      </c>
      <c r="B24" s="10" t="s">
        <v>5517</v>
      </c>
      <c r="C24" s="10" t="s">
        <v>5518</v>
      </c>
      <c r="D24" s="10" t="s">
        <v>5519</v>
      </c>
      <c r="E24" s="10" t="s">
        <v>5520</v>
      </c>
      <c r="F24" s="10" t="s">
        <v>5521</v>
      </c>
      <c r="G24" s="10" t="s">
        <v>3854</v>
      </c>
      <c r="H24" s="10" t="s">
        <v>5522</v>
      </c>
      <c r="I24" s="10" t="s">
        <v>5523</v>
      </c>
      <c r="J24" s="9" t="s">
        <v>934</v>
      </c>
      <c r="K24" s="10" t="s">
        <v>5275</v>
      </c>
      <c r="L24" s="10" t="s">
        <v>5300</v>
      </c>
      <c r="M24" s="11">
        <v>2328</v>
      </c>
      <c r="N24" s="12" t="s">
        <v>5301</v>
      </c>
      <c r="O24" s="13" t="s">
        <v>3245</v>
      </c>
      <c r="P24" s="13" t="s">
        <v>2958</v>
      </c>
      <c r="Q24" s="13" t="s">
        <v>5524</v>
      </c>
      <c r="R24" s="13" t="s">
        <v>3170</v>
      </c>
      <c r="S24" s="13" t="s">
        <v>5278</v>
      </c>
      <c r="T24" s="13" t="s">
        <v>3174</v>
      </c>
      <c r="U24" s="14" t="s">
        <v>3310</v>
      </c>
      <c r="V24" s="14" t="s">
        <v>2821</v>
      </c>
      <c r="W24" s="14" t="s">
        <v>2930</v>
      </c>
      <c r="X24" s="14" t="s">
        <v>2823</v>
      </c>
      <c r="Y24" s="15">
        <v>1</v>
      </c>
      <c r="Z24" s="11">
        <v>2525</v>
      </c>
      <c r="AA24" s="11">
        <v>121149.5</v>
      </c>
      <c r="AB24" s="16">
        <v>47.98</v>
      </c>
      <c r="AC24" s="17">
        <v>0.4938</v>
      </c>
      <c r="AD24" s="16">
        <v>17.09</v>
      </c>
      <c r="AE24" s="18">
        <v>4.2</v>
      </c>
      <c r="AF24" s="11">
        <v>2835</v>
      </c>
      <c r="AG24" s="19">
        <v>0.0325</v>
      </c>
      <c r="AH24" s="11">
        <v>82</v>
      </c>
      <c r="AI24" s="11">
        <v>96</v>
      </c>
      <c r="AJ24" s="9" t="s">
        <v>854</v>
      </c>
      <c r="AK24" s="9" t="s">
        <v>5428</v>
      </c>
      <c r="AL24" s="21">
        <v>1513</v>
      </c>
      <c r="AM24" s="21">
        <v>5</v>
      </c>
      <c r="AN24" s="21">
        <v>8</v>
      </c>
      <c r="AO24" s="10" t="s">
        <v>1515</v>
      </c>
      <c r="AP24" s="9" t="s">
        <v>65</v>
      </c>
      <c r="AQ24" s="10" t="s">
        <v>65</v>
      </c>
      <c r="AR24" s="9" t="s">
        <v>1516</v>
      </c>
      <c r="AS24" s="22" t="s">
        <v>2737</v>
      </c>
      <c r="AT24" s="22" t="s">
        <v>5429</v>
      </c>
    </row>
    <row r="25" ht="24" customHeight="1" spans="1:46">
      <c r="A25" s="9" t="str">
        <f>_xlfn.DISPIMG("ID_B9FD149D2A7E4E918A8A34D91F312C68",1)</f>
        <v>=DISPIMG("ID_B9FD149D2A7E4E918A8A34D91F312C68",1)</v>
      </c>
      <c r="B25" s="10" t="s">
        <v>5525</v>
      </c>
      <c r="C25" s="10" t="s">
        <v>5526</v>
      </c>
      <c r="D25" s="10" t="s">
        <v>5269</v>
      </c>
      <c r="E25" s="10" t="s">
        <v>5527</v>
      </c>
      <c r="F25" s="10" t="s">
        <v>5528</v>
      </c>
      <c r="G25" s="10" t="s">
        <v>5529</v>
      </c>
      <c r="H25" s="10" t="s">
        <v>5530</v>
      </c>
      <c r="I25" s="10" t="s">
        <v>5531</v>
      </c>
      <c r="J25" s="9" t="s">
        <v>934</v>
      </c>
      <c r="K25" s="10" t="s">
        <v>5275</v>
      </c>
      <c r="L25" s="10" t="s">
        <v>851</v>
      </c>
      <c r="M25" s="11">
        <v>6412</v>
      </c>
      <c r="N25" s="12" t="s">
        <v>5276</v>
      </c>
      <c r="O25" s="13" t="s">
        <v>1097</v>
      </c>
      <c r="P25" s="13" t="s">
        <v>2986</v>
      </c>
      <c r="Q25" s="13" t="s">
        <v>5289</v>
      </c>
      <c r="R25" s="13" t="s">
        <v>5438</v>
      </c>
      <c r="S25" s="13" t="s">
        <v>5278</v>
      </c>
      <c r="T25" s="13" t="s">
        <v>3174</v>
      </c>
      <c r="U25" s="14" t="s">
        <v>3310</v>
      </c>
      <c r="V25" s="14" t="s">
        <v>2883</v>
      </c>
      <c r="W25" s="14" t="s">
        <v>2930</v>
      </c>
      <c r="X25" s="14" t="s">
        <v>2884</v>
      </c>
      <c r="Y25" s="15">
        <v>1</v>
      </c>
      <c r="Z25" s="11">
        <v>1607</v>
      </c>
      <c r="AA25" s="11">
        <v>75512.93</v>
      </c>
      <c r="AB25" s="16">
        <v>46.99</v>
      </c>
      <c r="AC25" s="17">
        <v>0.5429</v>
      </c>
      <c r="AD25" s="16">
        <v>14.43</v>
      </c>
      <c r="AE25" s="18">
        <v>4.2</v>
      </c>
      <c r="AF25" s="11">
        <v>358</v>
      </c>
      <c r="AG25" s="19">
        <v>0.0162</v>
      </c>
      <c r="AH25" s="11">
        <v>26</v>
      </c>
      <c r="AI25" s="20"/>
      <c r="AJ25" s="9" t="s">
        <v>854</v>
      </c>
      <c r="AK25" s="9" t="s">
        <v>5532</v>
      </c>
      <c r="AL25" s="21">
        <v>252</v>
      </c>
      <c r="AM25" s="21">
        <v>2</v>
      </c>
      <c r="AN25" s="21">
        <v>3</v>
      </c>
      <c r="AO25" s="10" t="s">
        <v>5533</v>
      </c>
      <c r="AP25" s="9" t="s">
        <v>1110</v>
      </c>
      <c r="AQ25" s="10" t="s">
        <v>5534</v>
      </c>
      <c r="AR25" s="9" t="s">
        <v>997</v>
      </c>
      <c r="AS25" s="22" t="s">
        <v>5535</v>
      </c>
      <c r="AT25" s="22" t="s">
        <v>5536</v>
      </c>
    </row>
    <row r="26" ht="24" customHeight="1" spans="1:46">
      <c r="A26" s="9" t="str">
        <f>_xlfn.DISPIMG("ID_CD0498A408E245CB946CB8C91DC5B810",1)</f>
        <v>=DISPIMG("ID_CD0498A408E245CB946CB8C91DC5B810",1)</v>
      </c>
      <c r="B26" s="10" t="s">
        <v>5537</v>
      </c>
      <c r="C26" s="10" t="s">
        <v>5538</v>
      </c>
      <c r="D26" s="10" t="s">
        <v>3196</v>
      </c>
      <c r="E26" s="10" t="s">
        <v>5539</v>
      </c>
      <c r="F26" s="10" t="s">
        <v>5540</v>
      </c>
      <c r="G26" s="10" t="s">
        <v>5319</v>
      </c>
      <c r="H26" s="10" t="s">
        <v>5541</v>
      </c>
      <c r="I26" s="10" t="s">
        <v>5542</v>
      </c>
      <c r="J26" s="9" t="s">
        <v>1384</v>
      </c>
      <c r="K26" s="10" t="s">
        <v>5275</v>
      </c>
      <c r="L26" s="10" t="s">
        <v>851</v>
      </c>
      <c r="M26" s="11">
        <v>6700</v>
      </c>
      <c r="N26" s="12" t="s">
        <v>5322</v>
      </c>
      <c r="O26" s="13" t="s">
        <v>5543</v>
      </c>
      <c r="P26" s="13" t="s">
        <v>2809</v>
      </c>
      <c r="Q26" s="13" t="s">
        <v>5289</v>
      </c>
      <c r="R26" s="13" t="s">
        <v>3170</v>
      </c>
      <c r="S26" s="13" t="s">
        <v>5278</v>
      </c>
      <c r="T26" s="13" t="s">
        <v>3174</v>
      </c>
      <c r="U26" s="14" t="s">
        <v>5544</v>
      </c>
      <c r="V26" s="14" t="s">
        <v>2917</v>
      </c>
      <c r="W26" s="14" t="s">
        <v>2865</v>
      </c>
      <c r="X26" s="14" t="s">
        <v>2940</v>
      </c>
      <c r="Y26" s="15">
        <v>1</v>
      </c>
      <c r="Z26" s="11">
        <v>4427</v>
      </c>
      <c r="AA26" s="11">
        <v>323126.72</v>
      </c>
      <c r="AB26" s="16">
        <v>70.99</v>
      </c>
      <c r="AC26" s="17">
        <v>0.733</v>
      </c>
      <c r="AD26" s="16">
        <v>8.54</v>
      </c>
      <c r="AE26" s="18">
        <v>4.3</v>
      </c>
      <c r="AF26" s="11">
        <v>186</v>
      </c>
      <c r="AG26" s="19">
        <v>0.0063</v>
      </c>
      <c r="AH26" s="11">
        <v>28</v>
      </c>
      <c r="AI26" s="11">
        <v>5</v>
      </c>
      <c r="AJ26" s="9" t="s">
        <v>876</v>
      </c>
      <c r="AK26" s="9" t="s">
        <v>5545</v>
      </c>
      <c r="AL26" s="21">
        <v>168</v>
      </c>
      <c r="AM26" s="21">
        <v>3</v>
      </c>
      <c r="AN26" s="21">
        <v>2</v>
      </c>
      <c r="AO26" s="10" t="s">
        <v>5325</v>
      </c>
      <c r="AP26" s="9" t="s">
        <v>1110</v>
      </c>
      <c r="AQ26" s="10" t="s">
        <v>5326</v>
      </c>
      <c r="AR26" s="9" t="s">
        <v>997</v>
      </c>
      <c r="AS26" s="22" t="s">
        <v>5546</v>
      </c>
      <c r="AT26" s="22" t="s">
        <v>5547</v>
      </c>
    </row>
    <row r="27" ht="24" customHeight="1" spans="1:46">
      <c r="A27" s="9" t="str">
        <f>_xlfn.DISPIMG("ID_FE926B45CA304323B932DE7791FBF2E7",1)</f>
        <v>=DISPIMG("ID_FE926B45CA304323B932DE7791FBF2E7",1)</v>
      </c>
      <c r="B27" s="10" t="s">
        <v>5548</v>
      </c>
      <c r="C27" s="10" t="s">
        <v>5549</v>
      </c>
      <c r="D27" s="10" t="s">
        <v>5550</v>
      </c>
      <c r="E27" s="10" t="s">
        <v>5551</v>
      </c>
      <c r="F27" s="10" t="s">
        <v>5552</v>
      </c>
      <c r="G27" s="10" t="s">
        <v>5272</v>
      </c>
      <c r="H27" s="10" t="s">
        <v>5553</v>
      </c>
      <c r="I27" s="10" t="s">
        <v>5554</v>
      </c>
      <c r="J27" s="9" t="s">
        <v>934</v>
      </c>
      <c r="K27" s="10" t="s">
        <v>5275</v>
      </c>
      <c r="L27" s="10" t="s">
        <v>851</v>
      </c>
      <c r="M27" s="11">
        <v>6748</v>
      </c>
      <c r="N27" s="12" t="s">
        <v>5276</v>
      </c>
      <c r="O27" s="13" t="s">
        <v>1155</v>
      </c>
      <c r="P27" s="13" t="s">
        <v>2963</v>
      </c>
      <c r="Q27" s="13" t="s">
        <v>5277</v>
      </c>
      <c r="R27" s="13" t="s">
        <v>3170</v>
      </c>
      <c r="S27" s="13" t="s">
        <v>5278</v>
      </c>
      <c r="T27" s="13" t="s">
        <v>3174</v>
      </c>
      <c r="U27" s="14" t="s">
        <v>3310</v>
      </c>
      <c r="V27" s="14" t="s">
        <v>2821</v>
      </c>
      <c r="W27" s="14" t="s">
        <v>2822</v>
      </c>
      <c r="X27" s="14" t="s">
        <v>2823</v>
      </c>
      <c r="Y27" s="15">
        <v>1</v>
      </c>
      <c r="Z27" s="11">
        <v>3245</v>
      </c>
      <c r="AA27" s="11">
        <v>157674.55</v>
      </c>
      <c r="AB27" s="16">
        <v>48.59</v>
      </c>
      <c r="AC27" s="17">
        <v>0.6742</v>
      </c>
      <c r="AD27" s="16">
        <v>8.54</v>
      </c>
      <c r="AE27" s="18">
        <v>4.6</v>
      </c>
      <c r="AF27" s="11">
        <v>3259</v>
      </c>
      <c r="AG27" s="19">
        <v>0.0139</v>
      </c>
      <c r="AH27" s="11">
        <v>45</v>
      </c>
      <c r="AI27" s="11">
        <v>94</v>
      </c>
      <c r="AJ27" s="9" t="s">
        <v>876</v>
      </c>
      <c r="AK27" s="9" t="s">
        <v>5555</v>
      </c>
      <c r="AL27" s="21">
        <v>1319</v>
      </c>
      <c r="AM27" s="21">
        <v>3</v>
      </c>
      <c r="AN27" s="21">
        <v>8</v>
      </c>
      <c r="AO27" s="10" t="s">
        <v>1515</v>
      </c>
      <c r="AP27" s="9" t="s">
        <v>65</v>
      </c>
      <c r="AQ27" s="10" t="s">
        <v>65</v>
      </c>
      <c r="AR27" s="9" t="s">
        <v>1516</v>
      </c>
      <c r="AS27" s="22" t="s">
        <v>5361</v>
      </c>
      <c r="AT27" s="22" t="s">
        <v>5281</v>
      </c>
    </row>
    <row r="28" ht="24" customHeight="1" spans="1:46">
      <c r="A28" s="9" t="str">
        <f>_xlfn.DISPIMG("ID_32FE90107A424BBE9A11FCD32AC29247",1)</f>
        <v>=DISPIMG("ID_32FE90107A424BBE9A11FCD32AC29247",1)</v>
      </c>
      <c r="B28" s="10" t="s">
        <v>5556</v>
      </c>
      <c r="C28" s="10" t="s">
        <v>5556</v>
      </c>
      <c r="D28" s="10" t="s">
        <v>65</v>
      </c>
      <c r="E28" s="10" t="s">
        <v>5557</v>
      </c>
      <c r="F28" s="10" t="s">
        <v>5558</v>
      </c>
      <c r="G28" s="10" t="s">
        <v>5559</v>
      </c>
      <c r="H28" s="10" t="s">
        <v>5560</v>
      </c>
      <c r="I28" s="10" t="s">
        <v>5561</v>
      </c>
      <c r="J28" s="9" t="s">
        <v>934</v>
      </c>
      <c r="K28" s="10" t="s">
        <v>5275</v>
      </c>
      <c r="L28" s="10" t="s">
        <v>851</v>
      </c>
      <c r="M28" s="11">
        <v>7087</v>
      </c>
      <c r="N28" s="12" t="s">
        <v>5276</v>
      </c>
      <c r="O28" s="13" t="s">
        <v>1107</v>
      </c>
      <c r="P28" s="13" t="s">
        <v>2986</v>
      </c>
      <c r="Q28" s="13" t="s">
        <v>5277</v>
      </c>
      <c r="R28" s="13" t="s">
        <v>5438</v>
      </c>
      <c r="S28" s="13" t="s">
        <v>5278</v>
      </c>
      <c r="T28" s="13" t="s">
        <v>3174</v>
      </c>
      <c r="U28" s="14" t="s">
        <v>3269</v>
      </c>
      <c r="V28" s="14" t="s">
        <v>2831</v>
      </c>
      <c r="W28" s="14" t="s">
        <v>2865</v>
      </c>
      <c r="X28" s="14" t="s">
        <v>2940</v>
      </c>
      <c r="Y28" s="15">
        <v>1</v>
      </c>
      <c r="Z28" s="11">
        <v>1044</v>
      </c>
      <c r="AA28" s="11">
        <v>41645.16</v>
      </c>
      <c r="AB28" s="16">
        <v>39.89</v>
      </c>
      <c r="AC28" s="17">
        <v>0.5083</v>
      </c>
      <c r="AD28" s="16">
        <v>13.63</v>
      </c>
      <c r="AE28" s="18">
        <v>4.3</v>
      </c>
      <c r="AF28" s="11">
        <v>126</v>
      </c>
      <c r="AG28" s="19">
        <v>0.0067</v>
      </c>
      <c r="AH28" s="11">
        <v>7</v>
      </c>
      <c r="AI28" s="11">
        <v>5</v>
      </c>
      <c r="AJ28" s="9" t="s">
        <v>854</v>
      </c>
      <c r="AK28" s="9" t="s">
        <v>2597</v>
      </c>
      <c r="AL28" s="21">
        <v>648</v>
      </c>
      <c r="AM28" s="21">
        <v>1</v>
      </c>
      <c r="AN28" s="21">
        <v>9</v>
      </c>
      <c r="AO28" s="10" t="s">
        <v>5562</v>
      </c>
      <c r="AP28" s="9" t="s">
        <v>1110</v>
      </c>
      <c r="AQ28" s="10" t="s">
        <v>5563</v>
      </c>
      <c r="AR28" s="9" t="s">
        <v>2728</v>
      </c>
      <c r="AS28" s="22" t="s">
        <v>5564</v>
      </c>
      <c r="AT28" s="22" t="s">
        <v>5565</v>
      </c>
    </row>
    <row r="29" ht="24" customHeight="1" spans="1:46">
      <c r="A29" s="9" t="str">
        <f>_xlfn.DISPIMG("ID_8E7C7A0F4E83414787F030B3A76CFF26",1)</f>
        <v>=DISPIMG("ID_8E7C7A0F4E83414787F030B3A76CFF26",1)</v>
      </c>
      <c r="B29" s="10" t="s">
        <v>5566</v>
      </c>
      <c r="C29" s="10" t="s">
        <v>5567</v>
      </c>
      <c r="D29" s="10" t="s">
        <v>5568</v>
      </c>
      <c r="E29" s="10" t="s">
        <v>5569</v>
      </c>
      <c r="F29" s="10" t="s">
        <v>5570</v>
      </c>
      <c r="G29" s="10" t="s">
        <v>5272</v>
      </c>
      <c r="H29" s="10" t="s">
        <v>5571</v>
      </c>
      <c r="I29" s="10" t="s">
        <v>5572</v>
      </c>
      <c r="J29" s="9" t="s">
        <v>934</v>
      </c>
      <c r="K29" s="10" t="s">
        <v>5275</v>
      </c>
      <c r="L29" s="10" t="s">
        <v>851</v>
      </c>
      <c r="M29" s="11">
        <v>7224</v>
      </c>
      <c r="N29" s="12" t="s">
        <v>5276</v>
      </c>
      <c r="O29" s="13" t="s">
        <v>3486</v>
      </c>
      <c r="P29" s="13" t="s">
        <v>2986</v>
      </c>
      <c r="Q29" s="13" t="s">
        <v>5573</v>
      </c>
      <c r="R29" s="13" t="s">
        <v>3416</v>
      </c>
      <c r="S29" s="13" t="s">
        <v>5278</v>
      </c>
      <c r="T29" s="13" t="s">
        <v>3174</v>
      </c>
      <c r="U29" s="14" t="s">
        <v>5574</v>
      </c>
      <c r="V29" s="14" t="s">
        <v>2821</v>
      </c>
      <c r="W29" s="14" t="s">
        <v>2865</v>
      </c>
      <c r="X29" s="14" t="s">
        <v>2823</v>
      </c>
      <c r="Y29" s="15">
        <v>1</v>
      </c>
      <c r="Z29" s="11">
        <v>2345</v>
      </c>
      <c r="AA29" s="11">
        <v>351726.56</v>
      </c>
      <c r="AB29" s="16">
        <v>149.99</v>
      </c>
      <c r="AC29" s="17">
        <v>0.7086</v>
      </c>
      <c r="AD29" s="16">
        <v>21.21</v>
      </c>
      <c r="AE29" s="18">
        <v>4.3</v>
      </c>
      <c r="AF29" s="11">
        <v>2283</v>
      </c>
      <c r="AG29" s="19">
        <v>0.0175</v>
      </c>
      <c r="AH29" s="11">
        <v>41</v>
      </c>
      <c r="AI29" s="11">
        <v>230</v>
      </c>
      <c r="AJ29" s="9" t="s">
        <v>947</v>
      </c>
      <c r="AK29" s="9" t="s">
        <v>5575</v>
      </c>
      <c r="AL29" s="21">
        <v>1525</v>
      </c>
      <c r="AM29" s="21">
        <v>4</v>
      </c>
      <c r="AN29" s="21">
        <v>13</v>
      </c>
      <c r="AO29" s="10" t="s">
        <v>1515</v>
      </c>
      <c r="AP29" s="9" t="s">
        <v>65</v>
      </c>
      <c r="AQ29" s="10" t="s">
        <v>65</v>
      </c>
      <c r="AR29" s="9" t="s">
        <v>1516</v>
      </c>
      <c r="AS29" s="22" t="s">
        <v>5576</v>
      </c>
      <c r="AT29" s="22" t="s">
        <v>5577</v>
      </c>
    </row>
    <row r="30" ht="24" customHeight="1" spans="1:46">
      <c r="A30" s="9" t="str">
        <f>_xlfn.DISPIMG("ID_C9E6618634FB46B9AE93261404AA4B3F",1)</f>
        <v>=DISPIMG("ID_C9E6618634FB46B9AE93261404AA4B3F",1)</v>
      </c>
      <c r="B30" s="10" t="s">
        <v>5578</v>
      </c>
      <c r="C30" s="10" t="s">
        <v>5579</v>
      </c>
      <c r="D30" s="10" t="s">
        <v>5580</v>
      </c>
      <c r="E30" s="10" t="s">
        <v>5581</v>
      </c>
      <c r="F30" s="10" t="s">
        <v>5582</v>
      </c>
      <c r="G30" s="10" t="s">
        <v>5583</v>
      </c>
      <c r="H30" s="10" t="s">
        <v>5584</v>
      </c>
      <c r="I30" s="10" t="s">
        <v>5585</v>
      </c>
      <c r="J30" s="9" t="s">
        <v>934</v>
      </c>
      <c r="K30" s="10" t="s">
        <v>5275</v>
      </c>
      <c r="L30" s="10" t="s">
        <v>851</v>
      </c>
      <c r="M30" s="11">
        <v>7390</v>
      </c>
      <c r="N30" s="12" t="s">
        <v>5276</v>
      </c>
      <c r="O30" s="13" t="s">
        <v>1144</v>
      </c>
      <c r="P30" s="13" t="s">
        <v>2809</v>
      </c>
      <c r="Q30" s="13" t="s">
        <v>5277</v>
      </c>
      <c r="R30" s="13" t="s">
        <v>3170</v>
      </c>
      <c r="S30" s="13" t="s">
        <v>5278</v>
      </c>
      <c r="T30" s="13" t="s">
        <v>3174</v>
      </c>
      <c r="U30" s="14" t="s">
        <v>3445</v>
      </c>
      <c r="V30" s="14" t="s">
        <v>2917</v>
      </c>
      <c r="W30" s="14" t="s">
        <v>2865</v>
      </c>
      <c r="X30" s="14" t="s">
        <v>2884</v>
      </c>
      <c r="Y30" s="15">
        <v>1</v>
      </c>
      <c r="Z30" s="11">
        <v>6043</v>
      </c>
      <c r="AA30" s="11">
        <v>362519.6</v>
      </c>
      <c r="AB30" s="16">
        <v>59.99</v>
      </c>
      <c r="AC30" s="17">
        <v>0.6361</v>
      </c>
      <c r="AD30" s="16">
        <v>12.83</v>
      </c>
      <c r="AE30" s="18">
        <v>4.4</v>
      </c>
      <c r="AF30" s="11">
        <v>400</v>
      </c>
      <c r="AG30" s="19">
        <v>0.0086</v>
      </c>
      <c r="AH30" s="11">
        <v>52</v>
      </c>
      <c r="AI30" s="11">
        <v>13</v>
      </c>
      <c r="AJ30" s="9" t="s">
        <v>1267</v>
      </c>
      <c r="AK30" s="9" t="s">
        <v>5586</v>
      </c>
      <c r="AL30" s="21">
        <v>132</v>
      </c>
      <c r="AM30" s="21">
        <v>3</v>
      </c>
      <c r="AN30" s="21">
        <v>2</v>
      </c>
      <c r="AO30" s="10" t="s">
        <v>5587</v>
      </c>
      <c r="AP30" s="9" t="s">
        <v>1288</v>
      </c>
      <c r="AQ30" s="10" t="s">
        <v>5588</v>
      </c>
      <c r="AR30" s="9" t="s">
        <v>997</v>
      </c>
      <c r="AS30" s="22" t="s">
        <v>5589</v>
      </c>
      <c r="AT30" s="22" t="s">
        <v>5590</v>
      </c>
    </row>
    <row r="31" ht="24" customHeight="1" spans="1:46">
      <c r="A31" s="9" t="str">
        <f>_xlfn.DISPIMG("ID_F971AD70C58C4355A3EEB8628B4CA834",1)</f>
        <v>=DISPIMG("ID_F971AD70C58C4355A3EEB8628B4CA834",1)</v>
      </c>
      <c r="B31" s="10" t="s">
        <v>5591</v>
      </c>
      <c r="C31" s="10" t="s">
        <v>5592</v>
      </c>
      <c r="D31" s="10" t="s">
        <v>5593</v>
      </c>
      <c r="E31" s="10" t="s">
        <v>5594</v>
      </c>
      <c r="F31" s="10" t="s">
        <v>5595</v>
      </c>
      <c r="G31" s="10" t="s">
        <v>5403</v>
      </c>
      <c r="H31" s="10" t="s">
        <v>5596</v>
      </c>
      <c r="I31" s="10" t="s">
        <v>5597</v>
      </c>
      <c r="J31" s="9" t="s">
        <v>934</v>
      </c>
      <c r="K31" s="10" t="s">
        <v>5275</v>
      </c>
      <c r="L31" s="10" t="s">
        <v>851</v>
      </c>
      <c r="M31" s="11">
        <v>7473</v>
      </c>
      <c r="N31" s="12" t="s">
        <v>5276</v>
      </c>
      <c r="O31" s="13" t="s">
        <v>3510</v>
      </c>
      <c r="P31" s="13" t="s">
        <v>2963</v>
      </c>
      <c r="Q31" s="13" t="s">
        <v>5277</v>
      </c>
      <c r="R31" s="13" t="s">
        <v>3170</v>
      </c>
      <c r="S31" s="13" t="s">
        <v>5278</v>
      </c>
      <c r="T31" s="13" t="s">
        <v>3174</v>
      </c>
      <c r="U31" s="14" t="s">
        <v>3296</v>
      </c>
      <c r="V31" s="14" t="s">
        <v>2900</v>
      </c>
      <c r="W31" s="14" t="s">
        <v>2930</v>
      </c>
      <c r="X31" s="14" t="s">
        <v>2823</v>
      </c>
      <c r="Y31" s="15">
        <v>1</v>
      </c>
      <c r="Z31" s="11">
        <v>3112</v>
      </c>
      <c r="AA31" s="11">
        <v>135372</v>
      </c>
      <c r="AB31" s="16">
        <v>43.5</v>
      </c>
      <c r="AC31" s="17">
        <v>0.5551</v>
      </c>
      <c r="AD31" s="16">
        <v>12.83</v>
      </c>
      <c r="AE31" s="18">
        <v>4.2</v>
      </c>
      <c r="AF31" s="11">
        <v>1926</v>
      </c>
      <c r="AG31" s="19">
        <v>0.0129</v>
      </c>
      <c r="AH31" s="11">
        <v>40</v>
      </c>
      <c r="AI31" s="11">
        <v>21</v>
      </c>
      <c r="AJ31" s="9" t="s">
        <v>854</v>
      </c>
      <c r="AK31" s="9" t="s">
        <v>5598</v>
      </c>
      <c r="AL31" s="21">
        <v>893</v>
      </c>
      <c r="AM31" s="21">
        <v>5</v>
      </c>
      <c r="AN31" s="21">
        <v>2</v>
      </c>
      <c r="AO31" s="10" t="s">
        <v>1515</v>
      </c>
      <c r="AP31" s="9" t="s">
        <v>65</v>
      </c>
      <c r="AQ31" s="10" t="s">
        <v>65</v>
      </c>
      <c r="AR31" s="9" t="s">
        <v>1516</v>
      </c>
      <c r="AS31" s="22" t="s">
        <v>1413</v>
      </c>
      <c r="AT31" s="22" t="s">
        <v>5599</v>
      </c>
    </row>
    <row r="32" ht="24" customHeight="1" spans="1:46">
      <c r="A32" s="9" t="str">
        <f>_xlfn.DISPIMG("ID_9FCCA12980A0423E822746890F21D055",1)</f>
        <v>=DISPIMG("ID_9FCCA12980A0423E822746890F21D055",1)</v>
      </c>
      <c r="B32" s="10" t="s">
        <v>5600</v>
      </c>
      <c r="C32" s="10" t="s">
        <v>5601</v>
      </c>
      <c r="D32" s="10" t="s">
        <v>3196</v>
      </c>
      <c r="E32" s="10" t="s">
        <v>5602</v>
      </c>
      <c r="F32" s="10" t="s">
        <v>5603</v>
      </c>
      <c r="G32" s="10" t="s">
        <v>5604</v>
      </c>
      <c r="H32" s="10" t="s">
        <v>5605</v>
      </c>
      <c r="I32" s="10" t="s">
        <v>5606</v>
      </c>
      <c r="J32" s="9" t="s">
        <v>934</v>
      </c>
      <c r="K32" s="10" t="s">
        <v>5275</v>
      </c>
      <c r="L32" s="10" t="s">
        <v>5607</v>
      </c>
      <c r="M32" s="11">
        <v>3006</v>
      </c>
      <c r="N32" s="12" t="s">
        <v>5276</v>
      </c>
      <c r="O32" s="13" t="s">
        <v>3523</v>
      </c>
      <c r="P32" s="13" t="s">
        <v>2809</v>
      </c>
      <c r="Q32" s="13" t="s">
        <v>5277</v>
      </c>
      <c r="R32" s="13" t="s">
        <v>3170</v>
      </c>
      <c r="S32" s="13" t="s">
        <v>5278</v>
      </c>
      <c r="T32" s="13" t="s">
        <v>3174</v>
      </c>
      <c r="U32" s="14" t="s">
        <v>3269</v>
      </c>
      <c r="V32" s="14" t="s">
        <v>2900</v>
      </c>
      <c r="W32" s="14" t="s">
        <v>2930</v>
      </c>
      <c r="X32" s="14" t="s">
        <v>2823</v>
      </c>
      <c r="Y32" s="15">
        <v>1</v>
      </c>
      <c r="Z32" s="11">
        <v>13429</v>
      </c>
      <c r="AA32" s="11">
        <v>537025.75</v>
      </c>
      <c r="AB32" s="16">
        <v>39.99</v>
      </c>
      <c r="AC32" s="17">
        <v>0.6444</v>
      </c>
      <c r="AD32" s="16">
        <v>8.22</v>
      </c>
      <c r="AE32" s="18">
        <v>4.2</v>
      </c>
      <c r="AF32" s="11">
        <v>2095</v>
      </c>
      <c r="AG32" s="19">
        <v>0.0052</v>
      </c>
      <c r="AH32" s="11">
        <v>70</v>
      </c>
      <c r="AI32" s="11">
        <v>49</v>
      </c>
      <c r="AJ32" s="9" t="s">
        <v>854</v>
      </c>
      <c r="AK32" s="9" t="s">
        <v>5608</v>
      </c>
      <c r="AL32" s="21">
        <v>785</v>
      </c>
      <c r="AM32" s="21">
        <v>4</v>
      </c>
      <c r="AN32" s="21">
        <v>26</v>
      </c>
      <c r="AO32" s="10" t="s">
        <v>5609</v>
      </c>
      <c r="AP32" s="9" t="s">
        <v>65</v>
      </c>
      <c r="AQ32" s="10" t="s">
        <v>65</v>
      </c>
      <c r="AR32" s="9" t="s">
        <v>997</v>
      </c>
      <c r="AS32" s="22" t="s">
        <v>5610</v>
      </c>
      <c r="AT32" s="22" t="s">
        <v>5611</v>
      </c>
    </row>
    <row r="33" ht="24" customHeight="1" spans="1:46">
      <c r="A33" s="9" t="str">
        <f>_xlfn.DISPIMG("ID_5FCE00E4DF3F43B29DB06CF9EF9EF117",1)</f>
        <v>=DISPIMG("ID_5FCE00E4DF3F43B29DB06CF9EF9EF117",1)</v>
      </c>
      <c r="B33" s="10" t="s">
        <v>5612</v>
      </c>
      <c r="C33" s="10" t="s">
        <v>5613</v>
      </c>
      <c r="D33" s="10" t="s">
        <v>5614</v>
      </c>
      <c r="E33" s="10" t="s">
        <v>5615</v>
      </c>
      <c r="F33" s="10" t="s">
        <v>5616</v>
      </c>
      <c r="G33" s="10" t="s">
        <v>5392</v>
      </c>
      <c r="H33" s="10" t="s">
        <v>5617</v>
      </c>
      <c r="I33" s="10" t="s">
        <v>5618</v>
      </c>
      <c r="J33" s="9" t="s">
        <v>934</v>
      </c>
      <c r="K33" s="10" t="s">
        <v>5275</v>
      </c>
      <c r="L33" s="10" t="s">
        <v>851</v>
      </c>
      <c r="M33" s="11">
        <v>7550</v>
      </c>
      <c r="N33" s="12" t="s">
        <v>5276</v>
      </c>
      <c r="O33" s="13" t="s">
        <v>1135</v>
      </c>
      <c r="P33" s="13" t="s">
        <v>2809</v>
      </c>
      <c r="Q33" s="13" t="s">
        <v>5619</v>
      </c>
      <c r="R33" s="13" t="s">
        <v>3170</v>
      </c>
      <c r="S33" s="13" t="s">
        <v>5278</v>
      </c>
      <c r="T33" s="13" t="s">
        <v>3174</v>
      </c>
      <c r="U33" s="14" t="s">
        <v>5620</v>
      </c>
      <c r="V33" s="14" t="s">
        <v>2821</v>
      </c>
      <c r="W33" s="14" t="s">
        <v>2865</v>
      </c>
      <c r="X33" s="14" t="s">
        <v>2823</v>
      </c>
      <c r="Y33" s="15">
        <v>1</v>
      </c>
      <c r="Z33" s="11">
        <v>832</v>
      </c>
      <c r="AA33" s="11">
        <v>160426.25</v>
      </c>
      <c r="AB33" s="16">
        <v>192.82</v>
      </c>
      <c r="AC33" s="17">
        <v>0.4963</v>
      </c>
      <c r="AD33" s="16">
        <v>68.2</v>
      </c>
      <c r="AE33" s="18">
        <v>4.5</v>
      </c>
      <c r="AF33" s="11">
        <v>3931</v>
      </c>
      <c r="AG33" s="19">
        <v>0.0216</v>
      </c>
      <c r="AH33" s="11">
        <v>18</v>
      </c>
      <c r="AI33" s="20"/>
      <c r="AJ33" s="9" t="s">
        <v>947</v>
      </c>
      <c r="AK33" s="9" t="s">
        <v>5621</v>
      </c>
      <c r="AL33" s="21">
        <v>2954</v>
      </c>
      <c r="AM33" s="21">
        <v>6</v>
      </c>
      <c r="AN33" s="21">
        <v>1</v>
      </c>
      <c r="AO33" s="10" t="s">
        <v>1515</v>
      </c>
      <c r="AP33" s="9" t="s">
        <v>65</v>
      </c>
      <c r="AQ33" s="10" t="s">
        <v>65</v>
      </c>
      <c r="AR33" s="9" t="s">
        <v>1516</v>
      </c>
      <c r="AS33" s="22" t="s">
        <v>5622</v>
      </c>
      <c r="AT33" s="22" t="s">
        <v>5623</v>
      </c>
    </row>
    <row r="34" ht="24" customHeight="1" spans="1:46">
      <c r="A34" s="9" t="str">
        <f>_xlfn.DISPIMG("ID_16F8BF00D1764AD2AD6663A65C5DA25A",1)</f>
        <v>=DISPIMG("ID_16F8BF00D1764AD2AD6663A65C5DA25A",1)</v>
      </c>
      <c r="B34" s="10" t="s">
        <v>5624</v>
      </c>
      <c r="C34" s="10" t="s">
        <v>5625</v>
      </c>
      <c r="D34" s="10" t="s">
        <v>5626</v>
      </c>
      <c r="E34" s="10" t="s">
        <v>5627</v>
      </c>
      <c r="F34" s="10" t="s">
        <v>5628</v>
      </c>
      <c r="G34" s="10" t="s">
        <v>3199</v>
      </c>
      <c r="H34" s="10" t="s">
        <v>5629</v>
      </c>
      <c r="I34" s="10" t="s">
        <v>5630</v>
      </c>
      <c r="J34" s="9" t="s">
        <v>934</v>
      </c>
      <c r="K34" s="10" t="s">
        <v>5275</v>
      </c>
      <c r="L34" s="10" t="s">
        <v>851</v>
      </c>
      <c r="M34" s="11">
        <v>7623</v>
      </c>
      <c r="N34" s="12" t="s">
        <v>5276</v>
      </c>
      <c r="O34" s="13" t="s">
        <v>1183</v>
      </c>
      <c r="P34" s="13" t="s">
        <v>2809</v>
      </c>
      <c r="Q34" s="13" t="s">
        <v>5631</v>
      </c>
      <c r="R34" s="13" t="s">
        <v>3170</v>
      </c>
      <c r="S34" s="13" t="s">
        <v>5278</v>
      </c>
      <c r="T34" s="13" t="s">
        <v>3174</v>
      </c>
      <c r="U34" s="14" t="s">
        <v>5574</v>
      </c>
      <c r="V34" s="14" t="s">
        <v>2821</v>
      </c>
      <c r="W34" s="14" t="s">
        <v>2865</v>
      </c>
      <c r="X34" s="14" t="s">
        <v>2823</v>
      </c>
      <c r="Y34" s="15">
        <v>1</v>
      </c>
      <c r="Z34" s="11">
        <v>2607</v>
      </c>
      <c r="AA34" s="11">
        <v>370454.72</v>
      </c>
      <c r="AB34" s="16">
        <v>142.1</v>
      </c>
      <c r="AC34" s="17">
        <v>0.594</v>
      </c>
      <c r="AD34" s="16">
        <v>36.37</v>
      </c>
      <c r="AE34" s="18">
        <v>4.5</v>
      </c>
      <c r="AF34" s="11">
        <v>5771</v>
      </c>
      <c r="AG34" s="19">
        <v>0.0161</v>
      </c>
      <c r="AH34" s="11">
        <v>42</v>
      </c>
      <c r="AI34" s="20"/>
      <c r="AJ34" s="9" t="s">
        <v>854</v>
      </c>
      <c r="AK34" s="9" t="s">
        <v>5632</v>
      </c>
      <c r="AL34" s="21">
        <v>2454</v>
      </c>
      <c r="AM34" s="21">
        <v>7</v>
      </c>
      <c r="AN34" s="21">
        <v>16</v>
      </c>
      <c r="AO34" s="10" t="s">
        <v>1515</v>
      </c>
      <c r="AP34" s="9" t="s">
        <v>65</v>
      </c>
      <c r="AQ34" s="10" t="s">
        <v>65</v>
      </c>
      <c r="AR34" s="9" t="s">
        <v>1516</v>
      </c>
      <c r="AS34" s="22" t="s">
        <v>5633</v>
      </c>
      <c r="AT34" s="22" t="s">
        <v>5634</v>
      </c>
    </row>
    <row r="35" ht="24" customHeight="1" spans="1:46">
      <c r="A35" s="9" t="str">
        <f>_xlfn.DISPIMG("ID_015973B8969844D19C21265EDF92E14F",1)</f>
        <v>=DISPIMG("ID_015973B8969844D19C21265EDF92E14F",1)</v>
      </c>
      <c r="B35" s="10" t="s">
        <v>5635</v>
      </c>
      <c r="C35" s="10" t="s">
        <v>5636</v>
      </c>
      <c r="D35" s="10" t="s">
        <v>5637</v>
      </c>
      <c r="E35" s="10" t="s">
        <v>5638</v>
      </c>
      <c r="F35" s="10" t="s">
        <v>5639</v>
      </c>
      <c r="G35" s="10" t="s">
        <v>5640</v>
      </c>
      <c r="H35" s="10" t="s">
        <v>5641</v>
      </c>
      <c r="I35" s="10" t="s">
        <v>5642</v>
      </c>
      <c r="J35" s="9" t="s">
        <v>934</v>
      </c>
      <c r="K35" s="10" t="s">
        <v>5275</v>
      </c>
      <c r="L35" s="10" t="s">
        <v>5300</v>
      </c>
      <c r="M35" s="11">
        <v>2928</v>
      </c>
      <c r="N35" s="12" t="s">
        <v>5301</v>
      </c>
      <c r="O35" s="13" t="s">
        <v>5643</v>
      </c>
      <c r="P35" s="13" t="s">
        <v>2986</v>
      </c>
      <c r="Q35" s="13" t="s">
        <v>5289</v>
      </c>
      <c r="R35" s="13" t="s">
        <v>3170</v>
      </c>
      <c r="S35" s="13" t="s">
        <v>5278</v>
      </c>
      <c r="T35" s="13" t="s">
        <v>3174</v>
      </c>
      <c r="U35" s="14" t="s">
        <v>3790</v>
      </c>
      <c r="V35" s="14" t="s">
        <v>2831</v>
      </c>
      <c r="W35" s="14" t="s">
        <v>2930</v>
      </c>
      <c r="X35" s="14" t="s">
        <v>2868</v>
      </c>
      <c r="Y35" s="15">
        <v>1</v>
      </c>
      <c r="Z35" s="11">
        <v>1526</v>
      </c>
      <c r="AA35" s="11">
        <v>83914.74</v>
      </c>
      <c r="AB35" s="16">
        <v>54.99</v>
      </c>
      <c r="AC35" s="17">
        <v>0.6891</v>
      </c>
      <c r="AD35" s="16">
        <v>8.85</v>
      </c>
      <c r="AE35" s="18">
        <v>4.2</v>
      </c>
      <c r="AF35" s="11">
        <v>952</v>
      </c>
      <c r="AG35" s="19">
        <v>0.0098</v>
      </c>
      <c r="AH35" s="11">
        <v>15</v>
      </c>
      <c r="AI35" s="11">
        <v>35</v>
      </c>
      <c r="AJ35" s="9" t="s">
        <v>947</v>
      </c>
      <c r="AK35" s="9" t="s">
        <v>5644</v>
      </c>
      <c r="AL35" s="21">
        <v>561</v>
      </c>
      <c r="AM35" s="21">
        <v>4</v>
      </c>
      <c r="AN35" s="21">
        <v>6</v>
      </c>
      <c r="AO35" s="10" t="s">
        <v>5645</v>
      </c>
      <c r="AP35" s="9" t="s">
        <v>1288</v>
      </c>
      <c r="AQ35" s="10" t="s">
        <v>5646</v>
      </c>
      <c r="AR35" s="9" t="s">
        <v>997</v>
      </c>
      <c r="AS35" s="22" t="s">
        <v>5647</v>
      </c>
      <c r="AT35" s="22" t="s">
        <v>5648</v>
      </c>
    </row>
    <row r="36" ht="24" customHeight="1" spans="1:46">
      <c r="A36" s="9" t="str">
        <f>_xlfn.DISPIMG("ID_702E9B5A5E16426B945C55F13B054BA5",1)</f>
        <v>=DISPIMG("ID_702E9B5A5E16426B945C55F13B054BA5",1)</v>
      </c>
      <c r="B36" s="10" t="s">
        <v>5649</v>
      </c>
      <c r="C36" s="10" t="s">
        <v>5650</v>
      </c>
      <c r="D36" s="10" t="s">
        <v>3196</v>
      </c>
      <c r="E36" s="10" t="s">
        <v>5651</v>
      </c>
      <c r="F36" s="10" t="s">
        <v>5652</v>
      </c>
      <c r="G36" s="10" t="s">
        <v>5653</v>
      </c>
      <c r="H36" s="10" t="s">
        <v>5654</v>
      </c>
      <c r="I36" s="10" t="s">
        <v>5655</v>
      </c>
      <c r="J36" s="9" t="s">
        <v>974</v>
      </c>
      <c r="K36" s="10" t="s">
        <v>5275</v>
      </c>
      <c r="L36" s="10" t="s">
        <v>851</v>
      </c>
      <c r="M36" s="11">
        <v>8065</v>
      </c>
      <c r="N36" s="12" t="s">
        <v>5276</v>
      </c>
      <c r="O36" s="13" t="s">
        <v>3568</v>
      </c>
      <c r="P36" s="13" t="s">
        <v>2809</v>
      </c>
      <c r="Q36" s="13" t="s">
        <v>5277</v>
      </c>
      <c r="R36" s="13" t="s">
        <v>3170</v>
      </c>
      <c r="S36" s="13" t="s">
        <v>5278</v>
      </c>
      <c r="T36" s="13" t="s">
        <v>3174</v>
      </c>
      <c r="U36" s="14" t="s">
        <v>3269</v>
      </c>
      <c r="V36" s="14" t="s">
        <v>2821</v>
      </c>
      <c r="W36" s="14" t="s">
        <v>2865</v>
      </c>
      <c r="X36" s="14" t="s">
        <v>2823</v>
      </c>
      <c r="Y36" s="15">
        <v>1</v>
      </c>
      <c r="Z36" s="11">
        <v>4270</v>
      </c>
      <c r="AA36" s="11">
        <v>165206.3</v>
      </c>
      <c r="AB36" s="16">
        <v>38.69</v>
      </c>
      <c r="AC36" s="17">
        <v>0.5892</v>
      </c>
      <c r="AD36" s="16">
        <v>8.22</v>
      </c>
      <c r="AE36" s="18">
        <v>4.4</v>
      </c>
      <c r="AF36" s="11">
        <v>3017</v>
      </c>
      <c r="AG36" s="19">
        <v>0.0215</v>
      </c>
      <c r="AH36" s="11">
        <v>92</v>
      </c>
      <c r="AI36" s="11">
        <v>33</v>
      </c>
      <c r="AJ36" s="9" t="s">
        <v>876</v>
      </c>
      <c r="AK36" s="9" t="s">
        <v>5656</v>
      </c>
      <c r="AL36" s="21">
        <v>1259</v>
      </c>
      <c r="AM36" s="21">
        <v>2</v>
      </c>
      <c r="AN36" s="21">
        <v>3</v>
      </c>
      <c r="AO36" s="10" t="s">
        <v>1515</v>
      </c>
      <c r="AP36" s="9" t="s">
        <v>65</v>
      </c>
      <c r="AQ36" s="10" t="s">
        <v>65</v>
      </c>
      <c r="AR36" s="9" t="s">
        <v>1516</v>
      </c>
      <c r="AS36" s="22" t="s">
        <v>5657</v>
      </c>
      <c r="AT36" s="22" t="s">
        <v>5658</v>
      </c>
    </row>
    <row r="37" ht="24" customHeight="1" spans="1:46">
      <c r="A37" s="9" t="str">
        <f>_xlfn.DISPIMG("ID_D413095B41B042A8B68A32782FCFB190",1)</f>
        <v>=DISPIMG("ID_D413095B41B042A8B68A32782FCFB190",1)</v>
      </c>
      <c r="B37" s="10" t="s">
        <v>5659</v>
      </c>
      <c r="C37" s="10" t="s">
        <v>5660</v>
      </c>
      <c r="D37" s="10" t="s">
        <v>3864</v>
      </c>
      <c r="E37" s="10" t="s">
        <v>5661</v>
      </c>
      <c r="F37" s="10" t="s">
        <v>5662</v>
      </c>
      <c r="G37" s="10" t="s">
        <v>1302</v>
      </c>
      <c r="H37" s="10" t="s">
        <v>5663</v>
      </c>
      <c r="I37" s="10" t="s">
        <v>5664</v>
      </c>
      <c r="J37" s="9" t="s">
        <v>934</v>
      </c>
      <c r="K37" s="10" t="s">
        <v>5275</v>
      </c>
      <c r="L37" s="10" t="s">
        <v>851</v>
      </c>
      <c r="M37" s="11">
        <v>8778</v>
      </c>
      <c r="N37" s="12" t="s">
        <v>5276</v>
      </c>
      <c r="O37" s="13" t="s">
        <v>1250</v>
      </c>
      <c r="P37" s="13" t="s">
        <v>3005</v>
      </c>
      <c r="Q37" s="13" t="s">
        <v>5336</v>
      </c>
      <c r="R37" s="13" t="s">
        <v>3170</v>
      </c>
      <c r="S37" s="13" t="s">
        <v>5278</v>
      </c>
      <c r="T37" s="13" t="s">
        <v>3174</v>
      </c>
      <c r="U37" s="14" t="s">
        <v>3310</v>
      </c>
      <c r="V37" s="14" t="s">
        <v>2900</v>
      </c>
      <c r="W37" s="14" t="s">
        <v>2930</v>
      </c>
      <c r="X37" s="14" t="s">
        <v>2823</v>
      </c>
      <c r="Y37" s="15">
        <v>1</v>
      </c>
      <c r="Z37" s="11">
        <v>2009</v>
      </c>
      <c r="AA37" s="11">
        <v>100429.914</v>
      </c>
      <c r="AB37" s="16">
        <v>49.99</v>
      </c>
      <c r="AC37" s="17">
        <v>0.4975</v>
      </c>
      <c r="AD37" s="16">
        <v>17.62</v>
      </c>
      <c r="AE37" s="18">
        <v>4.2</v>
      </c>
      <c r="AF37" s="11">
        <v>3008</v>
      </c>
      <c r="AG37" s="19">
        <v>0.0214</v>
      </c>
      <c r="AH37" s="11">
        <v>43</v>
      </c>
      <c r="AI37" s="11">
        <v>102</v>
      </c>
      <c r="AJ37" s="9" t="s">
        <v>947</v>
      </c>
      <c r="AK37" s="9" t="s">
        <v>5665</v>
      </c>
      <c r="AL37" s="21">
        <v>852</v>
      </c>
      <c r="AM37" s="21">
        <v>4</v>
      </c>
      <c r="AN37" s="21">
        <v>6</v>
      </c>
      <c r="AO37" s="10" t="s">
        <v>1307</v>
      </c>
      <c r="AP37" s="9" t="s">
        <v>1110</v>
      </c>
      <c r="AQ37" s="10" t="s">
        <v>5348</v>
      </c>
      <c r="AR37" s="9" t="s">
        <v>997</v>
      </c>
      <c r="AS37" s="22" t="s">
        <v>5666</v>
      </c>
      <c r="AT37" s="22" t="s">
        <v>5667</v>
      </c>
    </row>
    <row r="38" ht="24" customHeight="1" spans="1:46">
      <c r="A38" s="9" t="str">
        <f>_xlfn.DISPIMG("ID_8E18E083EBB243F8951678E7C8B7EAB6",1)</f>
        <v>=DISPIMG("ID_8E18E083EBB243F8951678E7C8B7EAB6",1)</v>
      </c>
      <c r="B38" s="10" t="s">
        <v>5668</v>
      </c>
      <c r="C38" s="10" t="s">
        <v>5669</v>
      </c>
      <c r="D38" s="10" t="s">
        <v>3196</v>
      </c>
      <c r="E38" s="10" t="s">
        <v>5670</v>
      </c>
      <c r="F38" s="10" t="s">
        <v>5671</v>
      </c>
      <c r="G38" s="10" t="s">
        <v>3199</v>
      </c>
      <c r="H38" s="10" t="s">
        <v>5672</v>
      </c>
      <c r="I38" s="10" t="s">
        <v>5673</v>
      </c>
      <c r="J38" s="9" t="s">
        <v>934</v>
      </c>
      <c r="K38" s="10" t="s">
        <v>5275</v>
      </c>
      <c r="L38" s="10" t="s">
        <v>851</v>
      </c>
      <c r="M38" s="11">
        <v>8803</v>
      </c>
      <c r="N38" s="12" t="s">
        <v>5276</v>
      </c>
      <c r="O38" s="13" t="s">
        <v>3589</v>
      </c>
      <c r="P38" s="13" t="s">
        <v>2809</v>
      </c>
      <c r="Q38" s="13" t="s">
        <v>5336</v>
      </c>
      <c r="R38" s="13" t="s">
        <v>3170</v>
      </c>
      <c r="S38" s="13" t="s">
        <v>5278</v>
      </c>
      <c r="T38" s="13" t="s">
        <v>3174</v>
      </c>
      <c r="U38" s="14" t="s">
        <v>5620</v>
      </c>
      <c r="V38" s="14" t="s">
        <v>2821</v>
      </c>
      <c r="W38" s="14" t="s">
        <v>2865</v>
      </c>
      <c r="X38" s="14" t="s">
        <v>2823</v>
      </c>
      <c r="Y38" s="15">
        <v>1</v>
      </c>
      <c r="Z38" s="11">
        <v>1750</v>
      </c>
      <c r="AA38" s="11">
        <v>337015</v>
      </c>
      <c r="AB38" s="16">
        <v>192.58</v>
      </c>
      <c r="AC38" s="17">
        <v>0.5481</v>
      </c>
      <c r="AD38" s="16">
        <v>58.15</v>
      </c>
      <c r="AE38" s="18">
        <v>4.5</v>
      </c>
      <c r="AF38" s="11">
        <v>5384</v>
      </c>
      <c r="AG38" s="19">
        <v>0.0154</v>
      </c>
      <c r="AH38" s="11">
        <v>27</v>
      </c>
      <c r="AI38" s="11">
        <v>316</v>
      </c>
      <c r="AJ38" s="9" t="s">
        <v>854</v>
      </c>
      <c r="AK38" s="9" t="s">
        <v>5632</v>
      </c>
      <c r="AL38" s="21">
        <v>2454</v>
      </c>
      <c r="AM38" s="21">
        <v>3</v>
      </c>
      <c r="AN38" s="21">
        <v>2</v>
      </c>
      <c r="AO38" s="10" t="s">
        <v>1515</v>
      </c>
      <c r="AP38" s="9" t="s">
        <v>65</v>
      </c>
      <c r="AQ38" s="10" t="s">
        <v>65</v>
      </c>
      <c r="AR38" s="9" t="s">
        <v>1516</v>
      </c>
      <c r="AS38" s="22" t="s">
        <v>5674</v>
      </c>
      <c r="AT38" s="22" t="s">
        <v>5675</v>
      </c>
    </row>
    <row r="39" ht="24" customHeight="1" spans="1:46">
      <c r="A39" s="9" t="str">
        <f>_xlfn.DISPIMG("ID_CCC4F6F73C2844B28D96B1200F9B7BE4",1)</f>
        <v>=DISPIMG("ID_CCC4F6F73C2844B28D96B1200F9B7BE4",1)</v>
      </c>
      <c r="B39" s="10" t="s">
        <v>5676</v>
      </c>
      <c r="C39" s="10" t="s">
        <v>5677</v>
      </c>
      <c r="D39" s="10" t="s">
        <v>5678</v>
      </c>
      <c r="E39" s="10" t="s">
        <v>5679</v>
      </c>
      <c r="F39" s="10" t="s">
        <v>5680</v>
      </c>
      <c r="G39" s="10" t="s">
        <v>5392</v>
      </c>
      <c r="H39" s="10" t="s">
        <v>5681</v>
      </c>
      <c r="I39" s="10" t="s">
        <v>5682</v>
      </c>
      <c r="J39" s="9" t="s">
        <v>934</v>
      </c>
      <c r="K39" s="10" t="s">
        <v>5275</v>
      </c>
      <c r="L39" s="10" t="s">
        <v>851</v>
      </c>
      <c r="M39" s="11">
        <v>9999</v>
      </c>
      <c r="N39" s="12" t="s">
        <v>5276</v>
      </c>
      <c r="O39" s="13" t="s">
        <v>1232</v>
      </c>
      <c r="P39" s="13" t="s">
        <v>2824</v>
      </c>
      <c r="Q39" s="13" t="s">
        <v>5619</v>
      </c>
      <c r="R39" s="13" t="s">
        <v>3170</v>
      </c>
      <c r="S39" s="13" t="s">
        <v>5278</v>
      </c>
      <c r="T39" s="13" t="s">
        <v>2896</v>
      </c>
      <c r="U39" s="14" t="s">
        <v>5683</v>
      </c>
      <c r="V39" s="14" t="s">
        <v>2821</v>
      </c>
      <c r="W39" s="14" t="s">
        <v>2865</v>
      </c>
      <c r="X39" s="14" t="s">
        <v>2823</v>
      </c>
      <c r="Y39" s="15">
        <v>1</v>
      </c>
      <c r="Z39" s="11">
        <v>1618</v>
      </c>
      <c r="AA39" s="11">
        <v>412573.84</v>
      </c>
      <c r="AB39" s="16">
        <v>254.99</v>
      </c>
      <c r="AC39" s="17">
        <v>0.6369</v>
      </c>
      <c r="AD39" s="16">
        <v>54.34</v>
      </c>
      <c r="AE39" s="18">
        <v>4.4</v>
      </c>
      <c r="AF39" s="11">
        <v>16690</v>
      </c>
      <c r="AG39" s="19">
        <v>0.06</v>
      </c>
      <c r="AH39" s="11">
        <v>97</v>
      </c>
      <c r="AI39" s="20"/>
      <c r="AJ39" s="9" t="s">
        <v>876</v>
      </c>
      <c r="AK39" s="9" t="s">
        <v>5684</v>
      </c>
      <c r="AL39" s="21">
        <v>3231</v>
      </c>
      <c r="AM39" s="21">
        <v>6</v>
      </c>
      <c r="AN39" s="21">
        <v>20</v>
      </c>
      <c r="AO39" s="10" t="s">
        <v>1515</v>
      </c>
      <c r="AP39" s="9" t="s">
        <v>65</v>
      </c>
      <c r="AQ39" s="10" t="s">
        <v>65</v>
      </c>
      <c r="AR39" s="9" t="s">
        <v>1516</v>
      </c>
      <c r="AS39" s="22" t="s">
        <v>5685</v>
      </c>
      <c r="AT39" s="22" t="s">
        <v>5686</v>
      </c>
    </row>
    <row r="40" ht="24" customHeight="1" spans="1:46">
      <c r="A40" s="9" t="str">
        <f>_xlfn.DISPIMG("ID_356F145446BB40E39B11F2FE668B3138",1)</f>
        <v>=DISPIMG("ID_356F145446BB40E39B11F2FE668B3138",1)</v>
      </c>
      <c r="B40" s="10" t="s">
        <v>5687</v>
      </c>
      <c r="C40" s="10" t="s">
        <v>5688</v>
      </c>
      <c r="D40" s="10" t="s">
        <v>5689</v>
      </c>
      <c r="E40" s="10" t="s">
        <v>5690</v>
      </c>
      <c r="F40" s="10" t="s">
        <v>5691</v>
      </c>
      <c r="G40" s="10" t="s">
        <v>2541</v>
      </c>
      <c r="H40" s="10" t="s">
        <v>5692</v>
      </c>
      <c r="I40" s="10" t="s">
        <v>5693</v>
      </c>
      <c r="J40" s="9" t="s">
        <v>974</v>
      </c>
      <c r="K40" s="10" t="s">
        <v>5275</v>
      </c>
      <c r="L40" s="10" t="s">
        <v>851</v>
      </c>
      <c r="M40" s="11">
        <v>10035</v>
      </c>
      <c r="N40" s="12" t="s">
        <v>5276</v>
      </c>
      <c r="O40" s="13" t="s">
        <v>1296</v>
      </c>
      <c r="P40" s="13" t="s">
        <v>2958</v>
      </c>
      <c r="Q40" s="13" t="s">
        <v>5694</v>
      </c>
      <c r="R40" s="13" t="s">
        <v>3170</v>
      </c>
      <c r="S40" s="13" t="s">
        <v>1003</v>
      </c>
      <c r="T40" s="13" t="s">
        <v>5695</v>
      </c>
      <c r="U40" s="14" t="s">
        <v>5683</v>
      </c>
      <c r="V40" s="14" t="s">
        <v>2821</v>
      </c>
      <c r="W40" s="14" t="s">
        <v>2822</v>
      </c>
      <c r="X40" s="14" t="s">
        <v>2868</v>
      </c>
      <c r="Y40" s="15">
        <v>1</v>
      </c>
      <c r="Z40" s="11">
        <v>732</v>
      </c>
      <c r="AA40" s="11">
        <v>189588</v>
      </c>
      <c r="AB40" s="16">
        <v>259</v>
      </c>
      <c r="AC40" s="17">
        <v>0.3129</v>
      </c>
      <c r="AD40" s="16">
        <v>139.1</v>
      </c>
      <c r="AE40" s="18">
        <v>4.6</v>
      </c>
      <c r="AF40" s="11">
        <v>852</v>
      </c>
      <c r="AG40" s="19">
        <v>0.0137</v>
      </c>
      <c r="AH40" s="11">
        <v>10</v>
      </c>
      <c r="AI40" s="11">
        <v>52</v>
      </c>
      <c r="AJ40" s="9" t="s">
        <v>947</v>
      </c>
      <c r="AK40" s="9" t="s">
        <v>5696</v>
      </c>
      <c r="AL40" s="21">
        <v>1657</v>
      </c>
      <c r="AM40" s="21">
        <v>15</v>
      </c>
      <c r="AN40" s="21">
        <v>2</v>
      </c>
      <c r="AO40" s="10" t="s">
        <v>1515</v>
      </c>
      <c r="AP40" s="9" t="s">
        <v>65</v>
      </c>
      <c r="AQ40" s="10" t="s">
        <v>65</v>
      </c>
      <c r="AR40" s="9" t="s">
        <v>1516</v>
      </c>
      <c r="AS40" s="22" t="s">
        <v>5697</v>
      </c>
      <c r="AT40" s="22" t="s">
        <v>5698</v>
      </c>
    </row>
    <row r="41" ht="24" customHeight="1" spans="1:46">
      <c r="A41" s="9" t="str">
        <f>_xlfn.DISPIMG("ID_A59C66EB378142738B31545BCB7BD240",1)</f>
        <v>=DISPIMG("ID_A59C66EB378142738B31545BCB7BD240",1)</v>
      </c>
      <c r="B41" s="10" t="s">
        <v>5699</v>
      </c>
      <c r="C41" s="10" t="s">
        <v>5700</v>
      </c>
      <c r="D41" s="10" t="s">
        <v>5701</v>
      </c>
      <c r="E41" s="10" t="s">
        <v>5702</v>
      </c>
      <c r="F41" s="10" t="s">
        <v>5703</v>
      </c>
      <c r="G41" s="10" t="s">
        <v>5272</v>
      </c>
      <c r="H41" s="10" t="s">
        <v>5704</v>
      </c>
      <c r="I41" s="10" t="s">
        <v>5705</v>
      </c>
      <c r="J41" s="9" t="s">
        <v>934</v>
      </c>
      <c r="K41" s="10" t="s">
        <v>5275</v>
      </c>
      <c r="L41" s="10" t="s">
        <v>851</v>
      </c>
      <c r="M41" s="11">
        <v>10283</v>
      </c>
      <c r="N41" s="12" t="s">
        <v>5276</v>
      </c>
      <c r="O41" s="13" t="s">
        <v>1305</v>
      </c>
      <c r="P41" s="13" t="s">
        <v>2986</v>
      </c>
      <c r="Q41" s="13" t="s">
        <v>5336</v>
      </c>
      <c r="R41" s="13" t="s">
        <v>3170</v>
      </c>
      <c r="S41" s="13" t="s">
        <v>5278</v>
      </c>
      <c r="T41" s="13" t="s">
        <v>3174</v>
      </c>
      <c r="U41" s="14" t="s">
        <v>5337</v>
      </c>
      <c r="V41" s="14" t="s">
        <v>2821</v>
      </c>
      <c r="W41" s="14" t="s">
        <v>2865</v>
      </c>
      <c r="X41" s="14" t="s">
        <v>2823</v>
      </c>
      <c r="Y41" s="15">
        <v>1</v>
      </c>
      <c r="Z41" s="11">
        <v>1741</v>
      </c>
      <c r="AA41" s="11">
        <v>139262.6</v>
      </c>
      <c r="AB41" s="16">
        <v>79.99</v>
      </c>
      <c r="AC41" s="17">
        <v>0.6397</v>
      </c>
      <c r="AD41" s="16">
        <v>16.82</v>
      </c>
      <c r="AE41" s="18">
        <v>4.5</v>
      </c>
      <c r="AF41" s="11">
        <v>2997</v>
      </c>
      <c r="AG41" s="19">
        <v>0.0144</v>
      </c>
      <c r="AH41" s="11">
        <v>25</v>
      </c>
      <c r="AI41" s="11">
        <v>45</v>
      </c>
      <c r="AJ41" s="9" t="s">
        <v>854</v>
      </c>
      <c r="AK41" s="9" t="s">
        <v>3460</v>
      </c>
      <c r="AL41" s="21">
        <v>1191</v>
      </c>
      <c r="AM41" s="21">
        <v>6</v>
      </c>
      <c r="AN41" s="21">
        <v>17</v>
      </c>
      <c r="AO41" s="10" t="s">
        <v>1515</v>
      </c>
      <c r="AP41" s="9" t="s">
        <v>65</v>
      </c>
      <c r="AQ41" s="10" t="s">
        <v>65</v>
      </c>
      <c r="AR41" s="9" t="s">
        <v>1516</v>
      </c>
      <c r="AS41" s="22" t="s">
        <v>5706</v>
      </c>
      <c r="AT41" s="22" t="s">
        <v>5707</v>
      </c>
    </row>
    <row r="42" ht="24" customHeight="1" spans="1:46">
      <c r="A42" s="9" t="str">
        <f>_xlfn.DISPIMG("ID_A668F071062243849F704A4570976652",1)</f>
        <v>=DISPIMG("ID_A668F071062243849F704A4570976652",1)</v>
      </c>
      <c r="B42" s="10" t="s">
        <v>5708</v>
      </c>
      <c r="C42" s="10" t="s">
        <v>5708</v>
      </c>
      <c r="D42" s="10" t="s">
        <v>65</v>
      </c>
      <c r="E42" s="10" t="s">
        <v>5709</v>
      </c>
      <c r="F42" s="10" t="s">
        <v>5710</v>
      </c>
      <c r="G42" s="10" t="s">
        <v>3854</v>
      </c>
      <c r="H42" s="10" t="s">
        <v>5711</v>
      </c>
      <c r="I42" s="10" t="s">
        <v>5712</v>
      </c>
      <c r="J42" s="9" t="s">
        <v>974</v>
      </c>
      <c r="K42" s="10" t="s">
        <v>5275</v>
      </c>
      <c r="L42" s="10" t="s">
        <v>851</v>
      </c>
      <c r="M42" s="11">
        <v>10288</v>
      </c>
      <c r="N42" s="12" t="s">
        <v>5276</v>
      </c>
      <c r="O42" s="13" t="s">
        <v>3648</v>
      </c>
      <c r="P42" s="13" t="s">
        <v>2809</v>
      </c>
      <c r="Q42" s="13" t="s">
        <v>5381</v>
      </c>
      <c r="R42" s="13" t="s">
        <v>3170</v>
      </c>
      <c r="S42" s="13" t="s">
        <v>5278</v>
      </c>
      <c r="T42" s="13" t="s">
        <v>3174</v>
      </c>
      <c r="U42" s="14" t="s">
        <v>5713</v>
      </c>
      <c r="V42" s="14" t="s">
        <v>2831</v>
      </c>
      <c r="W42" s="14" t="s">
        <v>2993</v>
      </c>
      <c r="X42" s="14" t="s">
        <v>2940</v>
      </c>
      <c r="Y42" s="15">
        <v>1</v>
      </c>
      <c r="Z42" s="11">
        <v>766</v>
      </c>
      <c r="AA42" s="11">
        <v>76592.336</v>
      </c>
      <c r="AB42" s="16">
        <v>99.99</v>
      </c>
      <c r="AC42" s="17">
        <v>0.6578</v>
      </c>
      <c r="AD42" s="16">
        <v>19.22</v>
      </c>
      <c r="AE42" s="18">
        <v>4</v>
      </c>
      <c r="AF42" s="11">
        <v>280</v>
      </c>
      <c r="AG42" s="19">
        <v>0.017</v>
      </c>
      <c r="AH42" s="11">
        <v>13</v>
      </c>
      <c r="AI42" s="11">
        <v>46</v>
      </c>
      <c r="AJ42" s="9" t="s">
        <v>947</v>
      </c>
      <c r="AK42" s="9" t="s">
        <v>5714</v>
      </c>
      <c r="AL42" s="21">
        <v>636</v>
      </c>
      <c r="AM42" s="21">
        <v>1</v>
      </c>
      <c r="AN42" s="21">
        <v>10</v>
      </c>
      <c r="AO42" s="10" t="s">
        <v>1515</v>
      </c>
      <c r="AP42" s="9" t="s">
        <v>65</v>
      </c>
      <c r="AQ42" s="10" t="s">
        <v>65</v>
      </c>
      <c r="AR42" s="9" t="s">
        <v>1516</v>
      </c>
      <c r="AS42" s="22" t="s">
        <v>5715</v>
      </c>
      <c r="AT42" s="22" t="s">
        <v>5716</v>
      </c>
    </row>
    <row r="43" ht="24" customHeight="1" spans="1:46">
      <c r="A43" s="9" t="str">
        <f>_xlfn.DISPIMG("ID_24452B07DC6D4C80BF208F5FB4A10E16",1)</f>
        <v>=DISPIMG("ID_24452B07DC6D4C80BF208F5FB4A10E16",1)</v>
      </c>
      <c r="B43" s="10" t="s">
        <v>5717</v>
      </c>
      <c r="C43" s="10" t="s">
        <v>5717</v>
      </c>
      <c r="D43" s="10" t="s">
        <v>65</v>
      </c>
      <c r="E43" s="10" t="s">
        <v>5718</v>
      </c>
      <c r="F43" s="10" t="s">
        <v>5719</v>
      </c>
      <c r="G43" s="10" t="s">
        <v>1323</v>
      </c>
      <c r="H43" s="10" t="s">
        <v>5720</v>
      </c>
      <c r="I43" s="10" t="s">
        <v>5721</v>
      </c>
      <c r="J43" s="9" t="s">
        <v>974</v>
      </c>
      <c r="K43" s="10" t="s">
        <v>5275</v>
      </c>
      <c r="L43" s="10" t="s">
        <v>1323</v>
      </c>
      <c r="M43" s="11">
        <v>219</v>
      </c>
      <c r="N43" s="12" t="s">
        <v>5276</v>
      </c>
      <c r="O43" s="13" t="s">
        <v>1266</v>
      </c>
      <c r="P43" s="13" t="s">
        <v>2986</v>
      </c>
      <c r="Q43" s="13" t="s">
        <v>5277</v>
      </c>
      <c r="R43" s="13" t="s">
        <v>3170</v>
      </c>
      <c r="S43" s="13" t="s">
        <v>5278</v>
      </c>
      <c r="T43" s="13" t="s">
        <v>3174</v>
      </c>
      <c r="U43" s="14" t="s">
        <v>3269</v>
      </c>
      <c r="V43" s="14" t="s">
        <v>2821</v>
      </c>
      <c r="W43" s="14" t="s">
        <v>2930</v>
      </c>
      <c r="X43" s="14" t="s">
        <v>2884</v>
      </c>
      <c r="Y43" s="15">
        <v>1</v>
      </c>
      <c r="Z43" s="24">
        <v>13749</v>
      </c>
      <c r="AA43" s="24">
        <f>Z43*AB43</f>
        <v>508575.51</v>
      </c>
      <c r="AB43" s="25">
        <v>36.99</v>
      </c>
      <c r="AC43" s="26">
        <v>0</v>
      </c>
      <c r="AD43" s="27"/>
      <c r="AE43" s="18">
        <v>4.2</v>
      </c>
      <c r="AF43" s="11">
        <v>358</v>
      </c>
      <c r="AG43" s="19">
        <v>0</v>
      </c>
      <c r="AH43" s="20"/>
      <c r="AI43" s="11">
        <v>13</v>
      </c>
      <c r="AJ43" s="9" t="s">
        <v>947</v>
      </c>
      <c r="AK43" s="9" t="s">
        <v>5722</v>
      </c>
      <c r="AL43" s="21">
        <v>1099</v>
      </c>
      <c r="AM43" s="21">
        <v>1</v>
      </c>
      <c r="AN43" s="21">
        <v>1</v>
      </c>
      <c r="AO43" s="10" t="s">
        <v>5723</v>
      </c>
      <c r="AP43" s="9" t="s">
        <v>1110</v>
      </c>
      <c r="AQ43" s="10" t="s">
        <v>5724</v>
      </c>
      <c r="AR43" s="9" t="s">
        <v>997</v>
      </c>
      <c r="AS43" s="22" t="s">
        <v>5725</v>
      </c>
      <c r="AT43" s="22" t="s">
        <v>5726</v>
      </c>
    </row>
    <row r="44" ht="24" customHeight="1" spans="1:46">
      <c r="A44" s="9" t="str">
        <f>_xlfn.DISPIMG("ID_23424A20E7B94BBAAD3EAE9899D45FE9",1)</f>
        <v>=DISPIMG("ID_23424A20E7B94BBAAD3EAE9899D45FE9",1)</v>
      </c>
      <c r="B44" s="10" t="s">
        <v>5727</v>
      </c>
      <c r="C44" s="10" t="s">
        <v>5728</v>
      </c>
      <c r="D44" s="10" t="s">
        <v>3864</v>
      </c>
      <c r="E44" s="10" t="s">
        <v>5729</v>
      </c>
      <c r="F44" s="10" t="s">
        <v>5730</v>
      </c>
      <c r="G44" s="10" t="s">
        <v>5731</v>
      </c>
      <c r="H44" s="10" t="s">
        <v>5732</v>
      </c>
      <c r="I44" s="10" t="s">
        <v>5733</v>
      </c>
      <c r="J44" s="9" t="s">
        <v>1384</v>
      </c>
      <c r="K44" s="10" t="s">
        <v>5275</v>
      </c>
      <c r="L44" s="10" t="s">
        <v>5607</v>
      </c>
      <c r="M44" s="11">
        <v>3992</v>
      </c>
      <c r="N44" s="12" t="s">
        <v>5276</v>
      </c>
      <c r="O44" s="13" t="s">
        <v>1212</v>
      </c>
      <c r="P44" s="13" t="s">
        <v>3005</v>
      </c>
      <c r="Q44" s="13" t="s">
        <v>5277</v>
      </c>
      <c r="R44" s="13" t="s">
        <v>3170</v>
      </c>
      <c r="S44" s="13" t="s">
        <v>5278</v>
      </c>
      <c r="T44" s="13" t="s">
        <v>3174</v>
      </c>
      <c r="U44" s="14" t="s">
        <v>3310</v>
      </c>
      <c r="V44" s="14" t="s">
        <v>2883</v>
      </c>
      <c r="W44" s="14" t="s">
        <v>2865</v>
      </c>
      <c r="X44" s="14" t="s">
        <v>2979</v>
      </c>
      <c r="Y44" s="15">
        <v>1</v>
      </c>
      <c r="Z44" s="11">
        <v>11548</v>
      </c>
      <c r="AA44" s="11">
        <v>544372.7</v>
      </c>
      <c r="AB44" s="16">
        <v>47.14</v>
      </c>
      <c r="AC44" s="17">
        <v>0.658</v>
      </c>
      <c r="AD44" s="16">
        <v>7.91</v>
      </c>
      <c r="AE44" s="18">
        <v>4.4</v>
      </c>
      <c r="AF44" s="11">
        <v>83</v>
      </c>
      <c r="AG44" s="19">
        <v>0.0016</v>
      </c>
      <c r="AH44" s="11">
        <v>18</v>
      </c>
      <c r="AI44" s="11">
        <v>4</v>
      </c>
      <c r="AJ44" s="9" t="s">
        <v>1098</v>
      </c>
      <c r="AK44" s="9" t="s">
        <v>1965</v>
      </c>
      <c r="AL44" s="21">
        <v>186</v>
      </c>
      <c r="AM44" s="21">
        <v>4</v>
      </c>
      <c r="AN44" s="21">
        <v>9</v>
      </c>
      <c r="AO44" s="10" t="s">
        <v>1515</v>
      </c>
      <c r="AP44" s="9" t="s">
        <v>65</v>
      </c>
      <c r="AQ44" s="10" t="s">
        <v>65</v>
      </c>
      <c r="AR44" s="9" t="s">
        <v>1516</v>
      </c>
      <c r="AS44" s="22" t="s">
        <v>5610</v>
      </c>
      <c r="AT44" s="22" t="s">
        <v>5734</v>
      </c>
    </row>
    <row r="45" ht="24" customHeight="1" spans="1:46">
      <c r="A45" s="9" t="str">
        <f>_xlfn.DISPIMG("ID_769DC7F0202346C8923CB494CC3B5B88",1)</f>
        <v>=DISPIMG("ID_769DC7F0202346C8923CB494CC3B5B88",1)</v>
      </c>
      <c r="B45" s="10" t="s">
        <v>5735</v>
      </c>
      <c r="C45" s="10" t="s">
        <v>5735</v>
      </c>
      <c r="D45" s="10" t="s">
        <v>65</v>
      </c>
      <c r="E45" s="10" t="s">
        <v>5736</v>
      </c>
      <c r="F45" s="10" t="s">
        <v>5737</v>
      </c>
      <c r="G45" s="10" t="s">
        <v>5738</v>
      </c>
      <c r="H45" s="10" t="s">
        <v>5739</v>
      </c>
      <c r="I45" s="10" t="s">
        <v>5740</v>
      </c>
      <c r="J45" s="9" t="s">
        <v>1042</v>
      </c>
      <c r="K45" s="10" t="s">
        <v>5275</v>
      </c>
      <c r="L45" s="10" t="s">
        <v>851</v>
      </c>
      <c r="M45" s="11">
        <v>12391</v>
      </c>
      <c r="N45" s="12" t="s">
        <v>5276</v>
      </c>
      <c r="O45" s="13" t="s">
        <v>3694</v>
      </c>
      <c r="P45" s="13" t="s">
        <v>3005</v>
      </c>
      <c r="Q45" s="13" t="s">
        <v>5277</v>
      </c>
      <c r="R45" s="13" t="s">
        <v>3170</v>
      </c>
      <c r="S45" s="13" t="s">
        <v>5278</v>
      </c>
      <c r="T45" s="13" t="s">
        <v>3174</v>
      </c>
      <c r="U45" s="14" t="s">
        <v>3218</v>
      </c>
      <c r="V45" s="14" t="s">
        <v>2917</v>
      </c>
      <c r="W45" s="14" t="s">
        <v>2933</v>
      </c>
      <c r="X45" s="14" t="s">
        <v>2934</v>
      </c>
      <c r="Y45" s="15">
        <v>1</v>
      </c>
      <c r="Z45" s="11">
        <v>448</v>
      </c>
      <c r="AA45" s="11">
        <v>15223.04</v>
      </c>
      <c r="AB45" s="16">
        <v>33.98</v>
      </c>
      <c r="AC45" s="17">
        <v>0.6172</v>
      </c>
      <c r="AD45" s="16">
        <v>7.91</v>
      </c>
      <c r="AE45" s="18">
        <v>4.9</v>
      </c>
      <c r="AF45" s="11">
        <v>11</v>
      </c>
      <c r="AG45" s="19">
        <v>0</v>
      </c>
      <c r="AH45" s="11">
        <v>0</v>
      </c>
      <c r="AI45" s="20"/>
      <c r="AJ45" s="9" t="s">
        <v>65</v>
      </c>
      <c r="AK45" s="9" t="s">
        <v>5741</v>
      </c>
      <c r="AL45" s="21">
        <v>102</v>
      </c>
      <c r="AM45" s="21">
        <v>1</v>
      </c>
      <c r="AN45" s="21">
        <v>2</v>
      </c>
      <c r="AO45" s="10" t="s">
        <v>5742</v>
      </c>
      <c r="AP45" s="9" t="s">
        <v>1401</v>
      </c>
      <c r="AQ45" s="10" t="s">
        <v>5743</v>
      </c>
      <c r="AR45" s="9" t="s">
        <v>997</v>
      </c>
      <c r="AS45" s="22" t="s">
        <v>5744</v>
      </c>
      <c r="AT45" s="22" t="s">
        <v>5745</v>
      </c>
    </row>
    <row r="46" ht="24" customHeight="1" spans="1:46">
      <c r="A46" s="9" t="str">
        <f>_xlfn.DISPIMG("ID_429C7596921D4BCA8601D28C60AFE12F",1)</f>
        <v>=DISPIMG("ID_429C7596921D4BCA8601D28C60AFE12F",1)</v>
      </c>
      <c r="B46" s="10" t="s">
        <v>5746</v>
      </c>
      <c r="C46" s="10" t="s">
        <v>5747</v>
      </c>
      <c r="D46" s="10" t="s">
        <v>3196</v>
      </c>
      <c r="E46" s="10" t="s">
        <v>5748</v>
      </c>
      <c r="F46" s="10" t="s">
        <v>5749</v>
      </c>
      <c r="G46" s="10" t="s">
        <v>5750</v>
      </c>
      <c r="H46" s="10" t="s">
        <v>5751</v>
      </c>
      <c r="I46" s="10" t="s">
        <v>5752</v>
      </c>
      <c r="J46" s="9" t="s">
        <v>934</v>
      </c>
      <c r="K46" s="10" t="s">
        <v>5275</v>
      </c>
      <c r="L46" s="10" t="s">
        <v>851</v>
      </c>
      <c r="M46" s="11">
        <v>12595</v>
      </c>
      <c r="N46" s="12" t="s">
        <v>5276</v>
      </c>
      <c r="O46" s="13" t="s">
        <v>3718</v>
      </c>
      <c r="P46" s="13" t="s">
        <v>2809</v>
      </c>
      <c r="Q46" s="13" t="s">
        <v>5619</v>
      </c>
      <c r="R46" s="13" t="s">
        <v>3170</v>
      </c>
      <c r="S46" s="13" t="s">
        <v>5278</v>
      </c>
      <c r="T46" s="13" t="s">
        <v>3174</v>
      </c>
      <c r="U46" s="14" t="s">
        <v>5383</v>
      </c>
      <c r="V46" s="14" t="s">
        <v>2867</v>
      </c>
      <c r="W46" s="14" t="s">
        <v>2865</v>
      </c>
      <c r="X46" s="14" t="s">
        <v>2940</v>
      </c>
      <c r="Y46" s="15">
        <v>1</v>
      </c>
      <c r="Z46" s="11">
        <v>746</v>
      </c>
      <c r="AA46" s="11">
        <v>126805.08</v>
      </c>
      <c r="AB46" s="16">
        <v>169.98</v>
      </c>
      <c r="AC46" s="17">
        <v>0.4691</v>
      </c>
      <c r="AD46" s="16">
        <v>64.75</v>
      </c>
      <c r="AE46" s="18">
        <v>4.5</v>
      </c>
      <c r="AF46" s="11">
        <v>258</v>
      </c>
      <c r="AG46" s="19">
        <v>0.0268</v>
      </c>
      <c r="AH46" s="11">
        <v>20</v>
      </c>
      <c r="AI46" s="11">
        <v>29</v>
      </c>
      <c r="AJ46" s="9" t="s">
        <v>947</v>
      </c>
      <c r="AK46" s="9" t="s">
        <v>5753</v>
      </c>
      <c r="AL46" s="21">
        <v>405</v>
      </c>
      <c r="AM46" s="21">
        <v>3</v>
      </c>
      <c r="AN46" s="21">
        <v>1</v>
      </c>
      <c r="AO46" s="10" t="s">
        <v>5750</v>
      </c>
      <c r="AP46" s="9" t="s">
        <v>1288</v>
      </c>
      <c r="AQ46" s="10" t="s">
        <v>5754</v>
      </c>
      <c r="AR46" s="9" t="s">
        <v>2728</v>
      </c>
      <c r="AS46" s="22" t="s">
        <v>5755</v>
      </c>
      <c r="AT46" s="22" t="s">
        <v>5756</v>
      </c>
    </row>
    <row r="47" ht="24" customHeight="1" spans="1:46">
      <c r="A47" s="9" t="str">
        <f>_xlfn.DISPIMG("ID_C5C4587EE2674D1DAD85ADE941342DD7",1)</f>
        <v>=DISPIMG("ID_C5C4587EE2674D1DAD85ADE941342DD7",1)</v>
      </c>
      <c r="B47" s="10" t="s">
        <v>5757</v>
      </c>
      <c r="C47" s="10" t="s">
        <v>5758</v>
      </c>
      <c r="D47" s="10" t="s">
        <v>5759</v>
      </c>
      <c r="E47" s="10" t="s">
        <v>5760</v>
      </c>
      <c r="F47" s="10" t="s">
        <v>5761</v>
      </c>
      <c r="G47" s="10" t="s">
        <v>5414</v>
      </c>
      <c r="H47" s="10" t="s">
        <v>5762</v>
      </c>
      <c r="I47" s="10" t="s">
        <v>5763</v>
      </c>
      <c r="J47" s="9" t="s">
        <v>934</v>
      </c>
      <c r="K47" s="10" t="s">
        <v>5275</v>
      </c>
      <c r="L47" s="10" t="s">
        <v>851</v>
      </c>
      <c r="M47" s="11">
        <v>14000</v>
      </c>
      <c r="N47" s="12" t="s">
        <v>5276</v>
      </c>
      <c r="O47" s="13" t="s">
        <v>1317</v>
      </c>
      <c r="P47" s="13" t="s">
        <v>2852</v>
      </c>
      <c r="Q47" s="13" t="s">
        <v>5694</v>
      </c>
      <c r="R47" s="13" t="s">
        <v>3170</v>
      </c>
      <c r="S47" s="13" t="s">
        <v>5278</v>
      </c>
      <c r="T47" s="13" t="s">
        <v>3174</v>
      </c>
      <c r="U47" s="14" t="s">
        <v>5764</v>
      </c>
      <c r="V47" s="14" t="s">
        <v>2821</v>
      </c>
      <c r="W47" s="14" t="s">
        <v>2822</v>
      </c>
      <c r="X47" s="14" t="s">
        <v>2823</v>
      </c>
      <c r="Y47" s="15">
        <v>1</v>
      </c>
      <c r="Z47" s="11">
        <v>1330</v>
      </c>
      <c r="AA47" s="11">
        <v>297933.28</v>
      </c>
      <c r="AB47" s="16">
        <v>224.01</v>
      </c>
      <c r="AC47" s="17">
        <v>0.5188</v>
      </c>
      <c r="AD47" s="16">
        <v>74.2</v>
      </c>
      <c r="AE47" s="18">
        <v>4.6</v>
      </c>
      <c r="AF47" s="11">
        <v>5449</v>
      </c>
      <c r="AG47" s="19">
        <v>0.0188</v>
      </c>
      <c r="AH47" s="11">
        <v>25</v>
      </c>
      <c r="AI47" s="11">
        <v>542</v>
      </c>
      <c r="AJ47" s="9" t="s">
        <v>854</v>
      </c>
      <c r="AK47" s="9" t="s">
        <v>5765</v>
      </c>
      <c r="AL47" s="21">
        <v>3050</v>
      </c>
      <c r="AM47" s="21">
        <v>4</v>
      </c>
      <c r="AN47" s="21">
        <v>5</v>
      </c>
      <c r="AO47" s="10" t="s">
        <v>1515</v>
      </c>
      <c r="AP47" s="9" t="s">
        <v>65</v>
      </c>
      <c r="AQ47" s="10" t="s">
        <v>65</v>
      </c>
      <c r="AR47" s="9" t="s">
        <v>1516</v>
      </c>
      <c r="AS47" s="22" t="s">
        <v>5766</v>
      </c>
      <c r="AT47" s="22" t="s">
        <v>5767</v>
      </c>
    </row>
    <row r="48" ht="24" customHeight="1" spans="1:46">
      <c r="A48" s="9" t="str">
        <f>_xlfn.DISPIMG("ID_A98B4F147413421C818AF8C974437F63",1)</f>
        <v>=DISPIMG("ID_A98B4F147413421C818AF8C974437F63",1)</v>
      </c>
      <c r="B48" s="10" t="s">
        <v>5768</v>
      </c>
      <c r="C48" s="10" t="s">
        <v>5768</v>
      </c>
      <c r="D48" s="10" t="s">
        <v>65</v>
      </c>
      <c r="E48" s="10" t="s">
        <v>5769</v>
      </c>
      <c r="F48" s="10" t="s">
        <v>5770</v>
      </c>
      <c r="G48" s="10" t="s">
        <v>5750</v>
      </c>
      <c r="H48" s="10" t="s">
        <v>5771</v>
      </c>
      <c r="I48" s="10" t="s">
        <v>5772</v>
      </c>
      <c r="J48" s="9" t="s">
        <v>974</v>
      </c>
      <c r="K48" s="10" t="s">
        <v>5275</v>
      </c>
      <c r="L48" s="10" t="s">
        <v>851</v>
      </c>
      <c r="M48" s="11">
        <v>14321</v>
      </c>
      <c r="N48" s="12" t="s">
        <v>5276</v>
      </c>
      <c r="O48" s="13" t="s">
        <v>1367</v>
      </c>
      <c r="P48" s="13" t="s">
        <v>2809</v>
      </c>
      <c r="Q48" s="13" t="s">
        <v>5694</v>
      </c>
      <c r="R48" s="13" t="s">
        <v>3170</v>
      </c>
      <c r="S48" s="13" t="s">
        <v>5278</v>
      </c>
      <c r="T48" s="13" t="s">
        <v>3174</v>
      </c>
      <c r="U48" s="14" t="s">
        <v>5492</v>
      </c>
      <c r="V48" s="14" t="s">
        <v>2867</v>
      </c>
      <c r="W48" s="14" t="s">
        <v>2865</v>
      </c>
      <c r="X48" s="14" t="s">
        <v>2979</v>
      </c>
      <c r="Y48" s="15">
        <v>1</v>
      </c>
      <c r="Z48" s="11">
        <v>638</v>
      </c>
      <c r="AA48" s="11">
        <v>70173.62</v>
      </c>
      <c r="AB48" s="16">
        <v>109.99</v>
      </c>
      <c r="AC48" s="17">
        <v>0.85</v>
      </c>
      <c r="AD48" s="27"/>
      <c r="AE48" s="18">
        <v>4.3</v>
      </c>
      <c r="AF48" s="11">
        <v>78</v>
      </c>
      <c r="AG48" s="19">
        <v>0.0063</v>
      </c>
      <c r="AH48" s="11">
        <v>4</v>
      </c>
      <c r="AI48" s="11">
        <v>15</v>
      </c>
      <c r="AJ48" s="9" t="s">
        <v>1098</v>
      </c>
      <c r="AK48" s="9" t="s">
        <v>5773</v>
      </c>
      <c r="AL48" s="21">
        <v>400</v>
      </c>
      <c r="AM48" s="21">
        <v>1</v>
      </c>
      <c r="AN48" s="21">
        <v>1</v>
      </c>
      <c r="AO48" s="10" t="s">
        <v>5750</v>
      </c>
      <c r="AP48" s="9" t="s">
        <v>1288</v>
      </c>
      <c r="AQ48" s="10" t="s">
        <v>5754</v>
      </c>
      <c r="AR48" s="9" t="s">
        <v>2728</v>
      </c>
      <c r="AS48" s="28"/>
      <c r="AT48" s="22" t="s">
        <v>5774</v>
      </c>
    </row>
    <row r="49" ht="24" customHeight="1" spans="1:46">
      <c r="A49" s="9" t="str">
        <f>_xlfn.DISPIMG("ID_D8AC3FF434CF453BA6AC166E06A29100",1)</f>
        <v>=DISPIMG("ID_D8AC3FF434CF453BA6AC166E06A29100",1)</v>
      </c>
      <c r="B49" s="10" t="s">
        <v>5775</v>
      </c>
      <c r="C49" s="10" t="s">
        <v>5776</v>
      </c>
      <c r="D49" s="10" t="s">
        <v>5269</v>
      </c>
      <c r="E49" s="10" t="s">
        <v>5777</v>
      </c>
      <c r="F49" s="10" t="s">
        <v>5778</v>
      </c>
      <c r="G49" s="10" t="s">
        <v>5272</v>
      </c>
      <c r="H49" s="10" t="s">
        <v>5779</v>
      </c>
      <c r="I49" s="10" t="s">
        <v>5780</v>
      </c>
      <c r="J49" s="9" t="s">
        <v>934</v>
      </c>
      <c r="K49" s="10" t="s">
        <v>5275</v>
      </c>
      <c r="L49" s="10" t="s">
        <v>851</v>
      </c>
      <c r="M49" s="11">
        <v>15677</v>
      </c>
      <c r="N49" s="12" t="s">
        <v>5276</v>
      </c>
      <c r="O49" s="13" t="s">
        <v>1349</v>
      </c>
      <c r="P49" s="13" t="s">
        <v>2986</v>
      </c>
      <c r="Q49" s="13" t="s">
        <v>5781</v>
      </c>
      <c r="R49" s="13" t="s">
        <v>3170</v>
      </c>
      <c r="S49" s="13" t="s">
        <v>5278</v>
      </c>
      <c r="T49" s="13" t="s">
        <v>3174</v>
      </c>
      <c r="U49" s="14" t="s">
        <v>5713</v>
      </c>
      <c r="V49" s="14" t="s">
        <v>2821</v>
      </c>
      <c r="W49" s="14" t="s">
        <v>2930</v>
      </c>
      <c r="X49" s="14" t="s">
        <v>2823</v>
      </c>
      <c r="Y49" s="15">
        <v>1</v>
      </c>
      <c r="Z49" s="11">
        <v>1328</v>
      </c>
      <c r="AA49" s="11">
        <v>132786.72</v>
      </c>
      <c r="AB49" s="16">
        <v>99.99</v>
      </c>
      <c r="AC49" s="17">
        <v>0.6361</v>
      </c>
      <c r="AD49" s="16">
        <v>21.39</v>
      </c>
      <c r="AE49" s="18">
        <v>4.2</v>
      </c>
      <c r="AF49" s="11">
        <v>1043</v>
      </c>
      <c r="AG49" s="19">
        <v>0.012</v>
      </c>
      <c r="AH49" s="11">
        <v>16</v>
      </c>
      <c r="AI49" s="11">
        <v>42</v>
      </c>
      <c r="AJ49" s="9" t="s">
        <v>876</v>
      </c>
      <c r="AK49" s="9" t="s">
        <v>3460</v>
      </c>
      <c r="AL49" s="21">
        <v>1191</v>
      </c>
      <c r="AM49" s="21">
        <v>2</v>
      </c>
      <c r="AN49" s="21">
        <v>14</v>
      </c>
      <c r="AO49" s="10" t="s">
        <v>1515</v>
      </c>
      <c r="AP49" s="9" t="s">
        <v>65</v>
      </c>
      <c r="AQ49" s="10" t="s">
        <v>65</v>
      </c>
      <c r="AR49" s="9" t="s">
        <v>1516</v>
      </c>
      <c r="AS49" s="22" t="s">
        <v>5782</v>
      </c>
      <c r="AT49" s="22" t="s">
        <v>5783</v>
      </c>
    </row>
    <row r="50" ht="24" customHeight="1" spans="1:46">
      <c r="A50" s="9" t="str">
        <f>_xlfn.DISPIMG("ID_47815B4B8E97431D8FB6B6F3A3D8D791",1)</f>
        <v>=DISPIMG("ID_47815B4B8E97431D8FB6B6F3A3D8D791",1)</v>
      </c>
      <c r="B50" s="10" t="s">
        <v>5784</v>
      </c>
      <c r="C50" s="10" t="s">
        <v>5785</v>
      </c>
      <c r="D50" s="10" t="s">
        <v>5786</v>
      </c>
      <c r="E50" s="10" t="s">
        <v>5787</v>
      </c>
      <c r="F50" s="10" t="s">
        <v>5788</v>
      </c>
      <c r="G50" s="10" t="s">
        <v>5789</v>
      </c>
      <c r="H50" s="10" t="s">
        <v>5790</v>
      </c>
      <c r="I50" s="10" t="s">
        <v>5791</v>
      </c>
      <c r="J50" s="9" t="s">
        <v>934</v>
      </c>
      <c r="K50" s="10" t="s">
        <v>5275</v>
      </c>
      <c r="L50" s="10" t="s">
        <v>5300</v>
      </c>
      <c r="M50" s="11">
        <v>6733</v>
      </c>
      <c r="N50" s="12" t="s">
        <v>5322</v>
      </c>
      <c r="O50" s="13" t="s">
        <v>5792</v>
      </c>
      <c r="P50" s="13" t="s">
        <v>2986</v>
      </c>
      <c r="Q50" s="13" t="s">
        <v>5277</v>
      </c>
      <c r="R50" s="13" t="s">
        <v>3170</v>
      </c>
      <c r="S50" s="13" t="s">
        <v>5278</v>
      </c>
      <c r="T50" s="13" t="s">
        <v>3174</v>
      </c>
      <c r="U50" s="14" t="s">
        <v>3418</v>
      </c>
      <c r="V50" s="14" t="s">
        <v>2917</v>
      </c>
      <c r="W50" s="14" t="s">
        <v>2930</v>
      </c>
      <c r="X50" s="14" t="s">
        <v>2823</v>
      </c>
      <c r="Y50" s="15">
        <v>1</v>
      </c>
      <c r="Z50" s="11">
        <v>472</v>
      </c>
      <c r="AA50" s="11">
        <v>32091.28</v>
      </c>
      <c r="AB50" s="16">
        <v>67.99</v>
      </c>
      <c r="AC50" s="17">
        <v>0.7337</v>
      </c>
      <c r="AD50" s="16">
        <v>7.91</v>
      </c>
      <c r="AE50" s="18">
        <v>4.1</v>
      </c>
      <c r="AF50" s="11">
        <v>2623</v>
      </c>
      <c r="AG50" s="19">
        <v>0.0403</v>
      </c>
      <c r="AH50" s="11">
        <v>19</v>
      </c>
      <c r="AI50" s="20"/>
      <c r="AJ50" s="9" t="s">
        <v>1098</v>
      </c>
      <c r="AK50" s="9" t="s">
        <v>5793</v>
      </c>
      <c r="AL50" s="21">
        <v>38</v>
      </c>
      <c r="AM50" s="21">
        <v>1</v>
      </c>
      <c r="AN50" s="21">
        <v>1</v>
      </c>
      <c r="AO50" s="10" t="s">
        <v>5794</v>
      </c>
      <c r="AP50" s="9" t="s">
        <v>65</v>
      </c>
      <c r="AQ50" s="10" t="s">
        <v>65</v>
      </c>
      <c r="AR50" s="9" t="s">
        <v>997</v>
      </c>
      <c r="AS50" s="22" t="s">
        <v>5795</v>
      </c>
      <c r="AT50" s="22" t="s">
        <v>5796</v>
      </c>
    </row>
    <row r="51" ht="24" customHeight="1" spans="1:46">
      <c r="A51" s="9" t="str">
        <f>_xlfn.DISPIMG("ID_84D370C6EA21497C87E2D25580460178",1)</f>
        <v>=DISPIMG("ID_84D370C6EA21497C87E2D25580460178",1)</v>
      </c>
      <c r="B51" s="10" t="s">
        <v>5797</v>
      </c>
      <c r="C51" s="10" t="s">
        <v>5798</v>
      </c>
      <c r="D51" s="10" t="s">
        <v>3196</v>
      </c>
      <c r="E51" s="10" t="s">
        <v>5799</v>
      </c>
      <c r="F51" s="10" t="s">
        <v>5800</v>
      </c>
      <c r="G51" s="10" t="s">
        <v>5801</v>
      </c>
      <c r="H51" s="10" t="s">
        <v>5802</v>
      </c>
      <c r="I51" s="10" t="s">
        <v>5803</v>
      </c>
      <c r="J51" s="9" t="s">
        <v>974</v>
      </c>
      <c r="K51" s="10" t="s">
        <v>5275</v>
      </c>
      <c r="L51" s="10" t="s">
        <v>851</v>
      </c>
      <c r="M51" s="11">
        <v>17604</v>
      </c>
      <c r="N51" s="12" t="s">
        <v>5276</v>
      </c>
      <c r="O51" s="13" t="s">
        <v>3776</v>
      </c>
      <c r="P51" s="13" t="s">
        <v>2809</v>
      </c>
      <c r="Q51" s="13" t="s">
        <v>5619</v>
      </c>
      <c r="R51" s="13" t="s">
        <v>3170</v>
      </c>
      <c r="S51" s="13" t="s">
        <v>1003</v>
      </c>
      <c r="T51" s="13" t="s">
        <v>3174</v>
      </c>
      <c r="U51" s="14" t="s">
        <v>5383</v>
      </c>
      <c r="V51" s="14" t="s">
        <v>2821</v>
      </c>
      <c r="W51" s="14" t="s">
        <v>2822</v>
      </c>
      <c r="X51" s="14" t="s">
        <v>2884</v>
      </c>
      <c r="Y51" s="15">
        <v>1</v>
      </c>
      <c r="Z51" s="11">
        <v>969</v>
      </c>
      <c r="AA51" s="11">
        <v>164720.31</v>
      </c>
      <c r="AB51" s="16">
        <v>169.99</v>
      </c>
      <c r="AC51" s="17">
        <v>0.5151</v>
      </c>
      <c r="AD51" s="16">
        <v>56.93</v>
      </c>
      <c r="AE51" s="18">
        <v>4.7</v>
      </c>
      <c r="AF51" s="11">
        <v>448</v>
      </c>
      <c r="AG51" s="19">
        <v>0.0134</v>
      </c>
      <c r="AH51" s="11">
        <v>13</v>
      </c>
      <c r="AI51" s="11">
        <v>38</v>
      </c>
      <c r="AJ51" s="9" t="s">
        <v>1098</v>
      </c>
      <c r="AK51" s="9" t="s">
        <v>5804</v>
      </c>
      <c r="AL51" s="21">
        <v>1393</v>
      </c>
      <c r="AM51" s="21">
        <v>3</v>
      </c>
      <c r="AN51" s="21">
        <v>1</v>
      </c>
      <c r="AO51" s="10" t="s">
        <v>5805</v>
      </c>
      <c r="AP51" s="9" t="s">
        <v>1288</v>
      </c>
      <c r="AQ51" s="10" t="s">
        <v>5806</v>
      </c>
      <c r="AR51" s="9" t="s">
        <v>2728</v>
      </c>
      <c r="AS51" s="22" t="s">
        <v>5807</v>
      </c>
      <c r="AT51" s="22" t="s">
        <v>5808</v>
      </c>
    </row>
    <row r="52" ht="24" customHeight="1" spans="1:46">
      <c r="A52" s="9" t="str">
        <f>_xlfn.DISPIMG("ID_BC1A732E1B994DBE9F7330E5CCE3C401",1)</f>
        <v>=DISPIMG("ID_BC1A732E1B994DBE9F7330E5CCE3C401",1)</v>
      </c>
      <c r="B52" s="10" t="s">
        <v>5809</v>
      </c>
      <c r="C52" s="10" t="s">
        <v>5810</v>
      </c>
      <c r="D52" s="10" t="s">
        <v>4144</v>
      </c>
      <c r="E52" s="10" t="s">
        <v>5811</v>
      </c>
      <c r="F52" s="10" t="s">
        <v>5812</v>
      </c>
      <c r="G52" s="10" t="s">
        <v>3199</v>
      </c>
      <c r="H52" s="10" t="s">
        <v>5813</v>
      </c>
      <c r="I52" s="10" t="s">
        <v>5814</v>
      </c>
      <c r="J52" s="9" t="s">
        <v>934</v>
      </c>
      <c r="K52" s="10" t="s">
        <v>5275</v>
      </c>
      <c r="L52" s="10" t="s">
        <v>851</v>
      </c>
      <c r="M52" s="11">
        <v>18199</v>
      </c>
      <c r="N52" s="12" t="s">
        <v>5276</v>
      </c>
      <c r="O52" s="13" t="s">
        <v>3789</v>
      </c>
      <c r="P52" s="13" t="s">
        <v>2824</v>
      </c>
      <c r="Q52" s="13" t="s">
        <v>5619</v>
      </c>
      <c r="R52" s="13" t="s">
        <v>3170</v>
      </c>
      <c r="S52" s="13" t="s">
        <v>1003</v>
      </c>
      <c r="T52" s="13" t="s">
        <v>5815</v>
      </c>
      <c r="U52" s="14" t="s">
        <v>5620</v>
      </c>
      <c r="V52" s="14" t="s">
        <v>2821</v>
      </c>
      <c r="W52" s="14" t="s">
        <v>2865</v>
      </c>
      <c r="X52" s="14" t="s">
        <v>2823</v>
      </c>
      <c r="Y52" s="15">
        <v>1</v>
      </c>
      <c r="Z52" s="11">
        <v>446</v>
      </c>
      <c r="AA52" s="11">
        <v>86078</v>
      </c>
      <c r="AB52" s="16">
        <v>193</v>
      </c>
      <c r="AC52" s="17">
        <v>0.5445</v>
      </c>
      <c r="AD52" s="16">
        <v>58.96</v>
      </c>
      <c r="AE52" s="18">
        <v>4.5</v>
      </c>
      <c r="AF52" s="11">
        <v>1706</v>
      </c>
      <c r="AG52" s="19">
        <v>0.0269</v>
      </c>
      <c r="AH52" s="11">
        <v>12</v>
      </c>
      <c r="AI52" s="11">
        <v>127</v>
      </c>
      <c r="AJ52" s="9" t="s">
        <v>876</v>
      </c>
      <c r="AK52" s="9" t="s">
        <v>5632</v>
      </c>
      <c r="AL52" s="21">
        <v>2454</v>
      </c>
      <c r="AM52" s="21">
        <v>3</v>
      </c>
      <c r="AN52" s="21">
        <v>2</v>
      </c>
      <c r="AO52" s="10" t="s">
        <v>1515</v>
      </c>
      <c r="AP52" s="9" t="s">
        <v>65</v>
      </c>
      <c r="AQ52" s="10" t="s">
        <v>65</v>
      </c>
      <c r="AR52" s="9" t="s">
        <v>1516</v>
      </c>
      <c r="AS52" s="22" t="s">
        <v>5755</v>
      </c>
      <c r="AT52" s="22" t="s">
        <v>5816</v>
      </c>
    </row>
    <row r="53" ht="24" customHeight="1" spans="1:46">
      <c r="A53" s="9" t="str">
        <f>_xlfn.DISPIMG("ID_81EB173F04F4474CB8176057EE4D3F7E",1)</f>
        <v>=DISPIMG("ID_81EB173F04F4474CB8176057EE4D3F7E",1)</v>
      </c>
      <c r="B53" s="10" t="s">
        <v>5817</v>
      </c>
      <c r="C53" s="10" t="s">
        <v>5818</v>
      </c>
      <c r="D53" s="10" t="s">
        <v>5269</v>
      </c>
      <c r="E53" s="10" t="s">
        <v>5819</v>
      </c>
      <c r="F53" s="10" t="s">
        <v>5820</v>
      </c>
      <c r="G53" s="10" t="s">
        <v>5604</v>
      </c>
      <c r="H53" s="10" t="s">
        <v>5821</v>
      </c>
      <c r="I53" s="10" t="s">
        <v>5822</v>
      </c>
      <c r="J53" s="9" t="s">
        <v>934</v>
      </c>
      <c r="K53" s="10" t="s">
        <v>5275</v>
      </c>
      <c r="L53" s="10" t="s">
        <v>5607</v>
      </c>
      <c r="M53" s="11">
        <v>5715</v>
      </c>
      <c r="N53" s="12" t="s">
        <v>5276</v>
      </c>
      <c r="O53" s="13" t="s">
        <v>1398</v>
      </c>
      <c r="P53" s="13" t="s">
        <v>2986</v>
      </c>
      <c r="Q53" s="13" t="s">
        <v>5289</v>
      </c>
      <c r="R53" s="13" t="s">
        <v>3170</v>
      </c>
      <c r="S53" s="13" t="s">
        <v>5278</v>
      </c>
      <c r="T53" s="13" t="s">
        <v>3174</v>
      </c>
      <c r="U53" s="14" t="s">
        <v>3310</v>
      </c>
      <c r="V53" s="14" t="s">
        <v>2917</v>
      </c>
      <c r="W53" s="14" t="s">
        <v>2865</v>
      </c>
      <c r="X53" s="14" t="s">
        <v>2979</v>
      </c>
      <c r="Y53" s="15">
        <v>1</v>
      </c>
      <c r="Z53" s="11">
        <v>5267</v>
      </c>
      <c r="AA53" s="11">
        <v>250603.88</v>
      </c>
      <c r="AB53" s="16">
        <v>47.58</v>
      </c>
      <c r="AC53" s="17">
        <v>0.5551</v>
      </c>
      <c r="AD53" s="16">
        <v>14.03</v>
      </c>
      <c r="AE53" s="18">
        <v>4.3</v>
      </c>
      <c r="AF53" s="11">
        <v>52</v>
      </c>
      <c r="AG53" s="19">
        <v>0.0011</v>
      </c>
      <c r="AH53" s="11">
        <v>6</v>
      </c>
      <c r="AI53" s="20"/>
      <c r="AJ53" s="9" t="s">
        <v>65</v>
      </c>
      <c r="AK53" s="9" t="s">
        <v>2473</v>
      </c>
      <c r="AL53" s="21">
        <v>130</v>
      </c>
      <c r="AM53" s="21">
        <v>2</v>
      </c>
      <c r="AN53" s="21">
        <v>2</v>
      </c>
      <c r="AO53" s="10" t="s">
        <v>1515</v>
      </c>
      <c r="AP53" s="9" t="s">
        <v>65</v>
      </c>
      <c r="AQ53" s="10" t="s">
        <v>65</v>
      </c>
      <c r="AR53" s="9" t="s">
        <v>1516</v>
      </c>
      <c r="AS53" s="22" t="s">
        <v>5823</v>
      </c>
      <c r="AT53" s="22" t="s">
        <v>5824</v>
      </c>
    </row>
    <row r="54" ht="24" customHeight="1" spans="1:46">
      <c r="A54" s="9" t="str">
        <f>_xlfn.DISPIMG("ID_31DB35F134E04573A8BFD3968D4D632C",1)</f>
        <v>=DISPIMG("ID_31DB35F134E04573A8BFD3968D4D632C",1)</v>
      </c>
      <c r="B54" s="10" t="s">
        <v>5825</v>
      </c>
      <c r="C54" s="10" t="s">
        <v>5826</v>
      </c>
      <c r="D54" s="10" t="s">
        <v>4144</v>
      </c>
      <c r="E54" s="10" t="s">
        <v>5827</v>
      </c>
      <c r="F54" s="10" t="s">
        <v>5828</v>
      </c>
      <c r="G54" s="10" t="s">
        <v>5829</v>
      </c>
      <c r="H54" s="10" t="s">
        <v>5830</v>
      </c>
      <c r="I54" s="10" t="s">
        <v>5831</v>
      </c>
      <c r="J54" s="9" t="s">
        <v>974</v>
      </c>
      <c r="K54" s="10" t="s">
        <v>5275</v>
      </c>
      <c r="L54" s="10" t="s">
        <v>851</v>
      </c>
      <c r="M54" s="11">
        <v>19224</v>
      </c>
      <c r="N54" s="12" t="s">
        <v>5276</v>
      </c>
      <c r="O54" s="13" t="s">
        <v>1285</v>
      </c>
      <c r="P54" s="13" t="s">
        <v>2824</v>
      </c>
      <c r="Q54" s="13" t="s">
        <v>5277</v>
      </c>
      <c r="R54" s="13" t="s">
        <v>3170</v>
      </c>
      <c r="S54" s="13" t="s">
        <v>5278</v>
      </c>
      <c r="T54" s="13" t="s">
        <v>3174</v>
      </c>
      <c r="U54" s="14" t="s">
        <v>3296</v>
      </c>
      <c r="V54" s="14" t="s">
        <v>2917</v>
      </c>
      <c r="W54" s="14" t="s">
        <v>2865</v>
      </c>
      <c r="X54" s="14" t="s">
        <v>2940</v>
      </c>
      <c r="Y54" s="15">
        <v>1</v>
      </c>
      <c r="Z54" s="11">
        <v>713</v>
      </c>
      <c r="AA54" s="11">
        <v>32077.871</v>
      </c>
      <c r="AB54" s="16">
        <v>44.99</v>
      </c>
      <c r="AC54" s="17">
        <v>0.6673</v>
      </c>
      <c r="AD54" s="16">
        <v>8.22</v>
      </c>
      <c r="AE54" s="18">
        <v>4.4</v>
      </c>
      <c r="AF54" s="11">
        <v>165</v>
      </c>
      <c r="AG54" s="19">
        <v>0.0771</v>
      </c>
      <c r="AH54" s="11">
        <v>55</v>
      </c>
      <c r="AI54" s="20"/>
      <c r="AJ54" s="9" t="s">
        <v>65</v>
      </c>
      <c r="AK54" s="9" t="s">
        <v>5832</v>
      </c>
      <c r="AL54" s="21">
        <v>88</v>
      </c>
      <c r="AM54" s="21">
        <v>5</v>
      </c>
      <c r="AN54" s="21">
        <v>1</v>
      </c>
      <c r="AO54" s="10" t="s">
        <v>5833</v>
      </c>
      <c r="AP54" s="9" t="s">
        <v>5834</v>
      </c>
      <c r="AQ54" s="10" t="s">
        <v>5835</v>
      </c>
      <c r="AR54" s="9" t="s">
        <v>997</v>
      </c>
      <c r="AS54" s="22" t="s">
        <v>5610</v>
      </c>
      <c r="AT54" s="22" t="s">
        <v>5836</v>
      </c>
    </row>
    <row r="55" ht="24" customHeight="1" spans="1:46">
      <c r="A55" s="9" t="str">
        <f>_xlfn.DISPIMG("ID_951D411C75964C27A6CF9F8E0DE6354A",1)</f>
        <v>=DISPIMG("ID_951D411C75964C27A6CF9F8E0DE6354A",1)</v>
      </c>
      <c r="B55" s="10" t="s">
        <v>5837</v>
      </c>
      <c r="C55" s="10" t="s">
        <v>5838</v>
      </c>
      <c r="D55" s="10" t="s">
        <v>5839</v>
      </c>
      <c r="E55" s="10" t="s">
        <v>5840</v>
      </c>
      <c r="F55" s="10" t="s">
        <v>5841</v>
      </c>
      <c r="G55" s="10" t="s">
        <v>5842</v>
      </c>
      <c r="H55" s="10" t="s">
        <v>5843</v>
      </c>
      <c r="I55" s="10" t="s">
        <v>5844</v>
      </c>
      <c r="J55" s="9" t="s">
        <v>974</v>
      </c>
      <c r="K55" s="10" t="s">
        <v>5845</v>
      </c>
      <c r="L55" s="10" t="s">
        <v>5846</v>
      </c>
      <c r="M55" s="11">
        <v>1975</v>
      </c>
      <c r="N55" s="12" t="s">
        <v>5847</v>
      </c>
      <c r="O55" s="13" t="s">
        <v>5848</v>
      </c>
      <c r="P55" s="13" t="s">
        <v>2986</v>
      </c>
      <c r="Q55" s="13" t="s">
        <v>5524</v>
      </c>
      <c r="R55" s="13" t="s">
        <v>5849</v>
      </c>
      <c r="S55" s="13" t="s">
        <v>5278</v>
      </c>
      <c r="T55" s="13" t="s">
        <v>3174</v>
      </c>
      <c r="U55" s="14" t="s">
        <v>5620</v>
      </c>
      <c r="V55" s="14" t="s">
        <v>2867</v>
      </c>
      <c r="W55" s="14" t="s">
        <v>2930</v>
      </c>
      <c r="X55" s="14" t="s">
        <v>2940</v>
      </c>
      <c r="Y55" s="15">
        <v>1</v>
      </c>
      <c r="Z55" s="24">
        <v>478</v>
      </c>
      <c r="AA55" s="24">
        <f>Z55*AB55</f>
        <v>95595.22</v>
      </c>
      <c r="AB55" s="25">
        <v>199.99</v>
      </c>
      <c r="AC55" s="17">
        <v>0</v>
      </c>
      <c r="AD55" s="27"/>
      <c r="AE55" s="18">
        <v>4.1</v>
      </c>
      <c r="AF55" s="11">
        <v>143</v>
      </c>
      <c r="AG55" s="19">
        <v>0</v>
      </c>
      <c r="AH55" s="11">
        <v>-68</v>
      </c>
      <c r="AI55" s="11">
        <v>24</v>
      </c>
      <c r="AJ55" s="9" t="s">
        <v>876</v>
      </c>
      <c r="AK55" s="9" t="s">
        <v>5850</v>
      </c>
      <c r="AL55" s="21">
        <v>447</v>
      </c>
      <c r="AM55" s="21">
        <v>4</v>
      </c>
      <c r="AN55" s="21">
        <v>1</v>
      </c>
      <c r="AO55" s="10" t="s">
        <v>5842</v>
      </c>
      <c r="AP55" s="9" t="s">
        <v>65</v>
      </c>
      <c r="AQ55" s="10" t="s">
        <v>65</v>
      </c>
      <c r="AR55" s="9" t="s">
        <v>997</v>
      </c>
      <c r="AS55" s="22" t="s">
        <v>5851</v>
      </c>
      <c r="AT55" s="22" t="s">
        <v>5852</v>
      </c>
    </row>
    <row r="56" ht="24" customHeight="1" spans="1:46">
      <c r="A56" s="9" t="str">
        <f>_xlfn.DISPIMG("ID_03442B6F452B47C19EECBABF6726F99E",1)</f>
        <v>=DISPIMG("ID_03442B6F452B47C19EECBABF6726F99E",1)</v>
      </c>
      <c r="B56" s="10" t="s">
        <v>5853</v>
      </c>
      <c r="C56" s="10" t="s">
        <v>5854</v>
      </c>
      <c r="D56" s="10" t="s">
        <v>5855</v>
      </c>
      <c r="E56" s="10" t="s">
        <v>5856</v>
      </c>
      <c r="F56" s="10" t="s">
        <v>5857</v>
      </c>
      <c r="G56" s="10" t="s">
        <v>1511</v>
      </c>
      <c r="H56" s="10" t="s">
        <v>5858</v>
      </c>
      <c r="I56" s="10" t="s">
        <v>5859</v>
      </c>
      <c r="J56" s="9" t="s">
        <v>934</v>
      </c>
      <c r="K56" s="10" t="s">
        <v>5275</v>
      </c>
      <c r="L56" s="10" t="s">
        <v>851</v>
      </c>
      <c r="M56" s="11">
        <v>20510</v>
      </c>
      <c r="N56" s="12" t="s">
        <v>5276</v>
      </c>
      <c r="O56" s="13" t="s">
        <v>3857</v>
      </c>
      <c r="P56" s="13" t="s">
        <v>2809</v>
      </c>
      <c r="Q56" s="13" t="s">
        <v>5631</v>
      </c>
      <c r="R56" s="13" t="s">
        <v>3170</v>
      </c>
      <c r="S56" s="13" t="s">
        <v>5278</v>
      </c>
      <c r="T56" s="13" t="s">
        <v>5371</v>
      </c>
      <c r="U56" s="14" t="s">
        <v>5492</v>
      </c>
      <c r="V56" s="14" t="s">
        <v>2831</v>
      </c>
      <c r="W56" s="14" t="s">
        <v>2865</v>
      </c>
      <c r="X56" s="14" t="s">
        <v>2940</v>
      </c>
      <c r="Y56" s="15">
        <v>1</v>
      </c>
      <c r="Z56" s="11">
        <v>396</v>
      </c>
      <c r="AA56" s="11">
        <v>46728</v>
      </c>
      <c r="AB56" s="16">
        <v>118</v>
      </c>
      <c r="AC56" s="17">
        <v>0.4365</v>
      </c>
      <c r="AD56" s="16">
        <v>48.79</v>
      </c>
      <c r="AE56" s="18">
        <v>4.5</v>
      </c>
      <c r="AF56" s="11">
        <v>166</v>
      </c>
      <c r="AG56" s="19">
        <v>0.048</v>
      </c>
      <c r="AH56" s="11">
        <v>19</v>
      </c>
      <c r="AI56" s="11">
        <v>25</v>
      </c>
      <c r="AJ56" s="9" t="s">
        <v>876</v>
      </c>
      <c r="AK56" s="9" t="s">
        <v>5860</v>
      </c>
      <c r="AL56" s="21">
        <v>547</v>
      </c>
      <c r="AM56" s="21">
        <v>3</v>
      </c>
      <c r="AN56" s="21">
        <v>6</v>
      </c>
      <c r="AO56" s="10" t="s">
        <v>1515</v>
      </c>
      <c r="AP56" s="9" t="s">
        <v>65</v>
      </c>
      <c r="AQ56" s="10" t="s">
        <v>65</v>
      </c>
      <c r="AR56" s="9" t="s">
        <v>1516</v>
      </c>
      <c r="AS56" s="22" t="s">
        <v>5861</v>
      </c>
      <c r="AT56" s="22" t="s">
        <v>5862</v>
      </c>
    </row>
    <row r="57" ht="24" customHeight="1" spans="1:46">
      <c r="A57" s="9" t="str">
        <f>_xlfn.DISPIMG("ID_B34D74B16C7741D8A4C79D2BFB4C53DC",1)</f>
        <v>=DISPIMG("ID_B34D74B16C7741D8A4C79D2BFB4C53DC",1)</v>
      </c>
      <c r="B57" s="10" t="s">
        <v>5863</v>
      </c>
      <c r="C57" s="10" t="s">
        <v>5864</v>
      </c>
      <c r="D57" s="10" t="s">
        <v>5614</v>
      </c>
      <c r="E57" s="10" t="s">
        <v>5865</v>
      </c>
      <c r="F57" s="10" t="s">
        <v>5866</v>
      </c>
      <c r="G57" s="10" t="s">
        <v>5867</v>
      </c>
      <c r="H57" s="10" t="s">
        <v>5868</v>
      </c>
      <c r="I57" s="10" t="s">
        <v>5869</v>
      </c>
      <c r="J57" s="9" t="s">
        <v>934</v>
      </c>
      <c r="K57" s="10" t="s">
        <v>5275</v>
      </c>
      <c r="L57" s="10" t="s">
        <v>851</v>
      </c>
      <c r="M57" s="11">
        <v>21154</v>
      </c>
      <c r="N57" s="12" t="s">
        <v>5276</v>
      </c>
      <c r="O57" s="13" t="s">
        <v>1462</v>
      </c>
      <c r="P57" s="13" t="s">
        <v>2809</v>
      </c>
      <c r="Q57" s="13" t="s">
        <v>5870</v>
      </c>
      <c r="R57" s="13" t="s">
        <v>3170</v>
      </c>
      <c r="S57" s="13" t="s">
        <v>5278</v>
      </c>
      <c r="T57" s="13" t="s">
        <v>3174</v>
      </c>
      <c r="U57" s="14" t="s">
        <v>5473</v>
      </c>
      <c r="V57" s="14" t="s">
        <v>2821</v>
      </c>
      <c r="W57" s="14" t="s">
        <v>2865</v>
      </c>
      <c r="X57" s="14" t="s">
        <v>2823</v>
      </c>
      <c r="Y57" s="15">
        <v>1</v>
      </c>
      <c r="Z57" s="11">
        <v>384</v>
      </c>
      <c r="AA57" s="11">
        <v>109820.16</v>
      </c>
      <c r="AB57" s="16">
        <v>285.99</v>
      </c>
      <c r="AC57" s="17">
        <v>0.5808</v>
      </c>
      <c r="AD57" s="16">
        <v>76.98</v>
      </c>
      <c r="AE57" s="18">
        <v>4.5</v>
      </c>
      <c r="AF57" s="11">
        <v>1132</v>
      </c>
      <c r="AG57" s="19">
        <v>0.0625</v>
      </c>
      <c r="AH57" s="11">
        <v>24</v>
      </c>
      <c r="AI57" s="11">
        <v>139</v>
      </c>
      <c r="AJ57" s="9" t="s">
        <v>947</v>
      </c>
      <c r="AK57" s="9" t="s">
        <v>5871</v>
      </c>
      <c r="AL57" s="21">
        <v>1281</v>
      </c>
      <c r="AM57" s="21">
        <v>7</v>
      </c>
      <c r="AN57" s="21">
        <v>11</v>
      </c>
      <c r="AO57" s="10" t="s">
        <v>1515</v>
      </c>
      <c r="AP57" s="9" t="s">
        <v>65</v>
      </c>
      <c r="AQ57" s="10" t="s">
        <v>65</v>
      </c>
      <c r="AR57" s="9" t="s">
        <v>1516</v>
      </c>
      <c r="AS57" s="22" t="s">
        <v>5872</v>
      </c>
      <c r="AT57" s="22" t="s">
        <v>5873</v>
      </c>
    </row>
    <row r="58" ht="24" customHeight="1" spans="1:46">
      <c r="A58" s="9" t="str">
        <f>_xlfn.DISPIMG("ID_5F0EB52D11F749A681A96ACAF55DD3C9",1)</f>
        <v>=DISPIMG("ID_5F0EB52D11F749A681A96ACAF55DD3C9",1)</v>
      </c>
      <c r="B58" s="10" t="s">
        <v>5874</v>
      </c>
      <c r="C58" s="10" t="s">
        <v>5875</v>
      </c>
      <c r="D58" s="10" t="s">
        <v>5876</v>
      </c>
      <c r="E58" s="10" t="s">
        <v>5877</v>
      </c>
      <c r="F58" s="10" t="s">
        <v>5878</v>
      </c>
      <c r="G58" s="10" t="s">
        <v>5879</v>
      </c>
      <c r="H58" s="10" t="s">
        <v>5880</v>
      </c>
      <c r="I58" s="10" t="s">
        <v>5881</v>
      </c>
      <c r="J58" s="9" t="s">
        <v>934</v>
      </c>
      <c r="K58" s="10" t="s">
        <v>5275</v>
      </c>
      <c r="L58" s="10" t="s">
        <v>851</v>
      </c>
      <c r="M58" s="11">
        <v>26469</v>
      </c>
      <c r="N58" s="12" t="s">
        <v>5276</v>
      </c>
      <c r="O58" s="13" t="s">
        <v>1871</v>
      </c>
      <c r="P58" s="13" t="s">
        <v>2809</v>
      </c>
      <c r="Q58" s="13" t="s">
        <v>5882</v>
      </c>
      <c r="R58" s="13" t="s">
        <v>3170</v>
      </c>
      <c r="S58" s="13" t="s">
        <v>1003</v>
      </c>
      <c r="T58" s="13" t="s">
        <v>5883</v>
      </c>
      <c r="U58" s="14" t="s">
        <v>5620</v>
      </c>
      <c r="V58" s="14" t="s">
        <v>2831</v>
      </c>
      <c r="W58" s="14" t="s">
        <v>2865</v>
      </c>
      <c r="X58" s="14" t="s">
        <v>2823</v>
      </c>
      <c r="Y58" s="15">
        <v>1</v>
      </c>
      <c r="Z58" s="11">
        <v>1003</v>
      </c>
      <c r="AA58" s="11">
        <v>191573</v>
      </c>
      <c r="AB58" s="16">
        <v>191</v>
      </c>
      <c r="AC58" s="17">
        <v>0.5268</v>
      </c>
      <c r="AD58" s="16">
        <v>61.73</v>
      </c>
      <c r="AE58" s="18">
        <v>4.4</v>
      </c>
      <c r="AF58" s="11">
        <v>1325</v>
      </c>
      <c r="AG58" s="19">
        <v>0.0389</v>
      </c>
      <c r="AH58" s="11">
        <v>39</v>
      </c>
      <c r="AI58" s="11">
        <v>105</v>
      </c>
      <c r="AJ58" s="9" t="s">
        <v>876</v>
      </c>
      <c r="AK58" s="9" t="s">
        <v>5884</v>
      </c>
      <c r="AL58" s="21">
        <v>647</v>
      </c>
      <c r="AM58" s="21">
        <v>10</v>
      </c>
      <c r="AN58" s="21">
        <v>7</v>
      </c>
      <c r="AO58" s="10" t="s">
        <v>1515</v>
      </c>
      <c r="AP58" s="9" t="s">
        <v>65</v>
      </c>
      <c r="AQ58" s="10" t="s">
        <v>65</v>
      </c>
      <c r="AR58" s="9" t="s">
        <v>1516</v>
      </c>
      <c r="AS58" s="22" t="s">
        <v>5885</v>
      </c>
      <c r="AT58" s="22" t="s">
        <v>5886</v>
      </c>
    </row>
    <row r="59" ht="24" customHeight="1" spans="1:46">
      <c r="A59" s="9" t="str">
        <f>_xlfn.DISPIMG("ID_AB3A14E56A244E5C8FD85999F4A0DAB8",1)</f>
        <v>=DISPIMG("ID_AB3A14E56A244E5C8FD85999F4A0DAB8",1)</v>
      </c>
      <c r="B59" s="10" t="s">
        <v>5887</v>
      </c>
      <c r="C59" s="10" t="s">
        <v>5887</v>
      </c>
      <c r="D59" s="10" t="s">
        <v>65</v>
      </c>
      <c r="E59" s="10" t="s">
        <v>5888</v>
      </c>
      <c r="F59" s="10" t="s">
        <v>5889</v>
      </c>
      <c r="G59" s="10" t="s">
        <v>5890</v>
      </c>
      <c r="H59" s="10" t="s">
        <v>5891</v>
      </c>
      <c r="I59" s="10" t="s">
        <v>5892</v>
      </c>
      <c r="J59" s="9" t="s">
        <v>974</v>
      </c>
      <c r="K59" s="10" t="s">
        <v>5275</v>
      </c>
      <c r="L59" s="10" t="s">
        <v>851</v>
      </c>
      <c r="M59" s="11">
        <v>26522</v>
      </c>
      <c r="N59" s="12" t="s">
        <v>5276</v>
      </c>
      <c r="O59" s="13" t="s">
        <v>1674</v>
      </c>
      <c r="P59" s="13" t="s">
        <v>2986</v>
      </c>
      <c r="Q59" s="13" t="s">
        <v>5289</v>
      </c>
      <c r="R59" s="13" t="s">
        <v>3170</v>
      </c>
      <c r="S59" s="13" t="s">
        <v>5278</v>
      </c>
      <c r="T59" s="13" t="s">
        <v>3174</v>
      </c>
      <c r="U59" s="14" t="s">
        <v>3418</v>
      </c>
      <c r="V59" s="14" t="s">
        <v>2917</v>
      </c>
      <c r="W59" s="14" t="s">
        <v>5893</v>
      </c>
      <c r="X59" s="14" t="s">
        <v>2934</v>
      </c>
      <c r="Y59" s="15">
        <v>1</v>
      </c>
      <c r="Z59" s="11">
        <v>590</v>
      </c>
      <c r="AA59" s="11">
        <v>41282.3</v>
      </c>
      <c r="AB59" s="16">
        <v>69.97</v>
      </c>
      <c r="AC59" s="17">
        <v>0.6608</v>
      </c>
      <c r="AD59" s="16">
        <v>13.24</v>
      </c>
      <c r="AE59" s="18">
        <v>3</v>
      </c>
      <c r="AF59" s="11">
        <v>2</v>
      </c>
      <c r="AG59" s="19">
        <v>0.0017</v>
      </c>
      <c r="AH59" s="11">
        <v>1</v>
      </c>
      <c r="AI59" s="20"/>
      <c r="AJ59" s="9" t="s">
        <v>65</v>
      </c>
      <c r="AK59" s="9" t="s">
        <v>5894</v>
      </c>
      <c r="AL59" s="21">
        <v>40</v>
      </c>
      <c r="AM59" s="21">
        <v>1</v>
      </c>
      <c r="AN59" s="21">
        <v>1</v>
      </c>
      <c r="AO59" s="10" t="s">
        <v>5895</v>
      </c>
      <c r="AP59" s="9" t="s">
        <v>1288</v>
      </c>
      <c r="AQ59" s="10" t="s">
        <v>5896</v>
      </c>
      <c r="AR59" s="9" t="s">
        <v>2728</v>
      </c>
      <c r="AS59" s="22" t="s">
        <v>5897</v>
      </c>
      <c r="AT59" s="22" t="s">
        <v>5898</v>
      </c>
    </row>
    <row r="60" ht="24" customHeight="1" spans="1:46">
      <c r="A60" s="9" t="str">
        <f>_xlfn.DISPIMG("ID_3359035A0EB4486C8E0C99C324D9369E",1)</f>
        <v>=DISPIMG("ID_3359035A0EB4486C8E0C99C324D9369E",1)</v>
      </c>
      <c r="B60" s="10" t="s">
        <v>5899</v>
      </c>
      <c r="C60" s="10" t="s">
        <v>5900</v>
      </c>
      <c r="D60" s="10" t="s">
        <v>3196</v>
      </c>
      <c r="E60" s="10" t="s">
        <v>5901</v>
      </c>
      <c r="F60" s="10" t="s">
        <v>5902</v>
      </c>
      <c r="G60" s="10" t="s">
        <v>5789</v>
      </c>
      <c r="H60" s="10" t="s">
        <v>5903</v>
      </c>
      <c r="I60" s="10" t="s">
        <v>5904</v>
      </c>
      <c r="J60" s="9" t="s">
        <v>974</v>
      </c>
      <c r="K60" s="10" t="s">
        <v>5845</v>
      </c>
      <c r="L60" s="10" t="s">
        <v>851</v>
      </c>
      <c r="M60" s="11">
        <v>27331</v>
      </c>
      <c r="N60" s="12" t="s">
        <v>5276</v>
      </c>
      <c r="O60" s="13" t="s">
        <v>1472</v>
      </c>
      <c r="P60" s="13" t="s">
        <v>2809</v>
      </c>
      <c r="Q60" s="13" t="s">
        <v>5289</v>
      </c>
      <c r="R60" s="13" t="s">
        <v>3170</v>
      </c>
      <c r="S60" s="13" t="s">
        <v>5278</v>
      </c>
      <c r="T60" s="13" t="s">
        <v>5371</v>
      </c>
      <c r="U60" s="14" t="s">
        <v>3418</v>
      </c>
      <c r="V60" s="14" t="s">
        <v>2867</v>
      </c>
      <c r="W60" s="14" t="s">
        <v>2865</v>
      </c>
      <c r="X60" s="14" t="s">
        <v>2940</v>
      </c>
      <c r="Y60" s="15">
        <v>1</v>
      </c>
      <c r="Z60" s="11">
        <v>907</v>
      </c>
      <c r="AA60" s="11">
        <v>63480.93</v>
      </c>
      <c r="AB60" s="16">
        <v>69.99</v>
      </c>
      <c r="AC60" s="17">
        <v>0.6423</v>
      </c>
      <c r="AD60" s="16">
        <v>14.54</v>
      </c>
      <c r="AE60" s="18">
        <v>4.3</v>
      </c>
      <c r="AF60" s="11">
        <v>231</v>
      </c>
      <c r="AG60" s="19">
        <v>0.0143</v>
      </c>
      <c r="AH60" s="11">
        <v>13</v>
      </c>
      <c r="AI60" s="11">
        <v>3</v>
      </c>
      <c r="AJ60" s="9" t="s">
        <v>947</v>
      </c>
      <c r="AK60" s="9" t="s">
        <v>5905</v>
      </c>
      <c r="AL60" s="21">
        <v>446</v>
      </c>
      <c r="AM60" s="21">
        <v>3</v>
      </c>
      <c r="AN60" s="21">
        <v>2</v>
      </c>
      <c r="AO60" s="10" t="s">
        <v>5906</v>
      </c>
      <c r="AP60" s="9" t="s">
        <v>1288</v>
      </c>
      <c r="AQ60" s="10" t="s">
        <v>5907</v>
      </c>
      <c r="AR60" s="9" t="s">
        <v>997</v>
      </c>
      <c r="AS60" s="22" t="s">
        <v>4234</v>
      </c>
      <c r="AT60" s="22" t="s">
        <v>5796</v>
      </c>
    </row>
    <row r="61" ht="24" customHeight="1" spans="1:46">
      <c r="A61" s="9" t="str">
        <f>_xlfn.DISPIMG("ID_B6F6933EE62E4A53A886A471662C86DA",1)</f>
        <v>=DISPIMG("ID_B6F6933EE62E4A53A886A471662C86DA",1)</v>
      </c>
      <c r="B61" s="10" t="s">
        <v>5908</v>
      </c>
      <c r="C61" s="10" t="s">
        <v>5909</v>
      </c>
      <c r="D61" s="10" t="s">
        <v>3196</v>
      </c>
      <c r="E61" s="10" t="s">
        <v>5910</v>
      </c>
      <c r="F61" s="10" t="s">
        <v>5911</v>
      </c>
      <c r="G61" s="10" t="s">
        <v>5912</v>
      </c>
      <c r="H61" s="10" t="s">
        <v>5913</v>
      </c>
      <c r="I61" s="10" t="s">
        <v>5914</v>
      </c>
      <c r="J61" s="9" t="s">
        <v>974</v>
      </c>
      <c r="K61" s="10" t="s">
        <v>5915</v>
      </c>
      <c r="L61" s="10" t="s">
        <v>851</v>
      </c>
      <c r="M61" s="11">
        <v>30006</v>
      </c>
      <c r="N61" s="12" t="s">
        <v>5276</v>
      </c>
      <c r="O61" s="13" t="s">
        <v>1553</v>
      </c>
      <c r="P61" s="13" t="s">
        <v>2809</v>
      </c>
      <c r="Q61" s="13" t="s">
        <v>5631</v>
      </c>
      <c r="R61" s="13" t="s">
        <v>3170</v>
      </c>
      <c r="S61" s="13" t="s">
        <v>1003</v>
      </c>
      <c r="T61" s="13" t="s">
        <v>5359</v>
      </c>
      <c r="U61" s="14" t="s">
        <v>5713</v>
      </c>
      <c r="V61" s="14" t="s">
        <v>2883</v>
      </c>
      <c r="W61" s="14" t="s">
        <v>2865</v>
      </c>
      <c r="X61" s="14" t="s">
        <v>2979</v>
      </c>
      <c r="Y61" s="15">
        <v>1</v>
      </c>
      <c r="Z61" s="11">
        <v>55</v>
      </c>
      <c r="AA61" s="11">
        <v>5499.4497</v>
      </c>
      <c r="AB61" s="16">
        <v>99.99</v>
      </c>
      <c r="AC61" s="17">
        <v>0.5656</v>
      </c>
      <c r="AD61" s="16">
        <v>28.44</v>
      </c>
      <c r="AE61" s="18">
        <v>4.5</v>
      </c>
      <c r="AF61" s="11">
        <v>95</v>
      </c>
      <c r="AG61" s="19">
        <v>0.2</v>
      </c>
      <c r="AH61" s="11">
        <v>11</v>
      </c>
      <c r="AI61" s="11">
        <v>13</v>
      </c>
      <c r="AJ61" s="9" t="s">
        <v>947</v>
      </c>
      <c r="AK61" s="9" t="s">
        <v>5916</v>
      </c>
      <c r="AL61" s="21">
        <v>248</v>
      </c>
      <c r="AM61" s="21">
        <v>1</v>
      </c>
      <c r="AN61" s="21">
        <v>1</v>
      </c>
      <c r="AO61" s="10" t="s">
        <v>5917</v>
      </c>
      <c r="AP61" s="9" t="s">
        <v>1288</v>
      </c>
      <c r="AQ61" s="10" t="s">
        <v>5918</v>
      </c>
      <c r="AR61" s="9" t="s">
        <v>2728</v>
      </c>
      <c r="AS61" s="22" t="s">
        <v>5919</v>
      </c>
      <c r="AT61" s="22" t="s">
        <v>5920</v>
      </c>
    </row>
    <row r="62" ht="24" customHeight="1" spans="1:46">
      <c r="A62" s="9" t="str">
        <f>_xlfn.DISPIMG("ID_A3DDCA6D77094E39B18E031C5634CB19",1)</f>
        <v>=DISPIMG("ID_A3DDCA6D77094E39B18E031C5634CB19",1)</v>
      </c>
      <c r="B62" s="10" t="s">
        <v>5921</v>
      </c>
      <c r="C62" s="10" t="s">
        <v>5922</v>
      </c>
      <c r="D62" s="10" t="s">
        <v>2250</v>
      </c>
      <c r="E62" s="10" t="s">
        <v>5923</v>
      </c>
      <c r="F62" s="10" t="s">
        <v>5924</v>
      </c>
      <c r="G62" s="10" t="s">
        <v>5925</v>
      </c>
      <c r="H62" s="10" t="s">
        <v>5926</v>
      </c>
      <c r="I62" s="10" t="s">
        <v>5927</v>
      </c>
      <c r="J62" s="9" t="s">
        <v>934</v>
      </c>
      <c r="K62" s="10" t="s">
        <v>5275</v>
      </c>
      <c r="L62" s="10" t="s">
        <v>851</v>
      </c>
      <c r="M62" s="11">
        <v>31157</v>
      </c>
      <c r="N62" s="12" t="s">
        <v>5276</v>
      </c>
      <c r="O62" s="13" t="s">
        <v>5928</v>
      </c>
      <c r="P62" s="13" t="s">
        <v>2852</v>
      </c>
      <c r="Q62" s="13" t="s">
        <v>5619</v>
      </c>
      <c r="R62" s="13" t="s">
        <v>3170</v>
      </c>
      <c r="S62" s="13" t="s">
        <v>1003</v>
      </c>
      <c r="T62" s="13" t="s">
        <v>3174</v>
      </c>
      <c r="U62" s="14" t="s">
        <v>5929</v>
      </c>
      <c r="V62" s="14" t="s">
        <v>2831</v>
      </c>
      <c r="W62" s="14" t="s">
        <v>2865</v>
      </c>
      <c r="X62" s="14" t="s">
        <v>2940</v>
      </c>
      <c r="Y62" s="15">
        <v>1</v>
      </c>
      <c r="Z62" s="11">
        <v>409</v>
      </c>
      <c r="AA62" s="11">
        <v>85885.914</v>
      </c>
      <c r="AB62" s="16">
        <v>209.99</v>
      </c>
      <c r="AC62" s="17">
        <v>0.85</v>
      </c>
      <c r="AD62" s="27"/>
      <c r="AE62" s="18">
        <v>4.3</v>
      </c>
      <c r="AF62" s="11">
        <v>299</v>
      </c>
      <c r="AG62" s="19">
        <v>0.0513</v>
      </c>
      <c r="AH62" s="11">
        <v>21</v>
      </c>
      <c r="AI62" s="11">
        <v>58</v>
      </c>
      <c r="AJ62" s="9" t="s">
        <v>876</v>
      </c>
      <c r="AK62" s="9" t="s">
        <v>5449</v>
      </c>
      <c r="AL62" s="21">
        <v>673</v>
      </c>
      <c r="AM62" s="21">
        <v>2</v>
      </c>
      <c r="AN62" s="21">
        <v>1</v>
      </c>
      <c r="AO62" s="10" t="s">
        <v>5930</v>
      </c>
      <c r="AP62" s="9" t="s">
        <v>65</v>
      </c>
      <c r="AQ62" s="10" t="s">
        <v>65</v>
      </c>
      <c r="AR62" s="9" t="s">
        <v>2728</v>
      </c>
      <c r="AS62" s="28"/>
      <c r="AT62" s="22" t="s">
        <v>5931</v>
      </c>
    </row>
    <row r="63" ht="24" customHeight="1" spans="1:46">
      <c r="A63" s="9" t="str">
        <f>_xlfn.DISPIMG("ID_EF65D598EDAF4C17857943433C0BF136",1)</f>
        <v>=DISPIMG("ID_EF65D598EDAF4C17857943433C0BF136",1)</v>
      </c>
      <c r="B63" s="10" t="s">
        <v>5932</v>
      </c>
      <c r="C63" s="10" t="s">
        <v>5933</v>
      </c>
      <c r="D63" s="10" t="s">
        <v>5269</v>
      </c>
      <c r="E63" s="10" t="s">
        <v>5934</v>
      </c>
      <c r="F63" s="10" t="s">
        <v>5935</v>
      </c>
      <c r="G63" s="10" t="s">
        <v>5604</v>
      </c>
      <c r="H63" s="10" t="s">
        <v>5936</v>
      </c>
      <c r="I63" s="10" t="s">
        <v>5937</v>
      </c>
      <c r="J63" s="9" t="s">
        <v>1634</v>
      </c>
      <c r="K63" s="10" t="s">
        <v>5275</v>
      </c>
      <c r="L63" s="10" t="s">
        <v>5607</v>
      </c>
      <c r="M63" s="11">
        <v>8173</v>
      </c>
      <c r="N63" s="12" t="s">
        <v>5276</v>
      </c>
      <c r="O63" s="13" t="s">
        <v>3980</v>
      </c>
      <c r="P63" s="13" t="s">
        <v>2986</v>
      </c>
      <c r="Q63" s="13" t="s">
        <v>5289</v>
      </c>
      <c r="R63" s="13" t="s">
        <v>5438</v>
      </c>
      <c r="S63" s="13" t="s">
        <v>1003</v>
      </c>
      <c r="T63" s="13" t="s">
        <v>3174</v>
      </c>
      <c r="U63" s="14" t="s">
        <v>3246</v>
      </c>
      <c r="V63" s="14" t="s">
        <v>2917</v>
      </c>
      <c r="W63" s="14" t="s">
        <v>2930</v>
      </c>
      <c r="X63" s="14" t="s">
        <v>2979</v>
      </c>
      <c r="Y63" s="15">
        <v>1</v>
      </c>
      <c r="Z63" s="11">
        <v>5138</v>
      </c>
      <c r="AA63" s="11">
        <v>322666.4</v>
      </c>
      <c r="AB63" s="16">
        <v>62.5</v>
      </c>
      <c r="AC63" s="17">
        <v>0.6266</v>
      </c>
      <c r="AD63" s="16">
        <v>14.03</v>
      </c>
      <c r="AE63" s="18">
        <v>4.1</v>
      </c>
      <c r="AF63" s="11">
        <v>90</v>
      </c>
      <c r="AG63" s="19">
        <v>0.0035</v>
      </c>
      <c r="AH63" s="11">
        <v>18</v>
      </c>
      <c r="AI63" s="11">
        <v>6</v>
      </c>
      <c r="AJ63" s="9" t="s">
        <v>1267</v>
      </c>
      <c r="AK63" s="9" t="s">
        <v>3671</v>
      </c>
      <c r="AL63" s="21">
        <v>155</v>
      </c>
      <c r="AM63" s="21">
        <v>3</v>
      </c>
      <c r="AN63" s="21">
        <v>8</v>
      </c>
      <c r="AO63" s="10" t="s">
        <v>1515</v>
      </c>
      <c r="AP63" s="9" t="s">
        <v>65</v>
      </c>
      <c r="AQ63" s="10" t="s">
        <v>65</v>
      </c>
      <c r="AR63" s="9" t="s">
        <v>1516</v>
      </c>
      <c r="AS63" s="22" t="s">
        <v>5938</v>
      </c>
      <c r="AT63" s="22" t="s">
        <v>5939</v>
      </c>
    </row>
    <row r="64" ht="24" customHeight="1" spans="1:46">
      <c r="A64" s="9" t="str">
        <f>_xlfn.DISPIMG("ID_11FD34BFC63147058C904E2FB9871FEF",1)</f>
        <v>=DISPIMG("ID_11FD34BFC63147058C904E2FB9871FEF",1)</v>
      </c>
      <c r="B64" s="10" t="s">
        <v>5940</v>
      </c>
      <c r="C64" s="10" t="s">
        <v>5940</v>
      </c>
      <c r="D64" s="10" t="s">
        <v>65</v>
      </c>
      <c r="E64" s="10" t="s">
        <v>5941</v>
      </c>
      <c r="F64" s="10" t="s">
        <v>5942</v>
      </c>
      <c r="G64" s="10" t="s">
        <v>5943</v>
      </c>
      <c r="H64" s="10" t="s">
        <v>5944</v>
      </c>
      <c r="I64" s="10" t="s">
        <v>5945</v>
      </c>
      <c r="J64" s="9" t="s">
        <v>65</v>
      </c>
      <c r="K64" s="10" t="s">
        <v>5275</v>
      </c>
      <c r="L64" s="10" t="s">
        <v>851</v>
      </c>
      <c r="M64" s="11">
        <v>32138</v>
      </c>
      <c r="N64" s="12" t="s">
        <v>5276</v>
      </c>
      <c r="O64" s="13" t="s">
        <v>1578</v>
      </c>
      <c r="P64" s="13" t="s">
        <v>2852</v>
      </c>
      <c r="Q64" s="13" t="s">
        <v>5277</v>
      </c>
      <c r="R64" s="13" t="s">
        <v>3170</v>
      </c>
      <c r="S64" s="13" t="s">
        <v>5278</v>
      </c>
      <c r="T64" s="13" t="s">
        <v>2896</v>
      </c>
      <c r="U64" s="14" t="s">
        <v>3310</v>
      </c>
      <c r="V64" s="14" t="s">
        <v>2917</v>
      </c>
      <c r="W64" s="14" t="s">
        <v>2822</v>
      </c>
      <c r="X64" s="14" t="s">
        <v>2979</v>
      </c>
      <c r="Y64" s="15">
        <v>1</v>
      </c>
      <c r="Z64" s="11">
        <v>72</v>
      </c>
      <c r="AA64" s="11">
        <v>3599.28</v>
      </c>
      <c r="AB64" s="16">
        <v>49.99</v>
      </c>
      <c r="AC64" s="17">
        <v>0.6982</v>
      </c>
      <c r="AD64" s="16">
        <v>7.59</v>
      </c>
      <c r="AE64" s="29"/>
      <c r="AF64" s="20"/>
      <c r="AG64" s="19">
        <v>0</v>
      </c>
      <c r="AH64" s="20"/>
      <c r="AI64" s="20"/>
      <c r="AJ64" s="9" t="s">
        <v>65</v>
      </c>
      <c r="AK64" s="9" t="s">
        <v>5946</v>
      </c>
      <c r="AL64" s="21">
        <v>15</v>
      </c>
      <c r="AM64" s="21">
        <v>1</v>
      </c>
      <c r="AN64" s="21">
        <v>1</v>
      </c>
      <c r="AO64" s="10" t="s">
        <v>1515</v>
      </c>
      <c r="AP64" s="9" t="s">
        <v>65</v>
      </c>
      <c r="AQ64" s="10" t="s">
        <v>65</v>
      </c>
      <c r="AR64" s="9" t="s">
        <v>1516</v>
      </c>
      <c r="AS64" s="22" t="s">
        <v>5361</v>
      </c>
      <c r="AT64" s="22" t="s">
        <v>5947</v>
      </c>
    </row>
    <row r="65" ht="24" customHeight="1" spans="1:46">
      <c r="A65" s="9" t="str">
        <f>_xlfn.DISPIMG("ID_9DF9CEB498FB418992E800BFCF5AD6D3",1)</f>
        <v>=DISPIMG("ID_9DF9CEB498FB418992E800BFCF5AD6D3",1)</v>
      </c>
      <c r="B65" s="10" t="s">
        <v>5948</v>
      </c>
      <c r="C65" s="10" t="s">
        <v>5949</v>
      </c>
      <c r="D65" s="10" t="s">
        <v>5950</v>
      </c>
      <c r="E65" s="10" t="s">
        <v>5951</v>
      </c>
      <c r="F65" s="10" t="s">
        <v>5952</v>
      </c>
      <c r="G65" s="10" t="s">
        <v>5319</v>
      </c>
      <c r="H65" s="10" t="s">
        <v>5953</v>
      </c>
      <c r="I65" s="10" t="s">
        <v>5954</v>
      </c>
      <c r="J65" s="9" t="s">
        <v>934</v>
      </c>
      <c r="K65" s="10" t="s">
        <v>5275</v>
      </c>
      <c r="L65" s="10" t="s">
        <v>5300</v>
      </c>
      <c r="M65" s="11">
        <v>13598</v>
      </c>
      <c r="N65" s="12" t="s">
        <v>5322</v>
      </c>
      <c r="O65" s="13" t="s">
        <v>5955</v>
      </c>
      <c r="P65" s="13" t="s">
        <v>2809</v>
      </c>
      <c r="Q65" s="13" t="s">
        <v>5336</v>
      </c>
      <c r="R65" s="13" t="s">
        <v>3170</v>
      </c>
      <c r="S65" s="13" t="s">
        <v>5278</v>
      </c>
      <c r="T65" s="13" t="s">
        <v>3174</v>
      </c>
      <c r="U65" s="14" t="s">
        <v>5713</v>
      </c>
      <c r="V65" s="14" t="s">
        <v>2831</v>
      </c>
      <c r="W65" s="14" t="s">
        <v>2930</v>
      </c>
      <c r="X65" s="14" t="s">
        <v>2823</v>
      </c>
      <c r="Y65" s="15">
        <v>1</v>
      </c>
      <c r="Z65" s="11">
        <v>423</v>
      </c>
      <c r="AA65" s="11">
        <v>35950.77</v>
      </c>
      <c r="AB65" s="16">
        <v>84.99</v>
      </c>
      <c r="AC65" s="17">
        <v>0.638</v>
      </c>
      <c r="AD65" s="16">
        <v>18.02</v>
      </c>
      <c r="AE65" s="18">
        <v>4.1</v>
      </c>
      <c r="AF65" s="11">
        <v>1183</v>
      </c>
      <c r="AG65" s="19">
        <v>0</v>
      </c>
      <c r="AH65" s="11">
        <v>0</v>
      </c>
      <c r="AI65" s="11">
        <v>45</v>
      </c>
      <c r="AJ65" s="9" t="s">
        <v>876</v>
      </c>
      <c r="AK65" s="9" t="s">
        <v>5956</v>
      </c>
      <c r="AL65" s="21">
        <v>651</v>
      </c>
      <c r="AM65" s="21">
        <v>2</v>
      </c>
      <c r="AN65" s="21">
        <v>2</v>
      </c>
      <c r="AO65" s="10" t="s">
        <v>5325</v>
      </c>
      <c r="AP65" s="9" t="s">
        <v>1110</v>
      </c>
      <c r="AQ65" s="10" t="s">
        <v>5326</v>
      </c>
      <c r="AR65" s="9" t="s">
        <v>997</v>
      </c>
      <c r="AS65" s="22" t="s">
        <v>5957</v>
      </c>
      <c r="AT65" s="22" t="s">
        <v>5958</v>
      </c>
    </row>
    <row r="66" ht="24" customHeight="1" spans="1:46">
      <c r="A66" s="9" t="str">
        <f>_xlfn.DISPIMG("ID_F8BE4921899840688F15C3F81A5DF87E",1)</f>
        <v>=DISPIMG("ID_F8BE4921899840688F15C3F81A5DF87E",1)</v>
      </c>
      <c r="B66" s="10" t="s">
        <v>5959</v>
      </c>
      <c r="C66" s="10" t="s">
        <v>5960</v>
      </c>
      <c r="D66" s="10" t="s">
        <v>5961</v>
      </c>
      <c r="E66" s="10" t="s">
        <v>5962</v>
      </c>
      <c r="F66" s="10" t="s">
        <v>5963</v>
      </c>
      <c r="G66" s="10" t="s">
        <v>5964</v>
      </c>
      <c r="H66" s="10" t="s">
        <v>5965</v>
      </c>
      <c r="I66" s="10" t="s">
        <v>5966</v>
      </c>
      <c r="J66" s="9" t="s">
        <v>934</v>
      </c>
      <c r="K66" s="10" t="s">
        <v>5275</v>
      </c>
      <c r="L66" s="10" t="s">
        <v>5846</v>
      </c>
      <c r="M66" s="11">
        <v>2851</v>
      </c>
      <c r="N66" s="12" t="s">
        <v>5967</v>
      </c>
      <c r="O66" s="13" t="s">
        <v>5968</v>
      </c>
      <c r="P66" s="13" t="s">
        <v>3005</v>
      </c>
      <c r="Q66" s="13" t="s">
        <v>5336</v>
      </c>
      <c r="R66" s="13" t="s">
        <v>3170</v>
      </c>
      <c r="S66" s="13" t="s">
        <v>5278</v>
      </c>
      <c r="T66" s="13" t="s">
        <v>3174</v>
      </c>
      <c r="U66" s="14" t="s">
        <v>5337</v>
      </c>
      <c r="V66" s="14" t="s">
        <v>2821</v>
      </c>
      <c r="W66" s="14" t="s">
        <v>2865</v>
      </c>
      <c r="X66" s="14" t="s">
        <v>2911</v>
      </c>
      <c r="Y66" s="15">
        <v>1</v>
      </c>
      <c r="Z66" s="24">
        <v>273</v>
      </c>
      <c r="AA66" s="24">
        <f>Z66*AB66</f>
        <v>21826.35</v>
      </c>
      <c r="AB66" s="25">
        <v>79.95</v>
      </c>
      <c r="AC66" s="17">
        <v>0</v>
      </c>
      <c r="AD66" s="27"/>
      <c r="AE66" s="18">
        <v>4.3</v>
      </c>
      <c r="AF66" s="11">
        <v>705</v>
      </c>
      <c r="AG66" s="19">
        <v>0</v>
      </c>
      <c r="AH66" s="11">
        <v>2</v>
      </c>
      <c r="AI66" s="11">
        <v>43</v>
      </c>
      <c r="AJ66" s="9" t="s">
        <v>947</v>
      </c>
      <c r="AK66" s="9" t="s">
        <v>5969</v>
      </c>
      <c r="AL66" s="21">
        <v>1282</v>
      </c>
      <c r="AM66" s="21">
        <v>2</v>
      </c>
      <c r="AN66" s="21">
        <v>2</v>
      </c>
      <c r="AO66" s="10" t="s">
        <v>5970</v>
      </c>
      <c r="AP66" s="9" t="s">
        <v>65</v>
      </c>
      <c r="AQ66" s="10" t="s">
        <v>65</v>
      </c>
      <c r="AR66" s="9" t="s">
        <v>997</v>
      </c>
      <c r="AS66" s="22" t="s">
        <v>5971</v>
      </c>
      <c r="AT66" s="22" t="s">
        <v>5972</v>
      </c>
    </row>
    <row r="67" ht="24" customHeight="1" spans="1:46">
      <c r="A67" s="9" t="str">
        <f>_xlfn.DISPIMG("ID_17677B52920E4B909A41A0EFEB078404",1)</f>
        <v>=DISPIMG("ID_17677B52920E4B909A41A0EFEB078404",1)</v>
      </c>
      <c r="B67" s="10" t="s">
        <v>5973</v>
      </c>
      <c r="C67" s="10" t="s">
        <v>5974</v>
      </c>
      <c r="D67" s="10" t="s">
        <v>3196</v>
      </c>
      <c r="E67" s="10" t="s">
        <v>5975</v>
      </c>
      <c r="F67" s="10" t="s">
        <v>5976</v>
      </c>
      <c r="G67" s="10" t="s">
        <v>5977</v>
      </c>
      <c r="H67" s="10" t="s">
        <v>5978</v>
      </c>
      <c r="I67" s="10" t="s">
        <v>5979</v>
      </c>
      <c r="J67" s="9" t="s">
        <v>974</v>
      </c>
      <c r="K67" s="10" t="s">
        <v>5275</v>
      </c>
      <c r="L67" s="10" t="s">
        <v>851</v>
      </c>
      <c r="M67" s="11">
        <v>33732</v>
      </c>
      <c r="N67" s="12" t="s">
        <v>5276</v>
      </c>
      <c r="O67" s="13" t="s">
        <v>1524</v>
      </c>
      <c r="P67" s="13" t="s">
        <v>2809</v>
      </c>
      <c r="Q67" s="13" t="s">
        <v>5336</v>
      </c>
      <c r="R67" s="13" t="s">
        <v>3170</v>
      </c>
      <c r="S67" s="13" t="s">
        <v>5278</v>
      </c>
      <c r="T67" s="13" t="s">
        <v>3174</v>
      </c>
      <c r="U67" s="14" t="s">
        <v>3790</v>
      </c>
      <c r="V67" s="14" t="s">
        <v>2900</v>
      </c>
      <c r="W67" s="14" t="s">
        <v>2993</v>
      </c>
      <c r="X67" s="14" t="s">
        <v>2884</v>
      </c>
      <c r="Y67" s="15">
        <v>1</v>
      </c>
      <c r="Z67" s="11">
        <v>408</v>
      </c>
      <c r="AA67" s="11">
        <v>22027.92</v>
      </c>
      <c r="AB67" s="16">
        <v>53.99</v>
      </c>
      <c r="AC67" s="17">
        <v>0.531</v>
      </c>
      <c r="AD67" s="16">
        <v>17.22</v>
      </c>
      <c r="AE67" s="18">
        <v>4</v>
      </c>
      <c r="AF67" s="11">
        <v>439</v>
      </c>
      <c r="AG67" s="19">
        <v>0.0466</v>
      </c>
      <c r="AH67" s="11">
        <v>19</v>
      </c>
      <c r="AI67" s="11">
        <v>11</v>
      </c>
      <c r="AJ67" s="9" t="s">
        <v>947</v>
      </c>
      <c r="AK67" s="9" t="s">
        <v>5980</v>
      </c>
      <c r="AL67" s="21">
        <v>732</v>
      </c>
      <c r="AM67" s="21">
        <v>3</v>
      </c>
      <c r="AN67" s="21">
        <v>12</v>
      </c>
      <c r="AO67" s="10" t="s">
        <v>1515</v>
      </c>
      <c r="AP67" s="9" t="s">
        <v>65</v>
      </c>
      <c r="AQ67" s="10" t="s">
        <v>65</v>
      </c>
      <c r="AR67" s="9" t="s">
        <v>1516</v>
      </c>
      <c r="AS67" s="22" t="s">
        <v>5981</v>
      </c>
      <c r="AT67" s="22" t="s">
        <v>5982</v>
      </c>
    </row>
    <row r="68" ht="24" customHeight="1" spans="1:46">
      <c r="A68" s="9" t="str">
        <f>_xlfn.DISPIMG("ID_13A80C1178744CF29D918BDB01BA63E7",1)</f>
        <v>=DISPIMG("ID_13A80C1178744CF29D918BDB01BA63E7",1)</v>
      </c>
      <c r="B68" s="10" t="s">
        <v>5983</v>
      </c>
      <c r="C68" s="10" t="s">
        <v>5984</v>
      </c>
      <c r="D68" s="10" t="s">
        <v>5985</v>
      </c>
      <c r="E68" s="10" t="s">
        <v>5986</v>
      </c>
      <c r="F68" s="10" t="s">
        <v>5987</v>
      </c>
      <c r="G68" s="10" t="s">
        <v>3854</v>
      </c>
      <c r="H68" s="10" t="s">
        <v>5988</v>
      </c>
      <c r="I68" s="10" t="s">
        <v>5989</v>
      </c>
      <c r="J68" s="9" t="s">
        <v>934</v>
      </c>
      <c r="K68" s="10" t="s">
        <v>5275</v>
      </c>
      <c r="L68" s="10" t="s">
        <v>851</v>
      </c>
      <c r="M68" s="11">
        <v>35392</v>
      </c>
      <c r="N68" s="12" t="s">
        <v>5276</v>
      </c>
      <c r="O68" s="13" t="s">
        <v>1491</v>
      </c>
      <c r="P68" s="13" t="s">
        <v>2809</v>
      </c>
      <c r="Q68" s="13" t="s">
        <v>5619</v>
      </c>
      <c r="R68" s="13" t="s">
        <v>3170</v>
      </c>
      <c r="S68" s="13" t="s">
        <v>1003</v>
      </c>
      <c r="T68" s="13" t="s">
        <v>3174</v>
      </c>
      <c r="U68" s="14" t="s">
        <v>5383</v>
      </c>
      <c r="V68" s="14" t="s">
        <v>2821</v>
      </c>
      <c r="W68" s="14" t="s">
        <v>2865</v>
      </c>
      <c r="X68" s="14" t="s">
        <v>2823</v>
      </c>
      <c r="Y68" s="15">
        <v>1</v>
      </c>
      <c r="Z68" s="11">
        <v>335</v>
      </c>
      <c r="AA68" s="11">
        <v>56615</v>
      </c>
      <c r="AB68" s="16">
        <v>169</v>
      </c>
      <c r="AC68" s="17">
        <v>0.5039</v>
      </c>
      <c r="AD68" s="16">
        <v>58.5</v>
      </c>
      <c r="AE68" s="18">
        <v>4.3</v>
      </c>
      <c r="AF68" s="11">
        <v>1368</v>
      </c>
      <c r="AG68" s="19">
        <v>0.0806</v>
      </c>
      <c r="AH68" s="11">
        <v>27</v>
      </c>
      <c r="AI68" s="11">
        <v>74</v>
      </c>
      <c r="AJ68" s="9" t="s">
        <v>947</v>
      </c>
      <c r="AK68" s="9" t="s">
        <v>5990</v>
      </c>
      <c r="AL68" s="21">
        <v>1417</v>
      </c>
      <c r="AM68" s="21">
        <v>6</v>
      </c>
      <c r="AN68" s="21">
        <v>8</v>
      </c>
      <c r="AO68" s="10" t="s">
        <v>1515</v>
      </c>
      <c r="AP68" s="9" t="s">
        <v>65</v>
      </c>
      <c r="AQ68" s="10" t="s">
        <v>65</v>
      </c>
      <c r="AR68" s="9" t="s">
        <v>1516</v>
      </c>
      <c r="AS68" s="22" t="s">
        <v>5991</v>
      </c>
      <c r="AT68" s="22" t="s">
        <v>5992</v>
      </c>
    </row>
    <row r="69" ht="24" customHeight="1" spans="1:46">
      <c r="A69" s="9" t="str">
        <f>_xlfn.DISPIMG("ID_CFBCF60568A54DB0BB543CEC31D52218",1)</f>
        <v>=DISPIMG("ID_CFBCF60568A54DB0BB543CEC31D52218",1)</v>
      </c>
      <c r="B69" s="10" t="s">
        <v>5993</v>
      </c>
      <c r="C69" s="10" t="s">
        <v>5994</v>
      </c>
      <c r="D69" s="10" t="s">
        <v>2250</v>
      </c>
      <c r="E69" s="10" t="s">
        <v>5995</v>
      </c>
      <c r="F69" s="10" t="s">
        <v>5996</v>
      </c>
      <c r="G69" s="10" t="s">
        <v>1511</v>
      </c>
      <c r="H69" s="10" t="s">
        <v>5997</v>
      </c>
      <c r="I69" s="10" t="s">
        <v>5998</v>
      </c>
      <c r="J69" s="9" t="s">
        <v>934</v>
      </c>
      <c r="K69" s="10" t="s">
        <v>5275</v>
      </c>
      <c r="L69" s="10" t="s">
        <v>851</v>
      </c>
      <c r="M69" s="11">
        <v>35596</v>
      </c>
      <c r="N69" s="12" t="s">
        <v>5276</v>
      </c>
      <c r="O69" s="13" t="s">
        <v>1682</v>
      </c>
      <c r="P69" s="13" t="s">
        <v>2852</v>
      </c>
      <c r="Q69" s="13" t="s">
        <v>5882</v>
      </c>
      <c r="R69" s="13" t="s">
        <v>3170</v>
      </c>
      <c r="S69" s="13" t="s">
        <v>1003</v>
      </c>
      <c r="T69" s="13" t="s">
        <v>3174</v>
      </c>
      <c r="U69" s="14" t="s">
        <v>5620</v>
      </c>
      <c r="V69" s="14" t="s">
        <v>2867</v>
      </c>
      <c r="W69" s="14" t="s">
        <v>2865</v>
      </c>
      <c r="X69" s="14" t="s">
        <v>2979</v>
      </c>
      <c r="Y69" s="15">
        <v>1</v>
      </c>
      <c r="Z69" s="11">
        <v>325</v>
      </c>
      <c r="AA69" s="11">
        <v>64675</v>
      </c>
      <c r="AB69" s="16">
        <v>199</v>
      </c>
      <c r="AC69" s="17">
        <v>0.5236</v>
      </c>
      <c r="AD69" s="16">
        <v>64.96</v>
      </c>
      <c r="AE69" s="18">
        <v>4.5</v>
      </c>
      <c r="AF69" s="11">
        <v>75</v>
      </c>
      <c r="AG69" s="19">
        <v>0.0215</v>
      </c>
      <c r="AH69" s="11">
        <v>7</v>
      </c>
      <c r="AI69" s="11">
        <v>7</v>
      </c>
      <c r="AJ69" s="9" t="s">
        <v>854</v>
      </c>
      <c r="AK69" s="9" t="s">
        <v>5999</v>
      </c>
      <c r="AL69" s="21">
        <v>467</v>
      </c>
      <c r="AM69" s="21">
        <v>1</v>
      </c>
      <c r="AN69" s="21">
        <v>1</v>
      </c>
      <c r="AO69" s="10" t="s">
        <v>867</v>
      </c>
      <c r="AP69" s="9" t="s">
        <v>65</v>
      </c>
      <c r="AQ69" s="10" t="s">
        <v>65</v>
      </c>
      <c r="AR69" s="9" t="s">
        <v>856</v>
      </c>
      <c r="AS69" s="22" t="s">
        <v>6000</v>
      </c>
      <c r="AT69" s="22" t="s">
        <v>6001</v>
      </c>
    </row>
    <row r="70" ht="24" customHeight="1" spans="1:46">
      <c r="A70" s="9" t="str">
        <f>_xlfn.DISPIMG("ID_3A4664C99AFD4734985F7B07EDFAB71E",1)</f>
        <v>=DISPIMG("ID_3A4664C99AFD4734985F7B07EDFAB71E",1)</v>
      </c>
      <c r="B70" s="10" t="s">
        <v>6002</v>
      </c>
      <c r="C70" s="10" t="s">
        <v>6003</v>
      </c>
      <c r="D70" s="10" t="s">
        <v>2250</v>
      </c>
      <c r="E70" s="10" t="s">
        <v>6004</v>
      </c>
      <c r="F70" s="10" t="s">
        <v>6005</v>
      </c>
      <c r="G70" s="10" t="s">
        <v>6006</v>
      </c>
      <c r="H70" s="10" t="s">
        <v>6007</v>
      </c>
      <c r="I70" s="10" t="s">
        <v>6008</v>
      </c>
      <c r="J70" s="9" t="s">
        <v>934</v>
      </c>
      <c r="K70" s="10" t="s">
        <v>5275</v>
      </c>
      <c r="L70" s="10" t="s">
        <v>851</v>
      </c>
      <c r="M70" s="11">
        <v>36006</v>
      </c>
      <c r="N70" s="12" t="s">
        <v>5276</v>
      </c>
      <c r="O70" s="13" t="s">
        <v>1482</v>
      </c>
      <c r="P70" s="13" t="s">
        <v>2852</v>
      </c>
      <c r="Q70" s="13" t="s">
        <v>5619</v>
      </c>
      <c r="R70" s="13" t="s">
        <v>3170</v>
      </c>
      <c r="S70" s="13" t="s">
        <v>1003</v>
      </c>
      <c r="T70" s="13" t="s">
        <v>3174</v>
      </c>
      <c r="U70" s="14" t="s">
        <v>5620</v>
      </c>
      <c r="V70" s="14" t="s">
        <v>2821</v>
      </c>
      <c r="W70" s="14" t="s">
        <v>2822</v>
      </c>
      <c r="X70" s="14" t="s">
        <v>2823</v>
      </c>
      <c r="Y70" s="15">
        <v>1</v>
      </c>
      <c r="Z70" s="11">
        <v>291</v>
      </c>
      <c r="AA70" s="11">
        <v>58197.09</v>
      </c>
      <c r="AB70" s="16">
        <v>199.99</v>
      </c>
      <c r="AC70" s="17">
        <v>0.4743</v>
      </c>
      <c r="AD70" s="16">
        <v>75.13</v>
      </c>
      <c r="AE70" s="18">
        <v>4.6</v>
      </c>
      <c r="AF70" s="11">
        <v>3682</v>
      </c>
      <c r="AG70" s="19">
        <v>0</v>
      </c>
      <c r="AH70" s="11">
        <v>304</v>
      </c>
      <c r="AI70" s="11">
        <v>259</v>
      </c>
      <c r="AJ70" s="9" t="s">
        <v>947</v>
      </c>
      <c r="AK70" s="9" t="s">
        <v>6009</v>
      </c>
      <c r="AL70" s="21">
        <v>1205</v>
      </c>
      <c r="AM70" s="21">
        <v>2</v>
      </c>
      <c r="AN70" s="21">
        <v>1</v>
      </c>
      <c r="AO70" s="10" t="s">
        <v>6010</v>
      </c>
      <c r="AP70" s="9" t="s">
        <v>1288</v>
      </c>
      <c r="AQ70" s="10" t="s">
        <v>6011</v>
      </c>
      <c r="AR70" s="9" t="s">
        <v>2728</v>
      </c>
      <c r="AS70" s="22" t="s">
        <v>6012</v>
      </c>
      <c r="AT70" s="22" t="s">
        <v>6013</v>
      </c>
    </row>
    <row r="71" ht="24" customHeight="1" spans="1:46">
      <c r="A71" s="9" t="str">
        <f>_xlfn.DISPIMG("ID_A411735AAE274F559A3D9F9B06D6D461",1)</f>
        <v>=DISPIMG("ID_A411735AAE274F559A3D9F9B06D6D461",1)</v>
      </c>
      <c r="B71" s="10" t="s">
        <v>6014</v>
      </c>
      <c r="C71" s="10" t="s">
        <v>6015</v>
      </c>
      <c r="D71" s="10" t="s">
        <v>3196</v>
      </c>
      <c r="E71" s="10" t="s">
        <v>6016</v>
      </c>
      <c r="F71" s="10" t="s">
        <v>6017</v>
      </c>
      <c r="G71" s="10" t="s">
        <v>6018</v>
      </c>
      <c r="H71" s="10" t="s">
        <v>6019</v>
      </c>
      <c r="I71" s="10" t="s">
        <v>6020</v>
      </c>
      <c r="J71" s="9" t="s">
        <v>934</v>
      </c>
      <c r="K71" s="10" t="s">
        <v>5275</v>
      </c>
      <c r="L71" s="10" t="s">
        <v>5300</v>
      </c>
      <c r="M71" s="11">
        <v>15347</v>
      </c>
      <c r="N71" s="12" t="s">
        <v>5301</v>
      </c>
      <c r="O71" s="13" t="s">
        <v>6021</v>
      </c>
      <c r="P71" s="13" t="s">
        <v>2809</v>
      </c>
      <c r="Q71" s="13" t="s">
        <v>5289</v>
      </c>
      <c r="R71" s="13" t="s">
        <v>3170</v>
      </c>
      <c r="S71" s="13" t="s">
        <v>5278</v>
      </c>
      <c r="T71" s="13" t="s">
        <v>3174</v>
      </c>
      <c r="U71" s="14" t="s">
        <v>3790</v>
      </c>
      <c r="V71" s="14" t="s">
        <v>2831</v>
      </c>
      <c r="W71" s="14" t="s">
        <v>2930</v>
      </c>
      <c r="X71" s="14" t="s">
        <v>2823</v>
      </c>
      <c r="Y71" s="15">
        <v>1</v>
      </c>
      <c r="Z71" s="11">
        <v>822</v>
      </c>
      <c r="AA71" s="11">
        <v>44379.78</v>
      </c>
      <c r="AB71" s="16">
        <v>53.99</v>
      </c>
      <c r="AC71" s="17">
        <v>0.6861</v>
      </c>
      <c r="AD71" s="16">
        <v>8.85</v>
      </c>
      <c r="AE71" s="18">
        <v>4.2</v>
      </c>
      <c r="AF71" s="11">
        <v>1601</v>
      </c>
      <c r="AG71" s="19">
        <v>0.0268</v>
      </c>
      <c r="AH71" s="11">
        <v>22</v>
      </c>
      <c r="AI71" s="11">
        <v>54</v>
      </c>
      <c r="AJ71" s="9" t="s">
        <v>854</v>
      </c>
      <c r="AK71" s="9" t="s">
        <v>6022</v>
      </c>
      <c r="AL71" s="21">
        <v>713</v>
      </c>
      <c r="AM71" s="21">
        <v>1</v>
      </c>
      <c r="AN71" s="21">
        <v>11</v>
      </c>
      <c r="AO71" s="10" t="s">
        <v>6023</v>
      </c>
      <c r="AP71" s="9" t="s">
        <v>65</v>
      </c>
      <c r="AQ71" s="10" t="s">
        <v>65</v>
      </c>
      <c r="AR71" s="9" t="s">
        <v>997</v>
      </c>
      <c r="AS71" s="22" t="s">
        <v>6024</v>
      </c>
      <c r="AT71" s="22" t="s">
        <v>6025</v>
      </c>
    </row>
    <row r="72" ht="24" customHeight="1" spans="1:46">
      <c r="A72" s="9" t="str">
        <f>_xlfn.DISPIMG("ID_3C96FF7158924CD782FADA57DAD68D8C",1)</f>
        <v>=DISPIMG("ID_3C96FF7158924CD782FADA57DAD68D8C",1)</v>
      </c>
      <c r="B72" s="10" t="s">
        <v>6026</v>
      </c>
      <c r="C72" s="10" t="s">
        <v>6027</v>
      </c>
      <c r="D72" s="10" t="s">
        <v>3440</v>
      </c>
      <c r="E72" s="10" t="s">
        <v>6028</v>
      </c>
      <c r="F72" s="10" t="s">
        <v>6029</v>
      </c>
      <c r="G72" s="10" t="s">
        <v>6030</v>
      </c>
      <c r="H72" s="10" t="s">
        <v>6031</v>
      </c>
      <c r="I72" s="10" t="s">
        <v>6032</v>
      </c>
      <c r="J72" s="9" t="s">
        <v>934</v>
      </c>
      <c r="K72" s="10" t="s">
        <v>5275</v>
      </c>
      <c r="L72" s="10" t="s">
        <v>851</v>
      </c>
      <c r="M72" s="11">
        <v>36385</v>
      </c>
      <c r="N72" s="12" t="s">
        <v>5276</v>
      </c>
      <c r="O72" s="13" t="s">
        <v>1607</v>
      </c>
      <c r="P72" s="13" t="s">
        <v>6033</v>
      </c>
      <c r="Q72" s="13" t="s">
        <v>6034</v>
      </c>
      <c r="R72" s="13" t="s">
        <v>5438</v>
      </c>
      <c r="S72" s="13" t="s">
        <v>5278</v>
      </c>
      <c r="T72" s="13" t="s">
        <v>3174</v>
      </c>
      <c r="U72" s="14" t="s">
        <v>5574</v>
      </c>
      <c r="V72" s="14" t="s">
        <v>2900</v>
      </c>
      <c r="W72" s="14" t="s">
        <v>2865</v>
      </c>
      <c r="X72" s="14" t="s">
        <v>2940</v>
      </c>
      <c r="Y72" s="15">
        <v>1</v>
      </c>
      <c r="Z72" s="11">
        <v>509</v>
      </c>
      <c r="AA72" s="11">
        <v>76324.55</v>
      </c>
      <c r="AB72" s="16">
        <v>149.95</v>
      </c>
      <c r="AC72" s="17">
        <v>0.7458</v>
      </c>
      <c r="AD72" s="16">
        <v>15.62</v>
      </c>
      <c r="AE72" s="18">
        <v>4.5</v>
      </c>
      <c r="AF72" s="11">
        <v>182</v>
      </c>
      <c r="AG72" s="19">
        <v>0</v>
      </c>
      <c r="AH72" s="11">
        <v>0</v>
      </c>
      <c r="AI72" s="11">
        <v>19</v>
      </c>
      <c r="AJ72" s="9" t="s">
        <v>947</v>
      </c>
      <c r="AK72" s="9" t="s">
        <v>6035</v>
      </c>
      <c r="AL72" s="21">
        <v>858</v>
      </c>
      <c r="AM72" s="21">
        <v>1</v>
      </c>
      <c r="AN72" s="21">
        <v>1</v>
      </c>
      <c r="AO72" s="10" t="s">
        <v>6030</v>
      </c>
      <c r="AP72" s="9" t="s">
        <v>1288</v>
      </c>
      <c r="AQ72" s="10" t="s">
        <v>6036</v>
      </c>
      <c r="AR72" s="9" t="s">
        <v>997</v>
      </c>
      <c r="AS72" s="22" t="s">
        <v>6037</v>
      </c>
      <c r="AT72" s="22" t="s">
        <v>6038</v>
      </c>
    </row>
    <row r="73" ht="24" customHeight="1" spans="1:46">
      <c r="A73" s="9" t="str">
        <f>_xlfn.DISPIMG("ID_F88C559211A444AF8BFF529472BB673E",1)</f>
        <v>=DISPIMG("ID_F88C559211A444AF8BFF529472BB673E",1)</v>
      </c>
      <c r="B73" s="10" t="s">
        <v>6039</v>
      </c>
      <c r="C73" s="10" t="s">
        <v>6039</v>
      </c>
      <c r="D73" s="10" t="s">
        <v>65</v>
      </c>
      <c r="E73" s="10" t="s">
        <v>6040</v>
      </c>
      <c r="F73" s="10" t="s">
        <v>6041</v>
      </c>
      <c r="G73" s="10" t="s">
        <v>5319</v>
      </c>
      <c r="H73" s="10" t="s">
        <v>6042</v>
      </c>
      <c r="I73" s="10" t="s">
        <v>6043</v>
      </c>
      <c r="J73" s="9" t="s">
        <v>1384</v>
      </c>
      <c r="K73" s="10" t="s">
        <v>5275</v>
      </c>
      <c r="L73" s="10" t="s">
        <v>5300</v>
      </c>
      <c r="M73" s="11">
        <v>15775</v>
      </c>
      <c r="N73" s="12" t="s">
        <v>5322</v>
      </c>
      <c r="O73" s="13" t="s">
        <v>6044</v>
      </c>
      <c r="P73" s="13" t="s">
        <v>2986</v>
      </c>
      <c r="Q73" s="13" t="s">
        <v>5289</v>
      </c>
      <c r="R73" s="13" t="s">
        <v>5438</v>
      </c>
      <c r="S73" s="13" t="s">
        <v>5278</v>
      </c>
      <c r="T73" s="13" t="s">
        <v>3174</v>
      </c>
      <c r="U73" s="14" t="s">
        <v>3445</v>
      </c>
      <c r="V73" s="14" t="s">
        <v>2917</v>
      </c>
      <c r="W73" s="14" t="s">
        <v>2930</v>
      </c>
      <c r="X73" s="14" t="s">
        <v>2940</v>
      </c>
      <c r="Y73" s="15">
        <v>1</v>
      </c>
      <c r="Z73" s="11">
        <v>414</v>
      </c>
      <c r="AA73" s="11">
        <v>23593.861</v>
      </c>
      <c r="AB73" s="16">
        <v>56.99</v>
      </c>
      <c r="AC73" s="17">
        <v>0.7001</v>
      </c>
      <c r="AD73" s="16">
        <v>8.54</v>
      </c>
      <c r="AE73" s="18">
        <v>4.1</v>
      </c>
      <c r="AF73" s="11">
        <v>203</v>
      </c>
      <c r="AG73" s="19">
        <v>0.0242</v>
      </c>
      <c r="AH73" s="11">
        <v>10</v>
      </c>
      <c r="AI73" s="11">
        <v>3</v>
      </c>
      <c r="AJ73" s="9" t="s">
        <v>1267</v>
      </c>
      <c r="AK73" s="9" t="s">
        <v>6045</v>
      </c>
      <c r="AL73" s="21">
        <v>170</v>
      </c>
      <c r="AM73" s="21">
        <v>1</v>
      </c>
      <c r="AN73" s="21">
        <v>6</v>
      </c>
      <c r="AO73" s="10" t="s">
        <v>5325</v>
      </c>
      <c r="AP73" s="9" t="s">
        <v>1110</v>
      </c>
      <c r="AQ73" s="10" t="s">
        <v>5326</v>
      </c>
      <c r="AR73" s="9" t="s">
        <v>997</v>
      </c>
      <c r="AS73" s="22" t="s">
        <v>6046</v>
      </c>
      <c r="AT73" s="22" t="s">
        <v>5547</v>
      </c>
    </row>
    <row r="74" ht="24" customHeight="1" spans="1:46">
      <c r="A74" s="9" t="str">
        <f>_xlfn.DISPIMG("ID_FAC842F155214B01BC78151359A73E29",1)</f>
        <v>=DISPIMG("ID_FAC842F155214B01BC78151359A73E29",1)</v>
      </c>
      <c r="B74" s="10" t="s">
        <v>6047</v>
      </c>
      <c r="C74" s="10" t="s">
        <v>6048</v>
      </c>
      <c r="D74" s="10" t="s">
        <v>3196</v>
      </c>
      <c r="E74" s="10" t="s">
        <v>6049</v>
      </c>
      <c r="F74" s="10" t="s">
        <v>6050</v>
      </c>
      <c r="G74" s="10" t="s">
        <v>5867</v>
      </c>
      <c r="H74" s="10" t="s">
        <v>6051</v>
      </c>
      <c r="I74" s="10" t="s">
        <v>6052</v>
      </c>
      <c r="J74" s="9" t="s">
        <v>974</v>
      </c>
      <c r="K74" s="10" t="s">
        <v>5275</v>
      </c>
      <c r="L74" s="10" t="s">
        <v>851</v>
      </c>
      <c r="M74" s="11">
        <v>38582</v>
      </c>
      <c r="N74" s="12" t="s">
        <v>5276</v>
      </c>
      <c r="O74" s="13" t="s">
        <v>4073</v>
      </c>
      <c r="P74" s="13" t="s">
        <v>2809</v>
      </c>
      <c r="Q74" s="13" t="s">
        <v>6053</v>
      </c>
      <c r="R74" s="13" t="s">
        <v>3170</v>
      </c>
      <c r="S74" s="13" t="s">
        <v>1003</v>
      </c>
      <c r="T74" s="13" t="s">
        <v>5359</v>
      </c>
      <c r="U74" s="14" t="s">
        <v>5929</v>
      </c>
      <c r="V74" s="14" t="s">
        <v>2821</v>
      </c>
      <c r="W74" s="14" t="s">
        <v>2865</v>
      </c>
      <c r="X74" s="14" t="s">
        <v>2979</v>
      </c>
      <c r="Y74" s="15">
        <v>1</v>
      </c>
      <c r="Z74" s="11">
        <v>129</v>
      </c>
      <c r="AA74" s="11">
        <v>25923.842</v>
      </c>
      <c r="AB74" s="16">
        <v>200.96</v>
      </c>
      <c r="AC74" s="17">
        <v>0</v>
      </c>
      <c r="AD74" s="27"/>
      <c r="AE74" s="18">
        <v>4.3</v>
      </c>
      <c r="AF74" s="11">
        <v>51</v>
      </c>
      <c r="AG74" s="19">
        <v>0.0078</v>
      </c>
      <c r="AH74" s="11">
        <v>1</v>
      </c>
      <c r="AI74" s="11">
        <v>9</v>
      </c>
      <c r="AJ74" s="9" t="s">
        <v>854</v>
      </c>
      <c r="AK74" s="9" t="s">
        <v>6054</v>
      </c>
      <c r="AL74" s="21">
        <v>1287</v>
      </c>
      <c r="AM74" s="21">
        <v>3</v>
      </c>
      <c r="AN74" s="21">
        <v>2</v>
      </c>
      <c r="AO74" s="10" t="s">
        <v>1515</v>
      </c>
      <c r="AP74" s="9" t="s">
        <v>65</v>
      </c>
      <c r="AQ74" s="10" t="s">
        <v>65</v>
      </c>
      <c r="AR74" s="9" t="s">
        <v>1516</v>
      </c>
      <c r="AS74" s="22" t="s">
        <v>6055</v>
      </c>
      <c r="AT74" s="22" t="s">
        <v>6056</v>
      </c>
    </row>
    <row r="75" ht="24" customHeight="1" spans="1:46">
      <c r="A75" s="9" t="str">
        <f>_xlfn.DISPIMG("ID_A1F3A6E3379E4798BE2BD0D6CFD40473",1)</f>
        <v>=DISPIMG("ID_A1F3A6E3379E4798BE2BD0D6CFD40473",1)</v>
      </c>
      <c r="B75" s="10" t="s">
        <v>6057</v>
      </c>
      <c r="C75" s="10" t="s">
        <v>6058</v>
      </c>
      <c r="D75" s="10" t="s">
        <v>6059</v>
      </c>
      <c r="E75" s="10" t="s">
        <v>6060</v>
      </c>
      <c r="F75" s="10" t="s">
        <v>6061</v>
      </c>
      <c r="G75" s="10" t="s">
        <v>5319</v>
      </c>
      <c r="H75" s="10" t="s">
        <v>6062</v>
      </c>
      <c r="I75" s="10" t="s">
        <v>6063</v>
      </c>
      <c r="J75" s="9" t="s">
        <v>974</v>
      </c>
      <c r="K75" s="10" t="s">
        <v>5275</v>
      </c>
      <c r="L75" s="10" t="s">
        <v>5300</v>
      </c>
      <c r="M75" s="11">
        <v>16954</v>
      </c>
      <c r="N75" s="12" t="s">
        <v>5322</v>
      </c>
      <c r="O75" s="13" t="s">
        <v>6064</v>
      </c>
      <c r="P75" s="13" t="s">
        <v>2986</v>
      </c>
      <c r="Q75" s="13" t="s">
        <v>5336</v>
      </c>
      <c r="R75" s="13" t="s">
        <v>3170</v>
      </c>
      <c r="S75" s="13" t="s">
        <v>5278</v>
      </c>
      <c r="T75" s="13" t="s">
        <v>3174</v>
      </c>
      <c r="U75" s="14" t="s">
        <v>5337</v>
      </c>
      <c r="V75" s="14" t="s">
        <v>2831</v>
      </c>
      <c r="W75" s="14" t="s">
        <v>2930</v>
      </c>
      <c r="X75" s="14" t="s">
        <v>2868</v>
      </c>
      <c r="Y75" s="15">
        <v>1</v>
      </c>
      <c r="Z75" s="11">
        <v>683</v>
      </c>
      <c r="AA75" s="11">
        <v>54633.168</v>
      </c>
      <c r="AB75" s="16">
        <v>79.99</v>
      </c>
      <c r="AC75" s="17">
        <v>0.6147</v>
      </c>
      <c r="AD75" s="16">
        <v>18.82</v>
      </c>
      <c r="AE75" s="18">
        <v>4.2</v>
      </c>
      <c r="AF75" s="11">
        <v>970</v>
      </c>
      <c r="AG75" s="19">
        <v>0.8023</v>
      </c>
      <c r="AH75" s="11">
        <v>548</v>
      </c>
      <c r="AI75" s="11">
        <v>18</v>
      </c>
      <c r="AJ75" s="9" t="s">
        <v>876</v>
      </c>
      <c r="AK75" s="9" t="s">
        <v>5956</v>
      </c>
      <c r="AL75" s="21">
        <v>651</v>
      </c>
      <c r="AM75" s="21">
        <v>2</v>
      </c>
      <c r="AN75" s="21">
        <v>1</v>
      </c>
      <c r="AO75" s="10" t="s">
        <v>5325</v>
      </c>
      <c r="AP75" s="9" t="s">
        <v>1110</v>
      </c>
      <c r="AQ75" s="10" t="s">
        <v>5326</v>
      </c>
      <c r="AR75" s="9" t="s">
        <v>997</v>
      </c>
      <c r="AS75" s="22" t="s">
        <v>6065</v>
      </c>
      <c r="AT75" s="22" t="s">
        <v>6066</v>
      </c>
    </row>
    <row r="76" ht="24" customHeight="1" spans="1:46">
      <c r="A76" s="9" t="str">
        <f>_xlfn.DISPIMG("ID_10683E0177C742228F913260A971A554",1)</f>
        <v>=DISPIMG("ID_10683E0177C742228F913260A971A554",1)</v>
      </c>
      <c r="B76" s="10" t="s">
        <v>6067</v>
      </c>
      <c r="C76" s="10" t="s">
        <v>6067</v>
      </c>
      <c r="D76" s="10" t="s">
        <v>65</v>
      </c>
      <c r="E76" s="10" t="s">
        <v>6068</v>
      </c>
      <c r="F76" s="10" t="s">
        <v>6069</v>
      </c>
      <c r="G76" s="10" t="s">
        <v>5653</v>
      </c>
      <c r="H76" s="10" t="s">
        <v>6070</v>
      </c>
      <c r="I76" s="10" t="s">
        <v>6071</v>
      </c>
      <c r="J76" s="9" t="s">
        <v>1634</v>
      </c>
      <c r="K76" s="10" t="s">
        <v>5275</v>
      </c>
      <c r="L76" s="10" t="s">
        <v>851</v>
      </c>
      <c r="M76" s="11">
        <v>41484</v>
      </c>
      <c r="N76" s="12" t="s">
        <v>5276</v>
      </c>
      <c r="O76" s="13" t="s">
        <v>4094</v>
      </c>
      <c r="P76" s="13" t="s">
        <v>2963</v>
      </c>
      <c r="Q76" s="13" t="s">
        <v>5277</v>
      </c>
      <c r="R76" s="13" t="s">
        <v>3170</v>
      </c>
      <c r="S76" s="13" t="s">
        <v>5278</v>
      </c>
      <c r="T76" s="13" t="s">
        <v>3174</v>
      </c>
      <c r="U76" s="14" t="s">
        <v>3269</v>
      </c>
      <c r="V76" s="14" t="s">
        <v>2917</v>
      </c>
      <c r="W76" s="14" t="s">
        <v>2865</v>
      </c>
      <c r="X76" s="14" t="s">
        <v>2940</v>
      </c>
      <c r="Y76" s="15">
        <v>1</v>
      </c>
      <c r="Z76" s="11">
        <v>1055</v>
      </c>
      <c r="AA76" s="11">
        <v>42189.453</v>
      </c>
      <c r="AB76" s="16">
        <v>39.99</v>
      </c>
      <c r="AC76" s="17">
        <v>0.6522</v>
      </c>
      <c r="AD76" s="16">
        <v>7.91</v>
      </c>
      <c r="AE76" s="18">
        <v>4.4</v>
      </c>
      <c r="AF76" s="11">
        <v>214</v>
      </c>
      <c r="AG76" s="19">
        <v>0.0114</v>
      </c>
      <c r="AH76" s="11">
        <v>12</v>
      </c>
      <c r="AI76" s="20"/>
      <c r="AJ76" s="9" t="s">
        <v>65</v>
      </c>
      <c r="AK76" s="9" t="s">
        <v>6072</v>
      </c>
      <c r="AL76" s="21">
        <v>26</v>
      </c>
      <c r="AM76" s="21">
        <v>1</v>
      </c>
      <c r="AN76" s="21">
        <v>1</v>
      </c>
      <c r="AO76" s="10" t="s">
        <v>6073</v>
      </c>
      <c r="AP76" s="9" t="s">
        <v>1110</v>
      </c>
      <c r="AQ76" s="10" t="s">
        <v>6074</v>
      </c>
      <c r="AR76" s="9" t="s">
        <v>856</v>
      </c>
      <c r="AS76" s="22" t="s">
        <v>3206</v>
      </c>
      <c r="AT76" s="22" t="s">
        <v>6075</v>
      </c>
    </row>
    <row r="77" ht="24" customHeight="1" spans="1:46">
      <c r="A77" s="9" t="str">
        <f>_xlfn.DISPIMG("ID_16B1C0A61ECF479AB924CC54119345D8",1)</f>
        <v>=DISPIMG("ID_16B1C0A61ECF479AB924CC54119345D8",1)</v>
      </c>
      <c r="B77" s="10" t="s">
        <v>6076</v>
      </c>
      <c r="C77" s="10" t="s">
        <v>6077</v>
      </c>
      <c r="D77" s="10" t="s">
        <v>6078</v>
      </c>
      <c r="E77" s="10" t="s">
        <v>6079</v>
      </c>
      <c r="F77" s="10" t="s">
        <v>6080</v>
      </c>
      <c r="G77" s="10" t="s">
        <v>5789</v>
      </c>
      <c r="H77" s="10" t="s">
        <v>6081</v>
      </c>
      <c r="I77" s="10" t="s">
        <v>6082</v>
      </c>
      <c r="J77" s="9" t="s">
        <v>974</v>
      </c>
      <c r="K77" s="10" t="s">
        <v>5275</v>
      </c>
      <c r="L77" s="10" t="s">
        <v>851</v>
      </c>
      <c r="M77" s="11">
        <v>42910</v>
      </c>
      <c r="N77" s="12" t="s">
        <v>5276</v>
      </c>
      <c r="O77" s="13" t="s">
        <v>4105</v>
      </c>
      <c r="P77" s="13" t="s">
        <v>2809</v>
      </c>
      <c r="Q77" s="13" t="s">
        <v>6083</v>
      </c>
      <c r="R77" s="13" t="s">
        <v>5438</v>
      </c>
      <c r="S77" s="13" t="s">
        <v>5278</v>
      </c>
      <c r="T77" s="13" t="s">
        <v>3174</v>
      </c>
      <c r="U77" s="14" t="s">
        <v>3418</v>
      </c>
      <c r="V77" s="14" t="s">
        <v>2851</v>
      </c>
      <c r="W77" s="14" t="s">
        <v>2930</v>
      </c>
      <c r="X77" s="14" t="s">
        <v>2911</v>
      </c>
      <c r="Y77" s="15">
        <v>1</v>
      </c>
      <c r="Z77" s="11">
        <v>795</v>
      </c>
      <c r="AA77" s="11">
        <v>55642.047</v>
      </c>
      <c r="AB77" s="16">
        <v>68.99</v>
      </c>
      <c r="AC77" s="17">
        <v>0.6211</v>
      </c>
      <c r="AD77" s="16">
        <v>16.02</v>
      </c>
      <c r="AE77" s="18">
        <v>4.2</v>
      </c>
      <c r="AF77" s="11">
        <v>597</v>
      </c>
      <c r="AG77" s="19">
        <v>0.0025</v>
      </c>
      <c r="AH77" s="11">
        <v>2</v>
      </c>
      <c r="AI77" s="11">
        <v>30</v>
      </c>
      <c r="AJ77" s="9" t="s">
        <v>854</v>
      </c>
      <c r="AK77" s="9" t="s">
        <v>6084</v>
      </c>
      <c r="AL77" s="21">
        <v>913</v>
      </c>
      <c r="AM77" s="21">
        <v>1</v>
      </c>
      <c r="AN77" s="21">
        <v>2</v>
      </c>
      <c r="AO77" s="10" t="s">
        <v>6085</v>
      </c>
      <c r="AP77" s="9" t="s">
        <v>1288</v>
      </c>
      <c r="AQ77" s="10" t="s">
        <v>6086</v>
      </c>
      <c r="AR77" s="9" t="s">
        <v>997</v>
      </c>
      <c r="AS77" s="22" t="s">
        <v>6087</v>
      </c>
      <c r="AT77" s="22" t="s">
        <v>5796</v>
      </c>
    </row>
    <row r="78" ht="24" customHeight="1" spans="1:46">
      <c r="A78" s="9" t="str">
        <f>_xlfn.DISPIMG("ID_6713ABF4616041CF80AA4289A0AD21EE",1)</f>
        <v>=DISPIMG("ID_6713ABF4616041CF80AA4289A0AD21EE",1)</v>
      </c>
      <c r="B78" s="10" t="s">
        <v>6088</v>
      </c>
      <c r="C78" s="10" t="s">
        <v>6088</v>
      </c>
      <c r="D78" s="10" t="s">
        <v>65</v>
      </c>
      <c r="E78" s="10" t="s">
        <v>6089</v>
      </c>
      <c r="F78" s="10" t="s">
        <v>6090</v>
      </c>
      <c r="G78" s="10" t="s">
        <v>6091</v>
      </c>
      <c r="H78" s="10" t="s">
        <v>6092</v>
      </c>
      <c r="I78" s="10" t="s">
        <v>6093</v>
      </c>
      <c r="J78" s="9" t="s">
        <v>934</v>
      </c>
      <c r="K78" s="10" t="s">
        <v>5275</v>
      </c>
      <c r="L78" s="10" t="s">
        <v>851</v>
      </c>
      <c r="M78" s="11">
        <v>43270</v>
      </c>
      <c r="N78" s="12" t="s">
        <v>5276</v>
      </c>
      <c r="O78" s="13" t="s">
        <v>1562</v>
      </c>
      <c r="P78" s="13" t="s">
        <v>2986</v>
      </c>
      <c r="Q78" s="13" t="s">
        <v>5336</v>
      </c>
      <c r="R78" s="13" t="s">
        <v>5438</v>
      </c>
      <c r="S78" s="13" t="s">
        <v>5278</v>
      </c>
      <c r="T78" s="13" t="s">
        <v>5371</v>
      </c>
      <c r="U78" s="14" t="s">
        <v>5713</v>
      </c>
      <c r="V78" s="14" t="s">
        <v>2883</v>
      </c>
      <c r="W78" s="14" t="s">
        <v>2865</v>
      </c>
      <c r="X78" s="14" t="s">
        <v>2934</v>
      </c>
      <c r="Y78" s="15">
        <v>1</v>
      </c>
      <c r="Z78" s="11">
        <v>199</v>
      </c>
      <c r="AA78" s="11">
        <v>19898.01</v>
      </c>
      <c r="AB78" s="16">
        <v>99.99</v>
      </c>
      <c r="AC78" s="17">
        <v>0.6858</v>
      </c>
      <c r="AD78" s="16">
        <v>16.42</v>
      </c>
      <c r="AE78" s="18">
        <v>4.5</v>
      </c>
      <c r="AF78" s="11">
        <v>27</v>
      </c>
      <c r="AG78" s="19">
        <v>0.0151</v>
      </c>
      <c r="AH78" s="11">
        <v>3</v>
      </c>
      <c r="AI78" s="20"/>
      <c r="AJ78" s="9" t="s">
        <v>1267</v>
      </c>
      <c r="AK78" s="9" t="s">
        <v>6094</v>
      </c>
      <c r="AL78" s="21">
        <v>272</v>
      </c>
      <c r="AM78" s="21">
        <v>1</v>
      </c>
      <c r="AN78" s="21">
        <v>1</v>
      </c>
      <c r="AO78" s="10" t="s">
        <v>6095</v>
      </c>
      <c r="AP78" s="9" t="s">
        <v>1288</v>
      </c>
      <c r="AQ78" s="10" t="s">
        <v>6096</v>
      </c>
      <c r="AR78" s="9" t="s">
        <v>997</v>
      </c>
      <c r="AS78" s="22" t="s">
        <v>2022</v>
      </c>
      <c r="AT78" s="22" t="s">
        <v>6097</v>
      </c>
    </row>
    <row r="79" ht="24" customHeight="1" spans="1:46">
      <c r="A79" s="9" t="str">
        <f>_xlfn.DISPIMG("ID_C1439D7525314155A1AAEF75D2EA25B0",1)</f>
        <v>=DISPIMG("ID_C1439D7525314155A1AAEF75D2EA25B0",1)</v>
      </c>
      <c r="B79" s="10" t="s">
        <v>6098</v>
      </c>
      <c r="C79" s="10" t="s">
        <v>6098</v>
      </c>
      <c r="D79" s="10" t="s">
        <v>65</v>
      </c>
      <c r="E79" s="10" t="s">
        <v>6099</v>
      </c>
      <c r="F79" s="10" t="s">
        <v>6100</v>
      </c>
      <c r="G79" s="10" t="s">
        <v>6101</v>
      </c>
      <c r="H79" s="10" t="s">
        <v>6102</v>
      </c>
      <c r="I79" s="10" t="s">
        <v>6103</v>
      </c>
      <c r="J79" s="9" t="s">
        <v>974</v>
      </c>
      <c r="K79" s="10" t="s">
        <v>5275</v>
      </c>
      <c r="L79" s="10" t="s">
        <v>5300</v>
      </c>
      <c r="M79" s="11">
        <v>19707</v>
      </c>
      <c r="N79" s="12" t="s">
        <v>5322</v>
      </c>
      <c r="O79" s="13" t="s">
        <v>6104</v>
      </c>
      <c r="P79" s="13" t="s">
        <v>2986</v>
      </c>
      <c r="Q79" s="13" t="s">
        <v>5277</v>
      </c>
      <c r="R79" s="13" t="s">
        <v>5438</v>
      </c>
      <c r="S79" s="13" t="s">
        <v>5278</v>
      </c>
      <c r="T79" s="13" t="s">
        <v>3174</v>
      </c>
      <c r="U79" s="14" t="s">
        <v>3296</v>
      </c>
      <c r="V79" s="14" t="s">
        <v>2831</v>
      </c>
      <c r="W79" s="14" t="s">
        <v>2930</v>
      </c>
      <c r="X79" s="14" t="s">
        <v>2940</v>
      </c>
      <c r="Y79" s="15">
        <v>1</v>
      </c>
      <c r="Z79" s="11">
        <v>263</v>
      </c>
      <c r="AA79" s="11">
        <v>11306.37</v>
      </c>
      <c r="AB79" s="16">
        <v>42.99</v>
      </c>
      <c r="AC79" s="17">
        <v>0.5143</v>
      </c>
      <c r="AD79" s="16">
        <v>14.43</v>
      </c>
      <c r="AE79" s="18">
        <v>4.1</v>
      </c>
      <c r="AF79" s="11">
        <v>107</v>
      </c>
      <c r="AG79" s="19">
        <v>0.0038</v>
      </c>
      <c r="AH79" s="11">
        <v>1</v>
      </c>
      <c r="AI79" s="11">
        <v>13</v>
      </c>
      <c r="AJ79" s="9" t="s">
        <v>854</v>
      </c>
      <c r="AK79" s="9" t="s">
        <v>6105</v>
      </c>
      <c r="AL79" s="21">
        <v>568</v>
      </c>
      <c r="AM79" s="21">
        <v>1</v>
      </c>
      <c r="AN79" s="21">
        <v>10</v>
      </c>
      <c r="AO79" s="10" t="s">
        <v>6106</v>
      </c>
      <c r="AP79" s="9" t="s">
        <v>1288</v>
      </c>
      <c r="AQ79" s="10" t="s">
        <v>6107</v>
      </c>
      <c r="AR79" s="9" t="s">
        <v>997</v>
      </c>
      <c r="AS79" s="22" t="s">
        <v>6108</v>
      </c>
      <c r="AT79" s="22" t="s">
        <v>6109</v>
      </c>
    </row>
    <row r="80" ht="24" customHeight="1" spans="1:46">
      <c r="A80" s="9" t="str">
        <f>_xlfn.DISPIMG("ID_69F1754C84C24E4CB475EFE38F5B790E",1)</f>
        <v>=DISPIMG("ID_69F1754C84C24E4CB475EFE38F5B790E",1)</v>
      </c>
      <c r="B80" s="10" t="s">
        <v>6110</v>
      </c>
      <c r="C80" s="10" t="s">
        <v>6111</v>
      </c>
      <c r="D80" s="10" t="s">
        <v>3531</v>
      </c>
      <c r="E80" s="10" t="s">
        <v>6112</v>
      </c>
      <c r="F80" s="10" t="s">
        <v>6113</v>
      </c>
      <c r="G80" s="10" t="s">
        <v>5912</v>
      </c>
      <c r="H80" s="10" t="s">
        <v>6114</v>
      </c>
      <c r="I80" s="10" t="s">
        <v>6115</v>
      </c>
      <c r="J80" s="9" t="s">
        <v>974</v>
      </c>
      <c r="K80" s="10" t="s">
        <v>5915</v>
      </c>
      <c r="L80" s="10" t="s">
        <v>851</v>
      </c>
      <c r="M80" s="11">
        <v>45840</v>
      </c>
      <c r="N80" s="12" t="s">
        <v>5276</v>
      </c>
      <c r="O80" s="13" t="s">
        <v>2430</v>
      </c>
      <c r="P80" s="13" t="s">
        <v>2809</v>
      </c>
      <c r="Q80" s="13" t="s">
        <v>5619</v>
      </c>
      <c r="R80" s="13" t="s">
        <v>3170</v>
      </c>
      <c r="S80" s="13" t="s">
        <v>1003</v>
      </c>
      <c r="T80" s="13" t="s">
        <v>3174</v>
      </c>
      <c r="U80" s="14" t="s">
        <v>5929</v>
      </c>
      <c r="V80" s="14" t="s">
        <v>2867</v>
      </c>
      <c r="W80" s="14" t="s">
        <v>2865</v>
      </c>
      <c r="X80" s="14" t="s">
        <v>2940</v>
      </c>
      <c r="Y80" s="15">
        <v>1</v>
      </c>
      <c r="Z80" s="11">
        <v>294</v>
      </c>
      <c r="AA80" s="11">
        <v>61737.062</v>
      </c>
      <c r="AB80" s="16">
        <v>209.99</v>
      </c>
      <c r="AC80" s="17">
        <v>0.545</v>
      </c>
      <c r="AD80" s="16">
        <v>64.04</v>
      </c>
      <c r="AE80" s="18">
        <v>4.4</v>
      </c>
      <c r="AF80" s="11">
        <v>118</v>
      </c>
      <c r="AG80" s="19">
        <v>0.034</v>
      </c>
      <c r="AH80" s="11">
        <v>10</v>
      </c>
      <c r="AI80" s="11">
        <v>12</v>
      </c>
      <c r="AJ80" s="9" t="s">
        <v>947</v>
      </c>
      <c r="AK80" s="9" t="s">
        <v>6116</v>
      </c>
      <c r="AL80" s="21">
        <v>518</v>
      </c>
      <c r="AM80" s="21">
        <v>6</v>
      </c>
      <c r="AN80" s="21">
        <v>1</v>
      </c>
      <c r="AO80" s="10" t="s">
        <v>6117</v>
      </c>
      <c r="AP80" s="9" t="s">
        <v>1110</v>
      </c>
      <c r="AQ80" s="10" t="s">
        <v>6118</v>
      </c>
      <c r="AR80" s="9" t="s">
        <v>2728</v>
      </c>
      <c r="AS80" s="22" t="s">
        <v>6119</v>
      </c>
      <c r="AT80" s="22" t="s">
        <v>6120</v>
      </c>
    </row>
    <row r="81" ht="24" customHeight="1" spans="1:46">
      <c r="A81" s="9" t="str">
        <f>_xlfn.DISPIMG("ID_AF462A62724D4122841797D2178CBD4F",1)</f>
        <v>=DISPIMG("ID_AF462A62724D4122841797D2178CBD4F",1)</v>
      </c>
      <c r="B81" s="10" t="s">
        <v>6121</v>
      </c>
      <c r="C81" s="10" t="s">
        <v>6122</v>
      </c>
      <c r="D81" s="10" t="s">
        <v>6123</v>
      </c>
      <c r="E81" s="10" t="s">
        <v>6124</v>
      </c>
      <c r="F81" s="10" t="s">
        <v>6125</v>
      </c>
      <c r="G81" s="10" t="s">
        <v>6126</v>
      </c>
      <c r="H81" s="10" t="s">
        <v>6127</v>
      </c>
      <c r="I81" s="10" t="s">
        <v>6128</v>
      </c>
      <c r="J81" s="9" t="s">
        <v>974</v>
      </c>
      <c r="K81" s="10" t="s">
        <v>5275</v>
      </c>
      <c r="L81" s="10" t="s">
        <v>851</v>
      </c>
      <c r="M81" s="11">
        <v>46382</v>
      </c>
      <c r="N81" s="12" t="s">
        <v>5276</v>
      </c>
      <c r="O81" s="13" t="s">
        <v>4138</v>
      </c>
      <c r="P81" s="13" t="s">
        <v>2809</v>
      </c>
      <c r="Q81" s="13" t="s">
        <v>5573</v>
      </c>
      <c r="R81" s="13" t="s">
        <v>3170</v>
      </c>
      <c r="S81" s="13" t="s">
        <v>5278</v>
      </c>
      <c r="T81" s="13" t="s">
        <v>3174</v>
      </c>
      <c r="U81" s="14" t="s">
        <v>5574</v>
      </c>
      <c r="V81" s="14" t="s">
        <v>2851</v>
      </c>
      <c r="W81" s="14" t="s">
        <v>2993</v>
      </c>
      <c r="X81" s="14" t="s">
        <v>2823</v>
      </c>
      <c r="Y81" s="15">
        <v>1</v>
      </c>
      <c r="Z81" s="11">
        <v>300</v>
      </c>
      <c r="AA81" s="11">
        <v>44997</v>
      </c>
      <c r="AB81" s="16">
        <v>149.99</v>
      </c>
      <c r="AC81" s="17">
        <v>0.7166</v>
      </c>
      <c r="AD81" s="16">
        <v>20.01</v>
      </c>
      <c r="AE81" s="18">
        <v>3.8</v>
      </c>
      <c r="AF81" s="11">
        <v>1163</v>
      </c>
      <c r="AG81" s="19">
        <v>0.0333</v>
      </c>
      <c r="AH81" s="11">
        <v>10</v>
      </c>
      <c r="AI81" s="11">
        <v>96</v>
      </c>
      <c r="AJ81" s="9" t="s">
        <v>947</v>
      </c>
      <c r="AK81" s="9" t="s">
        <v>6129</v>
      </c>
      <c r="AL81" s="21">
        <v>977</v>
      </c>
      <c r="AM81" s="21">
        <v>2</v>
      </c>
      <c r="AN81" s="21">
        <v>7</v>
      </c>
      <c r="AO81" s="10" t="s">
        <v>6130</v>
      </c>
      <c r="AP81" s="9" t="s">
        <v>1288</v>
      </c>
      <c r="AQ81" s="10" t="s">
        <v>6131</v>
      </c>
      <c r="AR81" s="9" t="s">
        <v>997</v>
      </c>
      <c r="AS81" s="22" t="s">
        <v>6132</v>
      </c>
      <c r="AT81" s="22" t="s">
        <v>6133</v>
      </c>
    </row>
    <row r="82" ht="24" customHeight="1" spans="1:46">
      <c r="A82" s="9" t="str">
        <f>_xlfn.DISPIMG("ID_C2A7066BB38C4925825FCB5233FF1D19",1)</f>
        <v>=DISPIMG("ID_C2A7066BB38C4925825FCB5233FF1D19",1)</v>
      </c>
      <c r="B82" s="10" t="s">
        <v>6134</v>
      </c>
      <c r="C82" s="10" t="s">
        <v>6135</v>
      </c>
      <c r="D82" s="10" t="s">
        <v>2250</v>
      </c>
      <c r="E82" s="10" t="s">
        <v>6136</v>
      </c>
      <c r="F82" s="10" t="s">
        <v>6137</v>
      </c>
      <c r="G82" s="10" t="s">
        <v>6138</v>
      </c>
      <c r="H82" s="10" t="s">
        <v>6139</v>
      </c>
      <c r="I82" s="10" t="s">
        <v>6140</v>
      </c>
      <c r="J82" s="9" t="s">
        <v>1003</v>
      </c>
      <c r="K82" s="10" t="s">
        <v>5275</v>
      </c>
      <c r="L82" s="10" t="s">
        <v>851</v>
      </c>
      <c r="M82" s="11">
        <v>47182</v>
      </c>
      <c r="N82" s="12" t="s">
        <v>5276</v>
      </c>
      <c r="O82" s="13" t="s">
        <v>4149</v>
      </c>
      <c r="P82" s="13" t="s">
        <v>2852</v>
      </c>
      <c r="Q82" s="13" t="s">
        <v>5277</v>
      </c>
      <c r="R82" s="13" t="s">
        <v>5438</v>
      </c>
      <c r="S82" s="13" t="s">
        <v>5278</v>
      </c>
      <c r="T82" s="13" t="s">
        <v>3174</v>
      </c>
      <c r="U82" s="14" t="s">
        <v>3246</v>
      </c>
      <c r="V82" s="14" t="s">
        <v>2900</v>
      </c>
      <c r="W82" s="14" t="s">
        <v>2865</v>
      </c>
      <c r="X82" s="14" t="s">
        <v>2979</v>
      </c>
      <c r="Y82" s="15">
        <v>1</v>
      </c>
      <c r="Z82" s="11">
        <v>95</v>
      </c>
      <c r="AA82" s="11">
        <v>6174.05</v>
      </c>
      <c r="AB82" s="16">
        <v>64.99</v>
      </c>
      <c r="AC82" s="17">
        <v>0.7186</v>
      </c>
      <c r="AD82" s="16">
        <v>8.54</v>
      </c>
      <c r="AE82" s="18">
        <v>4.3</v>
      </c>
      <c r="AF82" s="11">
        <v>95</v>
      </c>
      <c r="AG82" s="19">
        <v>0.0105</v>
      </c>
      <c r="AH82" s="11">
        <v>1</v>
      </c>
      <c r="AI82" s="11">
        <v>3</v>
      </c>
      <c r="AJ82" s="9" t="s">
        <v>947</v>
      </c>
      <c r="AK82" s="9" t="s">
        <v>6141</v>
      </c>
      <c r="AL82" s="21">
        <v>790</v>
      </c>
      <c r="AM82" s="21">
        <v>1</v>
      </c>
      <c r="AN82" s="21">
        <v>1</v>
      </c>
      <c r="AO82" s="10" t="s">
        <v>6142</v>
      </c>
      <c r="AP82" s="9" t="s">
        <v>1110</v>
      </c>
      <c r="AQ82" s="10" t="s">
        <v>6143</v>
      </c>
      <c r="AR82" s="9" t="s">
        <v>997</v>
      </c>
      <c r="AS82" s="22" t="s">
        <v>6144</v>
      </c>
      <c r="AT82" s="22" t="s">
        <v>6145</v>
      </c>
    </row>
    <row r="83" ht="24" customHeight="1" spans="1:46">
      <c r="A83" s="9" t="str">
        <f>_xlfn.DISPIMG("ID_35D9A2171F4D495396045981EF9E1756",1)</f>
        <v>=DISPIMG("ID_35D9A2171F4D495396045981EF9E1756",1)</v>
      </c>
      <c r="B83" s="10" t="s">
        <v>6146</v>
      </c>
      <c r="C83" s="10" t="s">
        <v>6146</v>
      </c>
      <c r="D83" s="10" t="s">
        <v>65</v>
      </c>
      <c r="E83" s="10" t="s">
        <v>6147</v>
      </c>
      <c r="F83" s="10" t="s">
        <v>6148</v>
      </c>
      <c r="G83" s="10" t="s">
        <v>5738</v>
      </c>
      <c r="H83" s="10" t="s">
        <v>6149</v>
      </c>
      <c r="I83" s="10" t="s">
        <v>6150</v>
      </c>
      <c r="J83" s="9" t="s">
        <v>65</v>
      </c>
      <c r="K83" s="10" t="s">
        <v>5275</v>
      </c>
      <c r="L83" s="10" t="s">
        <v>851</v>
      </c>
      <c r="M83" s="11">
        <v>48374</v>
      </c>
      <c r="N83" s="12" t="s">
        <v>5276</v>
      </c>
      <c r="O83" s="13" t="s">
        <v>1758</v>
      </c>
      <c r="P83" s="13" t="s">
        <v>2809</v>
      </c>
      <c r="Q83" s="13" t="s">
        <v>5289</v>
      </c>
      <c r="R83" s="13" t="s">
        <v>5438</v>
      </c>
      <c r="S83" s="13" t="s">
        <v>5278</v>
      </c>
      <c r="T83" s="13" t="s">
        <v>3174</v>
      </c>
      <c r="U83" s="14" t="s">
        <v>3418</v>
      </c>
      <c r="V83" s="14" t="s">
        <v>2917</v>
      </c>
      <c r="W83" s="14" t="s">
        <v>2933</v>
      </c>
      <c r="X83" s="14" t="s">
        <v>2934</v>
      </c>
      <c r="Y83" s="15">
        <v>1</v>
      </c>
      <c r="Z83" s="11">
        <v>37</v>
      </c>
      <c r="AA83" s="11">
        <v>2589.63</v>
      </c>
      <c r="AB83" s="16">
        <v>69.99</v>
      </c>
      <c r="AC83" s="17">
        <v>0.7236</v>
      </c>
      <c r="AD83" s="16">
        <v>8.85</v>
      </c>
      <c r="AE83" s="18">
        <v>5</v>
      </c>
      <c r="AF83" s="11">
        <v>1</v>
      </c>
      <c r="AG83" s="19">
        <v>0</v>
      </c>
      <c r="AH83" s="11">
        <v>0</v>
      </c>
      <c r="AI83" s="20"/>
      <c r="AJ83" s="9" t="s">
        <v>65</v>
      </c>
      <c r="AK83" s="9" t="s">
        <v>6151</v>
      </c>
      <c r="AL83" s="21">
        <v>24</v>
      </c>
      <c r="AM83" s="21">
        <v>1</v>
      </c>
      <c r="AN83" s="21">
        <v>1</v>
      </c>
      <c r="AO83" s="10" t="s">
        <v>5742</v>
      </c>
      <c r="AP83" s="9" t="s">
        <v>65</v>
      </c>
      <c r="AQ83" s="10" t="s">
        <v>65</v>
      </c>
      <c r="AR83" s="9" t="s">
        <v>997</v>
      </c>
      <c r="AS83" s="22" t="s">
        <v>6152</v>
      </c>
      <c r="AT83" s="22" t="s">
        <v>6153</v>
      </c>
    </row>
    <row r="84" ht="24" customHeight="1" spans="1:46">
      <c r="A84" s="9" t="str">
        <f>_xlfn.DISPIMG("ID_DD4208A522B34381AD1A51C00493DDD2",1)</f>
        <v>=DISPIMG("ID_DD4208A522B34381AD1A51C00493DDD2",1)</v>
      </c>
      <c r="B84" s="10" t="s">
        <v>6154</v>
      </c>
      <c r="C84" s="10" t="s">
        <v>6155</v>
      </c>
      <c r="D84" s="10" t="s">
        <v>6156</v>
      </c>
      <c r="E84" s="10" t="s">
        <v>6157</v>
      </c>
      <c r="F84" s="10" t="s">
        <v>6158</v>
      </c>
      <c r="G84" s="10" t="s">
        <v>3854</v>
      </c>
      <c r="H84" s="10" t="s">
        <v>6159</v>
      </c>
      <c r="I84" s="10" t="s">
        <v>6160</v>
      </c>
      <c r="J84" s="9" t="s">
        <v>1003</v>
      </c>
      <c r="K84" s="10" t="s">
        <v>5275</v>
      </c>
      <c r="L84" s="10" t="s">
        <v>851</v>
      </c>
      <c r="M84" s="11">
        <v>49122</v>
      </c>
      <c r="N84" s="12" t="s">
        <v>5276</v>
      </c>
      <c r="O84" s="13" t="s">
        <v>2103</v>
      </c>
      <c r="P84" s="13" t="s">
        <v>2809</v>
      </c>
      <c r="Q84" s="13" t="s">
        <v>5694</v>
      </c>
      <c r="R84" s="13" t="s">
        <v>3170</v>
      </c>
      <c r="S84" s="13" t="s">
        <v>1003</v>
      </c>
      <c r="T84" s="13" t="s">
        <v>3174</v>
      </c>
      <c r="U84" s="14" t="s">
        <v>5683</v>
      </c>
      <c r="V84" s="14" t="s">
        <v>2821</v>
      </c>
      <c r="W84" s="14" t="s">
        <v>2865</v>
      </c>
      <c r="X84" s="14" t="s">
        <v>2823</v>
      </c>
      <c r="Y84" s="15">
        <v>1</v>
      </c>
      <c r="Z84" s="11">
        <v>1243</v>
      </c>
      <c r="AA84" s="11">
        <v>305703.44</v>
      </c>
      <c r="AB84" s="16">
        <v>245.94</v>
      </c>
      <c r="AC84" s="17">
        <v>0.5915</v>
      </c>
      <c r="AD84" s="16">
        <v>63.58</v>
      </c>
      <c r="AE84" s="18">
        <v>4.4</v>
      </c>
      <c r="AF84" s="11">
        <v>1515</v>
      </c>
      <c r="AG84" s="19">
        <v>0.0274</v>
      </c>
      <c r="AH84" s="11">
        <v>34</v>
      </c>
      <c r="AI84" s="11">
        <v>93</v>
      </c>
      <c r="AJ84" s="9" t="s">
        <v>854</v>
      </c>
      <c r="AK84" s="9" t="s">
        <v>6161</v>
      </c>
      <c r="AL84" s="21">
        <v>1177</v>
      </c>
      <c r="AM84" s="21">
        <v>5</v>
      </c>
      <c r="AN84" s="21">
        <v>4</v>
      </c>
      <c r="AO84" s="10" t="s">
        <v>1515</v>
      </c>
      <c r="AP84" s="9" t="s">
        <v>65</v>
      </c>
      <c r="AQ84" s="10" t="s">
        <v>65</v>
      </c>
      <c r="AR84" s="9" t="s">
        <v>1516</v>
      </c>
      <c r="AS84" s="22" t="s">
        <v>6162</v>
      </c>
      <c r="AT84" s="22" t="s">
        <v>6163</v>
      </c>
    </row>
    <row r="85" ht="24" customHeight="1" spans="1:46">
      <c r="A85" s="9" t="str">
        <f>_xlfn.DISPIMG("ID_7BFF93D755934359A7AEC2C7EEB00DC4",1)</f>
        <v>=DISPIMG("ID_7BFF93D755934359A7AEC2C7EEB00DC4",1)</v>
      </c>
      <c r="B85" s="10" t="s">
        <v>6164</v>
      </c>
      <c r="C85" s="10" t="s">
        <v>6164</v>
      </c>
      <c r="D85" s="10" t="s">
        <v>65</v>
      </c>
      <c r="E85" s="10" t="s">
        <v>6165</v>
      </c>
      <c r="F85" s="10" t="s">
        <v>6166</v>
      </c>
      <c r="G85" s="10" t="s">
        <v>6167</v>
      </c>
      <c r="H85" s="10" t="s">
        <v>6168</v>
      </c>
      <c r="I85" s="10" t="s">
        <v>6169</v>
      </c>
      <c r="J85" s="9" t="s">
        <v>1003</v>
      </c>
      <c r="K85" s="10" t="s">
        <v>5275</v>
      </c>
      <c r="L85" s="10" t="s">
        <v>851</v>
      </c>
      <c r="M85" s="11">
        <v>49301</v>
      </c>
      <c r="N85" s="12" t="s">
        <v>5276</v>
      </c>
      <c r="O85" s="13" t="s">
        <v>4181</v>
      </c>
      <c r="P85" s="13" t="s">
        <v>2986</v>
      </c>
      <c r="Q85" s="13" t="s">
        <v>5006</v>
      </c>
      <c r="R85" s="13" t="s">
        <v>5438</v>
      </c>
      <c r="S85" s="13" t="s">
        <v>5278</v>
      </c>
      <c r="T85" s="13" t="s">
        <v>3174</v>
      </c>
      <c r="U85" s="14" t="s">
        <v>3418</v>
      </c>
      <c r="V85" s="14" t="s">
        <v>2883</v>
      </c>
      <c r="W85" s="14" t="s">
        <v>2930</v>
      </c>
      <c r="X85" s="14" t="s">
        <v>2934</v>
      </c>
      <c r="Y85" s="15">
        <v>1</v>
      </c>
      <c r="Z85" s="11">
        <v>174</v>
      </c>
      <c r="AA85" s="11">
        <v>12178.26</v>
      </c>
      <c r="AB85" s="16">
        <v>69.99</v>
      </c>
      <c r="AC85" s="17">
        <v>0.6268</v>
      </c>
      <c r="AD85" s="16">
        <v>15.62</v>
      </c>
      <c r="AE85" s="18">
        <v>4.2</v>
      </c>
      <c r="AF85" s="11">
        <v>25</v>
      </c>
      <c r="AG85" s="19">
        <v>0.023</v>
      </c>
      <c r="AH85" s="11">
        <v>4</v>
      </c>
      <c r="AI85" s="11">
        <v>9</v>
      </c>
      <c r="AJ85" s="9" t="s">
        <v>876</v>
      </c>
      <c r="AK85" s="9" t="s">
        <v>6170</v>
      </c>
      <c r="AL85" s="21">
        <v>273</v>
      </c>
      <c r="AM85" s="21">
        <v>1</v>
      </c>
      <c r="AN85" s="21">
        <v>1</v>
      </c>
      <c r="AO85" s="10" t="s">
        <v>6171</v>
      </c>
      <c r="AP85" s="9" t="s">
        <v>1288</v>
      </c>
      <c r="AQ85" s="10" t="s">
        <v>6172</v>
      </c>
      <c r="AR85" s="9" t="s">
        <v>997</v>
      </c>
      <c r="AS85" s="22" t="s">
        <v>6173</v>
      </c>
      <c r="AT85" s="22" t="s">
        <v>6174</v>
      </c>
    </row>
    <row r="86" ht="24" customHeight="1" spans="1:46">
      <c r="A86" s="9" t="str">
        <f>_xlfn.DISPIMG("ID_27AA9C44BAA3413D8D8F89C71E2B35AF",1)</f>
        <v>=DISPIMG("ID_27AA9C44BAA3413D8D8F89C71E2B35AF",1)</v>
      </c>
      <c r="B86" s="10" t="s">
        <v>6175</v>
      </c>
      <c r="C86" s="10" t="s">
        <v>6176</v>
      </c>
      <c r="D86" s="10" t="s">
        <v>3196</v>
      </c>
      <c r="E86" s="10" t="s">
        <v>6177</v>
      </c>
      <c r="F86" s="10" t="s">
        <v>6178</v>
      </c>
      <c r="G86" s="10" t="s">
        <v>2427</v>
      </c>
      <c r="H86" s="10" t="s">
        <v>6179</v>
      </c>
      <c r="I86" s="10" t="s">
        <v>6180</v>
      </c>
      <c r="J86" s="9" t="s">
        <v>934</v>
      </c>
      <c r="K86" s="10" t="s">
        <v>5275</v>
      </c>
      <c r="L86" s="10" t="s">
        <v>851</v>
      </c>
      <c r="M86" s="11">
        <v>49550</v>
      </c>
      <c r="N86" s="12" t="s">
        <v>5276</v>
      </c>
      <c r="O86" s="13" t="s">
        <v>1730</v>
      </c>
      <c r="P86" s="13" t="s">
        <v>2809</v>
      </c>
      <c r="Q86" s="13" t="s">
        <v>5619</v>
      </c>
      <c r="R86" s="13" t="s">
        <v>3170</v>
      </c>
      <c r="S86" s="13" t="s">
        <v>1003</v>
      </c>
      <c r="T86" s="13" t="s">
        <v>2889</v>
      </c>
      <c r="U86" s="14" t="s">
        <v>6181</v>
      </c>
      <c r="V86" s="14" t="s">
        <v>2821</v>
      </c>
      <c r="W86" s="14" t="s">
        <v>2865</v>
      </c>
      <c r="X86" s="14" t="s">
        <v>2868</v>
      </c>
      <c r="Y86" s="15">
        <v>1</v>
      </c>
      <c r="Z86" s="11">
        <v>268</v>
      </c>
      <c r="AA86" s="11">
        <v>72357.32</v>
      </c>
      <c r="AB86" s="16">
        <v>269.99</v>
      </c>
      <c r="AC86" s="17">
        <v>0.7476</v>
      </c>
      <c r="AD86" s="16">
        <v>27.64</v>
      </c>
      <c r="AE86" s="18">
        <v>4.5</v>
      </c>
      <c r="AF86" s="11">
        <v>878</v>
      </c>
      <c r="AG86" s="19">
        <v>0.0373</v>
      </c>
      <c r="AH86" s="11">
        <v>10</v>
      </c>
      <c r="AI86" s="11">
        <v>209</v>
      </c>
      <c r="AJ86" s="9" t="s">
        <v>854</v>
      </c>
      <c r="AK86" s="9" t="s">
        <v>6182</v>
      </c>
      <c r="AL86" s="21">
        <v>1604</v>
      </c>
      <c r="AM86" s="21">
        <v>3</v>
      </c>
      <c r="AN86" s="21">
        <v>1</v>
      </c>
      <c r="AO86" s="10" t="s">
        <v>2432</v>
      </c>
      <c r="AP86" s="9" t="s">
        <v>1110</v>
      </c>
      <c r="AQ86" s="10" t="s">
        <v>6183</v>
      </c>
      <c r="AR86" s="9" t="s">
        <v>2728</v>
      </c>
      <c r="AS86" s="22" t="s">
        <v>6184</v>
      </c>
      <c r="AT86" s="22" t="s">
        <v>6185</v>
      </c>
    </row>
    <row r="87" ht="24" customHeight="1" spans="1:46">
      <c r="A87" s="9" t="str">
        <f>_xlfn.DISPIMG("ID_B3CD866E89AB4FA7B413332177E78E0B",1)</f>
        <v>=DISPIMG("ID_B3CD866E89AB4FA7B413332177E78E0B",1)</v>
      </c>
      <c r="B87" s="10" t="s">
        <v>6186</v>
      </c>
      <c r="C87" s="10" t="s">
        <v>6187</v>
      </c>
      <c r="D87" s="10" t="s">
        <v>6188</v>
      </c>
      <c r="E87" s="10" t="s">
        <v>6189</v>
      </c>
      <c r="F87" s="10" t="s">
        <v>6190</v>
      </c>
      <c r="G87" s="10" t="s">
        <v>3854</v>
      </c>
      <c r="H87" s="10" t="s">
        <v>6191</v>
      </c>
      <c r="I87" s="10" t="s">
        <v>6192</v>
      </c>
      <c r="J87" s="9" t="s">
        <v>934</v>
      </c>
      <c r="K87" s="10" t="s">
        <v>5275</v>
      </c>
      <c r="L87" s="10" t="s">
        <v>851</v>
      </c>
      <c r="M87" s="11">
        <v>50190</v>
      </c>
      <c r="N87" s="12" t="s">
        <v>5276</v>
      </c>
      <c r="O87" s="13" t="s">
        <v>4204</v>
      </c>
      <c r="P87" s="13" t="s">
        <v>3005</v>
      </c>
      <c r="Q87" s="13" t="s">
        <v>5619</v>
      </c>
      <c r="R87" s="13" t="s">
        <v>3170</v>
      </c>
      <c r="S87" s="13" t="s">
        <v>1003</v>
      </c>
      <c r="T87" s="13" t="s">
        <v>5815</v>
      </c>
      <c r="U87" s="14" t="s">
        <v>5683</v>
      </c>
      <c r="V87" s="14" t="s">
        <v>2821</v>
      </c>
      <c r="W87" s="14" t="s">
        <v>2865</v>
      </c>
      <c r="X87" s="14" t="s">
        <v>2911</v>
      </c>
      <c r="Y87" s="15">
        <v>1</v>
      </c>
      <c r="Z87" s="11">
        <v>412</v>
      </c>
      <c r="AA87" s="11">
        <v>100935.88</v>
      </c>
      <c r="AB87" s="16">
        <v>244.99</v>
      </c>
      <c r="AC87" s="17">
        <v>0.6058</v>
      </c>
      <c r="AD87" s="16">
        <v>60.81</v>
      </c>
      <c r="AE87" s="18">
        <v>4.5</v>
      </c>
      <c r="AF87" s="11">
        <v>703</v>
      </c>
      <c r="AG87" s="19">
        <v>0.0413</v>
      </c>
      <c r="AH87" s="11">
        <v>17</v>
      </c>
      <c r="AI87" s="11">
        <v>59</v>
      </c>
      <c r="AJ87" s="9" t="s">
        <v>854</v>
      </c>
      <c r="AK87" s="9" t="s">
        <v>6193</v>
      </c>
      <c r="AL87" s="21">
        <v>1384</v>
      </c>
      <c r="AM87" s="21">
        <v>8</v>
      </c>
      <c r="AN87" s="21">
        <v>10</v>
      </c>
      <c r="AO87" s="10" t="s">
        <v>1515</v>
      </c>
      <c r="AP87" s="9" t="s">
        <v>65</v>
      </c>
      <c r="AQ87" s="10" t="s">
        <v>65</v>
      </c>
      <c r="AR87" s="9" t="s">
        <v>1516</v>
      </c>
      <c r="AS87" s="22" t="s">
        <v>6194</v>
      </c>
      <c r="AT87" s="22" t="s">
        <v>6195</v>
      </c>
    </row>
    <row r="88" ht="24" customHeight="1" spans="1:46">
      <c r="A88" s="9" t="str">
        <f>_xlfn.DISPIMG("ID_D086CFBECADB4B6B86189B257A5D7355",1)</f>
        <v>=DISPIMG("ID_D086CFBECADB4B6B86189B257A5D7355",1)</v>
      </c>
      <c r="B88" s="10" t="s">
        <v>6196</v>
      </c>
      <c r="C88" s="10" t="s">
        <v>6196</v>
      </c>
      <c r="D88" s="10" t="s">
        <v>65</v>
      </c>
      <c r="E88" s="10" t="s">
        <v>6197</v>
      </c>
      <c r="F88" s="10" t="s">
        <v>6198</v>
      </c>
      <c r="G88" s="10" t="s">
        <v>6199</v>
      </c>
      <c r="H88" s="10" t="s">
        <v>6200</v>
      </c>
      <c r="I88" s="10" t="s">
        <v>6201</v>
      </c>
      <c r="J88" s="9" t="s">
        <v>934</v>
      </c>
      <c r="K88" s="10" t="s">
        <v>5275</v>
      </c>
      <c r="L88" s="10" t="s">
        <v>851</v>
      </c>
      <c r="M88" s="11">
        <v>51725</v>
      </c>
      <c r="N88" s="12" t="s">
        <v>5276</v>
      </c>
      <c r="O88" s="13" t="s">
        <v>1923</v>
      </c>
      <c r="P88" s="13" t="s">
        <v>2986</v>
      </c>
      <c r="Q88" s="13" t="s">
        <v>5277</v>
      </c>
      <c r="R88" s="13" t="s">
        <v>5438</v>
      </c>
      <c r="S88" s="13" t="s">
        <v>5278</v>
      </c>
      <c r="T88" s="13" t="s">
        <v>3174</v>
      </c>
      <c r="U88" s="14" t="s">
        <v>3445</v>
      </c>
      <c r="V88" s="14" t="s">
        <v>2883</v>
      </c>
      <c r="W88" s="14" t="s">
        <v>2822</v>
      </c>
      <c r="X88" s="14" t="s">
        <v>2934</v>
      </c>
      <c r="Y88" s="15">
        <v>1</v>
      </c>
      <c r="Z88" s="11">
        <v>445</v>
      </c>
      <c r="AA88" s="11">
        <v>26250.55</v>
      </c>
      <c r="AB88" s="16">
        <v>58.99</v>
      </c>
      <c r="AC88" s="17">
        <v>0.7052</v>
      </c>
      <c r="AD88" s="16">
        <v>8.54</v>
      </c>
      <c r="AE88" s="18">
        <v>4.7</v>
      </c>
      <c r="AF88" s="11">
        <v>37</v>
      </c>
      <c r="AG88" s="19">
        <v>0.0135</v>
      </c>
      <c r="AH88" s="11">
        <v>6</v>
      </c>
      <c r="AI88" s="11">
        <v>3</v>
      </c>
      <c r="AJ88" s="9" t="s">
        <v>1267</v>
      </c>
      <c r="AK88" s="9" t="s">
        <v>6202</v>
      </c>
      <c r="AL88" s="21">
        <v>281</v>
      </c>
      <c r="AM88" s="21">
        <v>1</v>
      </c>
      <c r="AN88" s="21">
        <v>1</v>
      </c>
      <c r="AO88" s="10" t="s">
        <v>6203</v>
      </c>
      <c r="AP88" s="9" t="s">
        <v>1110</v>
      </c>
      <c r="AQ88" s="10" t="s">
        <v>6204</v>
      </c>
      <c r="AR88" s="9" t="s">
        <v>997</v>
      </c>
      <c r="AS88" s="22" t="s">
        <v>6205</v>
      </c>
      <c r="AT88" s="22" t="s">
        <v>6206</v>
      </c>
    </row>
    <row r="89" ht="24" customHeight="1" spans="1:46">
      <c r="A89" s="9" t="str">
        <f>_xlfn.DISPIMG("ID_E2A89678215A4A0FB56F81CABF6054D7",1)</f>
        <v>=DISPIMG("ID_E2A89678215A4A0FB56F81CABF6054D7",1)</v>
      </c>
      <c r="B89" s="10" t="s">
        <v>6207</v>
      </c>
      <c r="C89" s="10" t="s">
        <v>6208</v>
      </c>
      <c r="D89" s="10" t="s">
        <v>3196</v>
      </c>
      <c r="E89" s="10" t="s">
        <v>6209</v>
      </c>
      <c r="F89" s="10" t="s">
        <v>6210</v>
      </c>
      <c r="G89" s="10" t="s">
        <v>5604</v>
      </c>
      <c r="H89" s="10" t="s">
        <v>6211</v>
      </c>
      <c r="I89" s="10" t="s">
        <v>6212</v>
      </c>
      <c r="J89" s="9" t="s">
        <v>974</v>
      </c>
      <c r="K89" s="10" t="s">
        <v>5275</v>
      </c>
      <c r="L89" s="10" t="s">
        <v>5607</v>
      </c>
      <c r="M89" s="11">
        <v>11697</v>
      </c>
      <c r="N89" s="12" t="s">
        <v>5276</v>
      </c>
      <c r="O89" s="13" t="s">
        <v>1905</v>
      </c>
      <c r="P89" s="13" t="s">
        <v>2809</v>
      </c>
      <c r="Q89" s="13" t="s">
        <v>5277</v>
      </c>
      <c r="R89" s="13" t="s">
        <v>5438</v>
      </c>
      <c r="S89" s="13" t="s">
        <v>5278</v>
      </c>
      <c r="T89" s="13" t="s">
        <v>3174</v>
      </c>
      <c r="U89" s="14" t="s">
        <v>3310</v>
      </c>
      <c r="V89" s="14" t="s">
        <v>2917</v>
      </c>
      <c r="W89" s="14" t="s">
        <v>2865</v>
      </c>
      <c r="X89" s="14" t="s">
        <v>2979</v>
      </c>
      <c r="Y89" s="15">
        <v>1</v>
      </c>
      <c r="Z89" s="11">
        <v>4906</v>
      </c>
      <c r="AA89" s="11">
        <v>245250.95</v>
      </c>
      <c r="AB89" s="16">
        <v>49.99</v>
      </c>
      <c r="AC89" s="17">
        <v>0.6525</v>
      </c>
      <c r="AD89" s="16">
        <v>8.54</v>
      </c>
      <c r="AE89" s="18">
        <v>4.5</v>
      </c>
      <c r="AF89" s="11">
        <v>65</v>
      </c>
      <c r="AG89" s="19">
        <v>0.0008</v>
      </c>
      <c r="AH89" s="11">
        <v>4</v>
      </c>
      <c r="AI89" s="20"/>
      <c r="AJ89" s="9" t="s">
        <v>65</v>
      </c>
      <c r="AK89" s="9" t="s">
        <v>6213</v>
      </c>
      <c r="AL89" s="21">
        <v>169</v>
      </c>
      <c r="AM89" s="21">
        <v>4</v>
      </c>
      <c r="AN89" s="21">
        <v>6</v>
      </c>
      <c r="AO89" s="10" t="s">
        <v>5609</v>
      </c>
      <c r="AP89" s="9" t="s">
        <v>65</v>
      </c>
      <c r="AQ89" s="10" t="s">
        <v>65</v>
      </c>
      <c r="AR89" s="9" t="s">
        <v>997</v>
      </c>
      <c r="AS89" s="22" t="s">
        <v>6214</v>
      </c>
      <c r="AT89" s="22" t="s">
        <v>6215</v>
      </c>
    </row>
    <row r="90" ht="24" customHeight="1" spans="1:46">
      <c r="A90" s="9" t="str">
        <f>_xlfn.DISPIMG("ID_A36FDBD4F61D407DB9E081795F133E81",1)</f>
        <v>=DISPIMG("ID_A36FDBD4F61D407DB9E081795F133E81",1)</v>
      </c>
      <c r="B90" s="10" t="s">
        <v>6216</v>
      </c>
      <c r="C90" s="10" t="s">
        <v>6216</v>
      </c>
      <c r="D90" s="10" t="s">
        <v>65</v>
      </c>
      <c r="E90" s="10" t="s">
        <v>6217</v>
      </c>
      <c r="F90" s="10" t="s">
        <v>6218</v>
      </c>
      <c r="G90" s="10" t="s">
        <v>6219</v>
      </c>
      <c r="H90" s="10" t="s">
        <v>6220</v>
      </c>
      <c r="I90" s="10" t="s">
        <v>6221</v>
      </c>
      <c r="J90" s="9" t="s">
        <v>65</v>
      </c>
      <c r="K90" s="10" t="s">
        <v>5275</v>
      </c>
      <c r="L90" s="10" t="s">
        <v>851</v>
      </c>
      <c r="M90" s="11">
        <v>54746</v>
      </c>
      <c r="N90" s="12" t="s">
        <v>5276</v>
      </c>
      <c r="O90" s="13" t="s">
        <v>6222</v>
      </c>
      <c r="P90" s="13" t="s">
        <v>2986</v>
      </c>
      <c r="Q90" s="13" t="s">
        <v>5277</v>
      </c>
      <c r="R90" s="13" t="s">
        <v>5438</v>
      </c>
      <c r="S90" s="13" t="s">
        <v>5278</v>
      </c>
      <c r="T90" s="13" t="s">
        <v>3174</v>
      </c>
      <c r="U90" s="14" t="s">
        <v>5713</v>
      </c>
      <c r="V90" s="14" t="s">
        <v>2883</v>
      </c>
      <c r="W90" s="14" t="s">
        <v>2993</v>
      </c>
      <c r="X90" s="14" t="s">
        <v>2934</v>
      </c>
      <c r="Y90" s="15">
        <v>1</v>
      </c>
      <c r="Z90" s="11">
        <v>3</v>
      </c>
      <c r="AA90" s="11">
        <v>269.97</v>
      </c>
      <c r="AB90" s="16">
        <v>89.99</v>
      </c>
      <c r="AC90" s="17">
        <v>0.703</v>
      </c>
      <c r="AD90" s="16">
        <v>13.23</v>
      </c>
      <c r="AE90" s="18">
        <v>4</v>
      </c>
      <c r="AF90" s="11">
        <v>1</v>
      </c>
      <c r="AG90" s="19">
        <v>0</v>
      </c>
      <c r="AH90" s="11">
        <v>0</v>
      </c>
      <c r="AI90" s="20"/>
      <c r="AJ90" s="9" t="s">
        <v>65</v>
      </c>
      <c r="AK90" s="9" t="s">
        <v>1167</v>
      </c>
      <c r="AL90" s="21">
        <v>189</v>
      </c>
      <c r="AM90" s="21">
        <v>1</v>
      </c>
      <c r="AN90" s="21">
        <v>1</v>
      </c>
      <c r="AO90" s="10" t="s">
        <v>6223</v>
      </c>
      <c r="AP90" s="9" t="s">
        <v>1288</v>
      </c>
      <c r="AQ90" s="10" t="s">
        <v>6224</v>
      </c>
      <c r="AR90" s="9" t="s">
        <v>997</v>
      </c>
      <c r="AS90" s="22" t="s">
        <v>1119</v>
      </c>
      <c r="AT90" s="22" t="s">
        <v>6225</v>
      </c>
    </row>
    <row r="91" ht="24" customHeight="1" spans="1:46">
      <c r="A91" s="9" t="str">
        <f>_xlfn.DISPIMG("ID_9B49BD0BD3F94DB38D65AAE8D9D3E00F",1)</f>
        <v>=DISPIMG("ID_9B49BD0BD3F94DB38D65AAE8D9D3E00F",1)</v>
      </c>
      <c r="B91" s="10" t="s">
        <v>6226</v>
      </c>
      <c r="C91" s="10" t="s">
        <v>6226</v>
      </c>
      <c r="D91" s="10" t="s">
        <v>65</v>
      </c>
      <c r="E91" s="10" t="s">
        <v>6227</v>
      </c>
      <c r="F91" s="10" t="s">
        <v>6228</v>
      </c>
      <c r="G91" s="10" t="s">
        <v>6229</v>
      </c>
      <c r="H91" s="10" t="s">
        <v>6230</v>
      </c>
      <c r="I91" s="10" t="s">
        <v>6231</v>
      </c>
      <c r="J91" s="9" t="s">
        <v>65</v>
      </c>
      <c r="K91" s="10" t="s">
        <v>5275</v>
      </c>
      <c r="L91" s="10" t="s">
        <v>851</v>
      </c>
      <c r="M91" s="11">
        <v>55201</v>
      </c>
      <c r="N91" s="12" t="s">
        <v>5276</v>
      </c>
      <c r="O91" s="13" t="s">
        <v>4262</v>
      </c>
      <c r="P91" s="13" t="s">
        <v>2809</v>
      </c>
      <c r="Q91" s="13" t="s">
        <v>5277</v>
      </c>
      <c r="R91" s="13" t="s">
        <v>3170</v>
      </c>
      <c r="S91" s="13" t="s">
        <v>5278</v>
      </c>
      <c r="T91" s="13" t="s">
        <v>3174</v>
      </c>
      <c r="U91" s="14" t="s">
        <v>3269</v>
      </c>
      <c r="V91" s="14" t="s">
        <v>2917</v>
      </c>
      <c r="W91" s="30" t="s">
        <v>2930</v>
      </c>
      <c r="X91" s="30" t="s">
        <v>2934</v>
      </c>
      <c r="Y91" s="15">
        <v>1</v>
      </c>
      <c r="Z91" s="11">
        <v>71</v>
      </c>
      <c r="AA91" s="11">
        <v>2839.29</v>
      </c>
      <c r="AB91" s="16">
        <v>39.99</v>
      </c>
      <c r="AC91" s="17">
        <v>0.6364</v>
      </c>
      <c r="AD91" s="16">
        <v>8.54</v>
      </c>
      <c r="AE91" s="29"/>
      <c r="AF91" s="20"/>
      <c r="AG91" s="19">
        <v>0</v>
      </c>
      <c r="AH91" s="20"/>
      <c r="AI91" s="20"/>
      <c r="AJ91" s="9" t="s">
        <v>65</v>
      </c>
      <c r="AK91" s="9" t="s">
        <v>6232</v>
      </c>
      <c r="AL91" s="21">
        <v>21</v>
      </c>
      <c r="AM91" s="21">
        <v>1</v>
      </c>
      <c r="AN91" s="21">
        <v>1</v>
      </c>
      <c r="AO91" s="10" t="s">
        <v>6233</v>
      </c>
      <c r="AP91" s="9" t="s">
        <v>1110</v>
      </c>
      <c r="AQ91" s="10" t="s">
        <v>6234</v>
      </c>
      <c r="AR91" s="9" t="s">
        <v>997</v>
      </c>
      <c r="AS91" s="22" t="s">
        <v>6235</v>
      </c>
      <c r="AT91" s="22" t="s">
        <v>6236</v>
      </c>
    </row>
    <row r="92" ht="24" customHeight="1" spans="1:46">
      <c r="A92" s="9" t="str">
        <f>_xlfn.DISPIMG("ID_B0623CAAA4C840F798674237B6DAFB85",1)</f>
        <v>=DISPIMG("ID_B0623CAAA4C840F798674237B6DAFB85",1)</v>
      </c>
      <c r="B92" s="10" t="s">
        <v>6237</v>
      </c>
      <c r="C92" s="10" t="s">
        <v>6238</v>
      </c>
      <c r="D92" s="10" t="s">
        <v>6239</v>
      </c>
      <c r="E92" s="10" t="s">
        <v>6240</v>
      </c>
      <c r="F92" s="10" t="s">
        <v>6241</v>
      </c>
      <c r="G92" s="10" t="s">
        <v>6242</v>
      </c>
      <c r="H92" s="10" t="s">
        <v>6243</v>
      </c>
      <c r="I92" s="10" t="s">
        <v>6244</v>
      </c>
      <c r="J92" s="9" t="s">
        <v>974</v>
      </c>
      <c r="K92" s="10" t="s">
        <v>6245</v>
      </c>
      <c r="L92" s="10" t="s">
        <v>851</v>
      </c>
      <c r="M92" s="11">
        <v>55741</v>
      </c>
      <c r="N92" s="12" t="s">
        <v>5967</v>
      </c>
      <c r="O92" s="13" t="s">
        <v>6246</v>
      </c>
      <c r="P92" s="13" t="s">
        <v>2824</v>
      </c>
      <c r="Q92" s="13" t="s">
        <v>6247</v>
      </c>
      <c r="R92" s="13" t="s">
        <v>3170</v>
      </c>
      <c r="S92" s="13" t="s">
        <v>5278</v>
      </c>
      <c r="T92" s="13" t="s">
        <v>3174</v>
      </c>
      <c r="U92" s="14" t="s">
        <v>6248</v>
      </c>
      <c r="V92" s="14" t="s">
        <v>2821</v>
      </c>
      <c r="W92" s="14" t="s">
        <v>2822</v>
      </c>
      <c r="X92" s="14" t="s">
        <v>2911</v>
      </c>
      <c r="Y92" s="15">
        <v>1</v>
      </c>
      <c r="Z92" s="11">
        <v>129</v>
      </c>
      <c r="AA92" s="11">
        <v>109521</v>
      </c>
      <c r="AB92" s="16">
        <v>849</v>
      </c>
      <c r="AC92" s="17">
        <v>0.7648</v>
      </c>
      <c r="AD92" s="16">
        <v>72.36</v>
      </c>
      <c r="AE92" s="18">
        <v>4.7</v>
      </c>
      <c r="AF92" s="11">
        <v>626</v>
      </c>
      <c r="AG92" s="19">
        <v>0.0775</v>
      </c>
      <c r="AH92" s="11">
        <v>10</v>
      </c>
      <c r="AI92" s="20"/>
      <c r="AJ92" s="9" t="s">
        <v>947</v>
      </c>
      <c r="AK92" s="9" t="s">
        <v>6249</v>
      </c>
      <c r="AL92" s="21">
        <v>1274</v>
      </c>
      <c r="AM92" s="21">
        <v>4</v>
      </c>
      <c r="AN92" s="21">
        <v>1</v>
      </c>
      <c r="AO92" s="10" t="s">
        <v>6242</v>
      </c>
      <c r="AP92" s="9" t="s">
        <v>1401</v>
      </c>
      <c r="AQ92" s="10" t="s">
        <v>6250</v>
      </c>
      <c r="AR92" s="9" t="s">
        <v>2728</v>
      </c>
      <c r="AS92" s="22" t="s">
        <v>6251</v>
      </c>
      <c r="AT92" s="22" t="s">
        <v>6252</v>
      </c>
    </row>
    <row r="93" ht="24" customHeight="1" spans="1:46">
      <c r="A93" s="9" t="str">
        <f>_xlfn.DISPIMG("ID_C4894AA45FF64839AA336C5352AF4BA2",1)</f>
        <v>=DISPIMG("ID_C4894AA45FF64839AA336C5352AF4BA2",1)</v>
      </c>
      <c r="B93" s="10" t="s">
        <v>6253</v>
      </c>
      <c r="C93" s="10" t="s">
        <v>6254</v>
      </c>
      <c r="D93" s="10" t="s">
        <v>6255</v>
      </c>
      <c r="E93" s="10" t="s">
        <v>6256</v>
      </c>
      <c r="F93" s="10" t="s">
        <v>6257</v>
      </c>
      <c r="G93" s="10" t="s">
        <v>3854</v>
      </c>
      <c r="H93" s="10" t="s">
        <v>6258</v>
      </c>
      <c r="I93" s="10" t="s">
        <v>6259</v>
      </c>
      <c r="J93" s="9" t="s">
        <v>934</v>
      </c>
      <c r="K93" s="10" t="s">
        <v>5275</v>
      </c>
      <c r="L93" s="10" t="s">
        <v>6260</v>
      </c>
      <c r="M93" s="11">
        <v>364</v>
      </c>
      <c r="N93" s="12" t="s">
        <v>6261</v>
      </c>
      <c r="O93" s="13" t="s">
        <v>6262</v>
      </c>
      <c r="P93" s="13" t="s">
        <v>2986</v>
      </c>
      <c r="Q93" s="13" t="s">
        <v>6263</v>
      </c>
      <c r="R93" s="13" t="s">
        <v>3170</v>
      </c>
      <c r="S93" s="13" t="s">
        <v>1003</v>
      </c>
      <c r="T93" s="13" t="s">
        <v>5359</v>
      </c>
      <c r="U93" s="14" t="s">
        <v>5620</v>
      </c>
      <c r="V93" s="14" t="s">
        <v>2851</v>
      </c>
      <c r="W93" s="14" t="s">
        <v>2865</v>
      </c>
      <c r="X93" s="14" t="s">
        <v>2940</v>
      </c>
      <c r="Y93" s="15">
        <v>1</v>
      </c>
      <c r="Z93" s="11">
        <v>165</v>
      </c>
      <c r="AA93" s="11">
        <v>32998.35</v>
      </c>
      <c r="AB93" s="16">
        <v>199.99</v>
      </c>
      <c r="AC93" s="17">
        <v>0.5968</v>
      </c>
      <c r="AD93" s="16">
        <v>50.64</v>
      </c>
      <c r="AE93" s="18">
        <v>4.3</v>
      </c>
      <c r="AF93" s="11">
        <v>265</v>
      </c>
      <c r="AG93" s="19">
        <v>0.0727</v>
      </c>
      <c r="AH93" s="11">
        <v>12</v>
      </c>
      <c r="AI93" s="11">
        <v>24</v>
      </c>
      <c r="AJ93" s="9" t="s">
        <v>876</v>
      </c>
      <c r="AK93" s="9" t="s">
        <v>6264</v>
      </c>
      <c r="AL93" s="21">
        <v>960</v>
      </c>
      <c r="AM93" s="21">
        <v>10</v>
      </c>
      <c r="AN93" s="21">
        <v>8</v>
      </c>
      <c r="AO93" s="10" t="s">
        <v>1515</v>
      </c>
      <c r="AP93" s="9" t="s">
        <v>65</v>
      </c>
      <c r="AQ93" s="10" t="s">
        <v>65</v>
      </c>
      <c r="AR93" s="9" t="s">
        <v>1516</v>
      </c>
      <c r="AS93" s="22" t="s">
        <v>1915</v>
      </c>
      <c r="AT93" s="22" t="s">
        <v>6265</v>
      </c>
    </row>
    <row r="94" ht="24" customHeight="1" spans="1:46">
      <c r="A94" s="9" t="str">
        <f>_xlfn.DISPIMG("ID_519D37F05FBE4E449BB06B9C61FCEFB7",1)</f>
        <v>=DISPIMG("ID_519D37F05FBE4E449BB06B9C61FCEFB7",1)</v>
      </c>
      <c r="B94" s="10" t="s">
        <v>6266</v>
      </c>
      <c r="C94" s="10" t="s">
        <v>6267</v>
      </c>
      <c r="D94" s="10" t="s">
        <v>5400</v>
      </c>
      <c r="E94" s="10" t="s">
        <v>6268</v>
      </c>
      <c r="F94" s="10" t="s">
        <v>6269</v>
      </c>
      <c r="G94" s="10" t="s">
        <v>3854</v>
      </c>
      <c r="H94" s="10" t="s">
        <v>6270</v>
      </c>
      <c r="I94" s="10" t="s">
        <v>6271</v>
      </c>
      <c r="J94" s="9" t="s">
        <v>974</v>
      </c>
      <c r="K94" s="10" t="s">
        <v>5275</v>
      </c>
      <c r="L94" s="10" t="s">
        <v>851</v>
      </c>
      <c r="M94" s="11">
        <v>56790</v>
      </c>
      <c r="N94" s="12" t="s">
        <v>5276</v>
      </c>
      <c r="O94" s="13" t="s">
        <v>2329</v>
      </c>
      <c r="P94" s="13" t="s">
        <v>2958</v>
      </c>
      <c r="Q94" s="13" t="s">
        <v>5417</v>
      </c>
      <c r="R94" s="13" t="s">
        <v>3170</v>
      </c>
      <c r="S94" s="13" t="s">
        <v>1003</v>
      </c>
      <c r="T94" s="13" t="s">
        <v>2889</v>
      </c>
      <c r="U94" s="14" t="s">
        <v>5574</v>
      </c>
      <c r="V94" s="14" t="s">
        <v>2821</v>
      </c>
      <c r="W94" s="14" t="s">
        <v>2865</v>
      </c>
      <c r="X94" s="14" t="s">
        <v>2884</v>
      </c>
      <c r="Y94" s="15">
        <v>1</v>
      </c>
      <c r="Z94" s="11">
        <v>321</v>
      </c>
      <c r="AA94" s="11">
        <v>48146.793</v>
      </c>
      <c r="AB94" s="16">
        <v>149.99</v>
      </c>
      <c r="AC94" s="17">
        <v>0.6501</v>
      </c>
      <c r="AD94" s="16">
        <v>29.99</v>
      </c>
      <c r="AE94" s="18">
        <v>4.3</v>
      </c>
      <c r="AF94" s="11">
        <v>464</v>
      </c>
      <c r="AG94" s="19">
        <v>0.0187</v>
      </c>
      <c r="AH94" s="11">
        <v>6</v>
      </c>
      <c r="AI94" s="11">
        <v>67</v>
      </c>
      <c r="AJ94" s="9" t="s">
        <v>1098</v>
      </c>
      <c r="AK94" s="9" t="s">
        <v>6193</v>
      </c>
      <c r="AL94" s="21">
        <v>1384</v>
      </c>
      <c r="AM94" s="21">
        <v>5</v>
      </c>
      <c r="AN94" s="21">
        <v>2</v>
      </c>
      <c r="AO94" s="10" t="s">
        <v>1515</v>
      </c>
      <c r="AP94" s="9" t="s">
        <v>65</v>
      </c>
      <c r="AQ94" s="10" t="s">
        <v>65</v>
      </c>
      <c r="AR94" s="9" t="s">
        <v>1516</v>
      </c>
      <c r="AS94" s="22" t="s">
        <v>6272</v>
      </c>
      <c r="AT94" s="22" t="s">
        <v>6273</v>
      </c>
    </row>
    <row r="95" ht="24" customHeight="1" spans="1:46">
      <c r="A95" s="9" t="str">
        <f>_xlfn.DISPIMG("ID_CF7236A27C46434A8397FF124B9D96EA",1)</f>
        <v>=DISPIMG("ID_CF7236A27C46434A8397FF124B9D96EA",1)</v>
      </c>
      <c r="B95" s="10" t="s">
        <v>6274</v>
      </c>
      <c r="C95" s="10" t="s">
        <v>6274</v>
      </c>
      <c r="D95" s="10" t="s">
        <v>65</v>
      </c>
      <c r="E95" s="10" t="s">
        <v>6275</v>
      </c>
      <c r="F95" s="10" t="s">
        <v>6276</v>
      </c>
      <c r="G95" s="10" t="s">
        <v>6277</v>
      </c>
      <c r="H95" s="10" t="s">
        <v>6278</v>
      </c>
      <c r="I95" s="10" t="s">
        <v>6279</v>
      </c>
      <c r="J95" s="9" t="s">
        <v>1003</v>
      </c>
      <c r="K95" s="10" t="s">
        <v>5275</v>
      </c>
      <c r="L95" s="10" t="s">
        <v>851</v>
      </c>
      <c r="M95" s="11">
        <v>57050</v>
      </c>
      <c r="N95" s="12" t="s">
        <v>5276</v>
      </c>
      <c r="O95" s="13" t="s">
        <v>1935</v>
      </c>
      <c r="P95" s="13" t="s">
        <v>2963</v>
      </c>
      <c r="Q95" s="13" t="s">
        <v>5277</v>
      </c>
      <c r="R95" s="13" t="s">
        <v>3170</v>
      </c>
      <c r="S95" s="13" t="s">
        <v>5278</v>
      </c>
      <c r="T95" s="13" t="s">
        <v>3174</v>
      </c>
      <c r="U95" s="14" t="s">
        <v>3269</v>
      </c>
      <c r="V95" s="14" t="s">
        <v>2900</v>
      </c>
      <c r="W95" s="14" t="s">
        <v>2865</v>
      </c>
      <c r="X95" s="14" t="s">
        <v>2911</v>
      </c>
      <c r="Y95" s="15">
        <v>1</v>
      </c>
      <c r="Z95" s="11">
        <v>135</v>
      </c>
      <c r="AA95" s="11">
        <v>4869.45</v>
      </c>
      <c r="AB95" s="16">
        <v>36.07</v>
      </c>
      <c r="AC95" s="17">
        <v>0.6307</v>
      </c>
      <c r="AD95" s="16">
        <v>7.91</v>
      </c>
      <c r="AE95" s="18">
        <v>4.5</v>
      </c>
      <c r="AF95" s="11">
        <v>638</v>
      </c>
      <c r="AG95" s="19">
        <v>0</v>
      </c>
      <c r="AH95" s="11">
        <v>0</v>
      </c>
      <c r="AI95" s="11">
        <v>10</v>
      </c>
      <c r="AJ95" s="9" t="s">
        <v>876</v>
      </c>
      <c r="AK95" s="9" t="s">
        <v>1625</v>
      </c>
      <c r="AL95" s="21">
        <v>775</v>
      </c>
      <c r="AM95" s="21">
        <v>1</v>
      </c>
      <c r="AN95" s="21">
        <v>4</v>
      </c>
      <c r="AO95" s="10" t="s">
        <v>6073</v>
      </c>
      <c r="AP95" s="9" t="s">
        <v>1110</v>
      </c>
      <c r="AQ95" s="10" t="s">
        <v>6074</v>
      </c>
      <c r="AR95" s="9" t="s">
        <v>997</v>
      </c>
      <c r="AS95" s="22" t="s">
        <v>5361</v>
      </c>
      <c r="AT95" s="22" t="s">
        <v>6280</v>
      </c>
    </row>
    <row r="96" ht="24" customHeight="1" spans="1:46">
      <c r="A96" s="9" t="str">
        <f>_xlfn.DISPIMG("ID_DBFD2AA8D5634870BF0DA10746DFBC8B",1)</f>
        <v>=DISPIMG("ID_DBFD2AA8D5634870BF0DA10746DFBC8B",1)</v>
      </c>
      <c r="B96" s="10" t="s">
        <v>6281</v>
      </c>
      <c r="C96" s="10" t="s">
        <v>6282</v>
      </c>
      <c r="D96" s="10" t="s">
        <v>6283</v>
      </c>
      <c r="E96" s="10" t="s">
        <v>6284</v>
      </c>
      <c r="F96" s="10" t="s">
        <v>6285</v>
      </c>
      <c r="G96" s="10" t="s">
        <v>6286</v>
      </c>
      <c r="H96" s="10" t="s">
        <v>6287</v>
      </c>
      <c r="I96" s="10" t="s">
        <v>6288</v>
      </c>
      <c r="J96" s="9" t="s">
        <v>974</v>
      </c>
      <c r="K96" s="10" t="s">
        <v>5275</v>
      </c>
      <c r="L96" s="10" t="s">
        <v>851</v>
      </c>
      <c r="M96" s="11">
        <v>57157</v>
      </c>
      <c r="N96" s="12" t="s">
        <v>5276</v>
      </c>
      <c r="O96" s="13" t="s">
        <v>2011</v>
      </c>
      <c r="P96" s="13" t="s">
        <v>2881</v>
      </c>
      <c r="Q96" s="13" t="s">
        <v>5619</v>
      </c>
      <c r="R96" s="13" t="s">
        <v>3170</v>
      </c>
      <c r="S96" s="13" t="s">
        <v>1003</v>
      </c>
      <c r="T96" s="13" t="s">
        <v>5371</v>
      </c>
      <c r="U96" s="14" t="s">
        <v>5383</v>
      </c>
      <c r="V96" s="14" t="s">
        <v>2917</v>
      </c>
      <c r="W96" s="14" t="s">
        <v>2930</v>
      </c>
      <c r="X96" s="14" t="s">
        <v>2934</v>
      </c>
      <c r="Y96" s="15">
        <v>1</v>
      </c>
      <c r="Z96" s="11">
        <v>156</v>
      </c>
      <c r="AA96" s="11">
        <v>28078.441</v>
      </c>
      <c r="AB96" s="16">
        <v>179.99</v>
      </c>
      <c r="AC96" s="17">
        <v>0.4736</v>
      </c>
      <c r="AD96" s="16">
        <v>67.74</v>
      </c>
      <c r="AE96" s="18">
        <v>4.2</v>
      </c>
      <c r="AF96" s="11">
        <v>12</v>
      </c>
      <c r="AG96" s="19">
        <v>0.0128</v>
      </c>
      <c r="AH96" s="11">
        <v>2</v>
      </c>
      <c r="AI96" s="11">
        <v>3</v>
      </c>
      <c r="AJ96" s="9" t="s">
        <v>947</v>
      </c>
      <c r="AK96" s="9" t="s">
        <v>1014</v>
      </c>
      <c r="AL96" s="21">
        <v>161</v>
      </c>
      <c r="AM96" s="21">
        <v>3</v>
      </c>
      <c r="AN96" s="21">
        <v>1</v>
      </c>
      <c r="AO96" s="10" t="s">
        <v>6289</v>
      </c>
      <c r="AP96" s="9" t="s">
        <v>1110</v>
      </c>
      <c r="AQ96" s="10" t="s">
        <v>6290</v>
      </c>
      <c r="AR96" s="9" t="s">
        <v>2728</v>
      </c>
      <c r="AS96" s="22" t="s">
        <v>6291</v>
      </c>
      <c r="AT96" s="22" t="s">
        <v>6292</v>
      </c>
    </row>
    <row r="97" ht="24" customHeight="1" spans="1:46">
      <c r="A97" s="9" t="str">
        <f>_xlfn.DISPIMG("ID_33112E0DBE04487593F4F7FABCB9A460",1)</f>
        <v>=DISPIMG("ID_33112E0DBE04487593F4F7FABCB9A460",1)</v>
      </c>
      <c r="B97" s="10" t="s">
        <v>6293</v>
      </c>
      <c r="C97" s="10" t="s">
        <v>6294</v>
      </c>
      <c r="D97" s="10" t="s">
        <v>6295</v>
      </c>
      <c r="E97" s="10" t="s">
        <v>6296</v>
      </c>
      <c r="F97" s="10" t="s">
        <v>6297</v>
      </c>
      <c r="G97" s="10" t="s">
        <v>6298</v>
      </c>
      <c r="H97" s="10" t="s">
        <v>6299</v>
      </c>
      <c r="I97" s="10" t="s">
        <v>6300</v>
      </c>
      <c r="J97" s="9" t="s">
        <v>974</v>
      </c>
      <c r="K97" s="10" t="s">
        <v>5275</v>
      </c>
      <c r="L97" s="10" t="s">
        <v>851</v>
      </c>
      <c r="M97" s="11">
        <v>58236</v>
      </c>
      <c r="N97" s="12" t="s">
        <v>5276</v>
      </c>
      <c r="O97" s="13" t="s">
        <v>2194</v>
      </c>
      <c r="P97" s="13" t="s">
        <v>2824</v>
      </c>
      <c r="Q97" s="13" t="s">
        <v>5573</v>
      </c>
      <c r="R97" s="13" t="s">
        <v>3170</v>
      </c>
      <c r="S97" s="13" t="s">
        <v>5278</v>
      </c>
      <c r="T97" s="13" t="s">
        <v>3174</v>
      </c>
      <c r="U97" s="14" t="s">
        <v>5929</v>
      </c>
      <c r="V97" s="14" t="s">
        <v>2821</v>
      </c>
      <c r="W97" s="14" t="s">
        <v>2822</v>
      </c>
      <c r="X97" s="14" t="s">
        <v>2823</v>
      </c>
      <c r="Y97" s="15">
        <v>1</v>
      </c>
      <c r="Z97" s="11">
        <v>161</v>
      </c>
      <c r="AA97" s="11">
        <v>33737.55</v>
      </c>
      <c r="AB97" s="16">
        <v>209.55</v>
      </c>
      <c r="AC97" s="17">
        <v>0.7297</v>
      </c>
      <c r="AD97" s="16">
        <v>25.2</v>
      </c>
      <c r="AE97" s="18">
        <v>4.6</v>
      </c>
      <c r="AF97" s="11">
        <v>1348</v>
      </c>
      <c r="AG97" s="19">
        <v>0.0497</v>
      </c>
      <c r="AH97" s="11">
        <v>8</v>
      </c>
      <c r="AI97" s="11">
        <v>255</v>
      </c>
      <c r="AJ97" s="9" t="s">
        <v>854</v>
      </c>
      <c r="AK97" s="9" t="s">
        <v>6301</v>
      </c>
      <c r="AL97" s="21">
        <v>2147</v>
      </c>
      <c r="AM97" s="21">
        <v>2</v>
      </c>
      <c r="AN97" s="21">
        <v>8</v>
      </c>
      <c r="AO97" s="10" t="s">
        <v>6302</v>
      </c>
      <c r="AP97" s="9" t="s">
        <v>1288</v>
      </c>
      <c r="AQ97" s="10" t="s">
        <v>6303</v>
      </c>
      <c r="AR97" s="9" t="s">
        <v>997</v>
      </c>
      <c r="AS97" s="22" t="s">
        <v>915</v>
      </c>
      <c r="AT97" s="22" t="s">
        <v>6304</v>
      </c>
    </row>
    <row r="98" ht="24" customHeight="1" spans="1:46">
      <c r="A98" s="9" t="str">
        <f>_xlfn.DISPIMG("ID_D6910A8588E64E95AF4CC045AA2E2246",1)</f>
        <v>=DISPIMG("ID_D6910A8588E64E95AF4CC045AA2E2246",1)</v>
      </c>
      <c r="B98" s="10" t="s">
        <v>6305</v>
      </c>
      <c r="C98" s="10" t="s">
        <v>6305</v>
      </c>
      <c r="D98" s="10" t="s">
        <v>65</v>
      </c>
      <c r="E98" s="10" t="s">
        <v>6306</v>
      </c>
      <c r="F98" s="10" t="s">
        <v>6307</v>
      </c>
      <c r="G98" s="10" t="s">
        <v>3854</v>
      </c>
      <c r="H98" s="10" t="s">
        <v>6308</v>
      </c>
      <c r="I98" s="10" t="s">
        <v>6309</v>
      </c>
      <c r="J98" s="9" t="s">
        <v>934</v>
      </c>
      <c r="K98" s="10" t="s">
        <v>5275</v>
      </c>
      <c r="L98" s="10" t="s">
        <v>851</v>
      </c>
      <c r="M98" s="11">
        <v>58886</v>
      </c>
      <c r="N98" s="12" t="s">
        <v>5276</v>
      </c>
      <c r="O98" s="13" t="s">
        <v>4329</v>
      </c>
      <c r="P98" s="13" t="s">
        <v>6310</v>
      </c>
      <c r="Q98" s="13" t="s">
        <v>5619</v>
      </c>
      <c r="R98" s="13" t="s">
        <v>3170</v>
      </c>
      <c r="S98" s="13" t="s">
        <v>1003</v>
      </c>
      <c r="T98" s="13" t="s">
        <v>3174</v>
      </c>
      <c r="U98" s="14" t="s">
        <v>5929</v>
      </c>
      <c r="V98" s="14" t="s">
        <v>2851</v>
      </c>
      <c r="W98" s="14" t="s">
        <v>2865</v>
      </c>
      <c r="X98" s="14" t="s">
        <v>2911</v>
      </c>
      <c r="Y98" s="15">
        <v>1</v>
      </c>
      <c r="Z98" s="11">
        <v>188</v>
      </c>
      <c r="AA98" s="11">
        <v>40117.32</v>
      </c>
      <c r="AB98" s="16">
        <v>213.39</v>
      </c>
      <c r="AC98" s="17">
        <v>0.6019</v>
      </c>
      <c r="AD98" s="16">
        <v>52.95</v>
      </c>
      <c r="AE98" s="18">
        <v>4.3</v>
      </c>
      <c r="AF98" s="11">
        <v>682</v>
      </c>
      <c r="AG98" s="19">
        <v>0.0532</v>
      </c>
      <c r="AH98" s="11">
        <v>10</v>
      </c>
      <c r="AI98" s="11">
        <v>219</v>
      </c>
      <c r="AJ98" s="9" t="s">
        <v>947</v>
      </c>
      <c r="AK98" s="9" t="s">
        <v>6311</v>
      </c>
      <c r="AL98" s="21">
        <v>1058</v>
      </c>
      <c r="AM98" s="21">
        <v>1</v>
      </c>
      <c r="AN98" s="21">
        <v>1</v>
      </c>
      <c r="AO98" s="10" t="s">
        <v>1515</v>
      </c>
      <c r="AP98" s="9" t="s">
        <v>65</v>
      </c>
      <c r="AQ98" s="10" t="s">
        <v>65</v>
      </c>
      <c r="AR98" s="9" t="s">
        <v>1516</v>
      </c>
      <c r="AS98" s="22" t="s">
        <v>6312</v>
      </c>
      <c r="AT98" s="22" t="s">
        <v>6313</v>
      </c>
    </row>
    <row r="99" ht="24" customHeight="1" spans="1:46">
      <c r="A99" s="9" t="str">
        <f>_xlfn.DISPIMG("ID_B5A22AD49AA34AB39873D4E6BB0BA4D0",1)</f>
        <v>=DISPIMG("ID_B5A22AD49AA34AB39873D4E6BB0BA4D0",1)</v>
      </c>
      <c r="B99" s="10" t="s">
        <v>6314</v>
      </c>
      <c r="C99" s="10" t="s">
        <v>6314</v>
      </c>
      <c r="D99" s="10" t="s">
        <v>65</v>
      </c>
      <c r="E99" s="10" t="s">
        <v>6315</v>
      </c>
      <c r="F99" s="10" t="s">
        <v>6316</v>
      </c>
      <c r="G99" s="10" t="s">
        <v>5801</v>
      </c>
      <c r="H99" s="10" t="s">
        <v>6317</v>
      </c>
      <c r="I99" s="10" t="s">
        <v>6318</v>
      </c>
      <c r="J99" s="9" t="s">
        <v>974</v>
      </c>
      <c r="K99" s="10" t="s">
        <v>5275</v>
      </c>
      <c r="L99" s="10" t="s">
        <v>851</v>
      </c>
      <c r="M99" s="11">
        <v>59215</v>
      </c>
      <c r="N99" s="12" t="s">
        <v>5276</v>
      </c>
      <c r="O99" s="13" t="s">
        <v>2256</v>
      </c>
      <c r="P99" s="13" t="s">
        <v>2881</v>
      </c>
      <c r="Q99" s="13" t="s">
        <v>5694</v>
      </c>
      <c r="R99" s="13" t="s">
        <v>3170</v>
      </c>
      <c r="S99" s="13" t="s">
        <v>1003</v>
      </c>
      <c r="T99" s="13" t="s">
        <v>3174</v>
      </c>
      <c r="U99" s="14" t="s">
        <v>5383</v>
      </c>
      <c r="V99" s="14" t="s">
        <v>2821</v>
      </c>
      <c r="W99" s="14" t="s">
        <v>2865</v>
      </c>
      <c r="X99" s="14" t="s">
        <v>2940</v>
      </c>
      <c r="Y99" s="15">
        <v>1</v>
      </c>
      <c r="Z99" s="11">
        <v>32</v>
      </c>
      <c r="AA99" s="11">
        <v>5439.68</v>
      </c>
      <c r="AB99" s="16">
        <v>169.99</v>
      </c>
      <c r="AC99" s="17">
        <v>0.5337</v>
      </c>
      <c r="AD99" s="16">
        <v>56.93</v>
      </c>
      <c r="AE99" s="18">
        <v>4.5</v>
      </c>
      <c r="AF99" s="11">
        <v>283</v>
      </c>
      <c r="AG99" s="19">
        <v>0.0625</v>
      </c>
      <c r="AH99" s="11">
        <v>2</v>
      </c>
      <c r="AI99" s="11">
        <v>29</v>
      </c>
      <c r="AJ99" s="9" t="s">
        <v>947</v>
      </c>
      <c r="AK99" s="9" t="s">
        <v>6319</v>
      </c>
      <c r="AL99" s="21">
        <v>1223</v>
      </c>
      <c r="AM99" s="21">
        <v>1</v>
      </c>
      <c r="AN99" s="21">
        <v>1</v>
      </c>
      <c r="AO99" s="10" t="s">
        <v>5805</v>
      </c>
      <c r="AP99" s="9" t="s">
        <v>1288</v>
      </c>
      <c r="AQ99" s="10" t="s">
        <v>5806</v>
      </c>
      <c r="AR99" s="9" t="s">
        <v>2728</v>
      </c>
      <c r="AS99" s="22" t="s">
        <v>5807</v>
      </c>
      <c r="AT99" s="22" t="s">
        <v>6320</v>
      </c>
    </row>
    <row r="100" ht="24" customHeight="1" spans="1:46">
      <c r="A100" s="9" t="str">
        <f>_xlfn.DISPIMG("ID_DFBCB95530A0409EA777C6A7D1A9A4FC",1)</f>
        <v>=DISPIMG("ID_DFBCB95530A0409EA777C6A7D1A9A4FC",1)</v>
      </c>
      <c r="B100" s="10" t="s">
        <v>6321</v>
      </c>
      <c r="C100" s="10" t="s">
        <v>6322</v>
      </c>
      <c r="D100" s="10" t="s">
        <v>6323</v>
      </c>
      <c r="E100" s="10" t="s">
        <v>6324</v>
      </c>
      <c r="F100" s="10" t="s">
        <v>6325</v>
      </c>
      <c r="G100" s="10" t="s">
        <v>5912</v>
      </c>
      <c r="H100" s="10" t="s">
        <v>6326</v>
      </c>
      <c r="I100" s="10" t="s">
        <v>6327</v>
      </c>
      <c r="J100" s="9" t="s">
        <v>974</v>
      </c>
      <c r="K100" s="10" t="s">
        <v>5915</v>
      </c>
      <c r="L100" s="10" t="s">
        <v>851</v>
      </c>
      <c r="M100" s="11">
        <v>59810</v>
      </c>
      <c r="N100" s="12" t="s">
        <v>5276</v>
      </c>
      <c r="O100" s="13" t="s">
        <v>6328</v>
      </c>
      <c r="P100" s="13" t="s">
        <v>2824</v>
      </c>
      <c r="Q100" s="13" t="s">
        <v>5619</v>
      </c>
      <c r="R100" s="13" t="s">
        <v>3170</v>
      </c>
      <c r="S100" s="13" t="s">
        <v>1003</v>
      </c>
      <c r="T100" s="13" t="s">
        <v>2896</v>
      </c>
      <c r="U100" s="14" t="s">
        <v>5574</v>
      </c>
      <c r="V100" s="14" t="s">
        <v>2917</v>
      </c>
      <c r="W100" s="14" t="s">
        <v>6329</v>
      </c>
      <c r="X100" s="14" t="s">
        <v>2934</v>
      </c>
      <c r="Y100" s="15">
        <v>1</v>
      </c>
      <c r="Z100" s="11">
        <v>217</v>
      </c>
      <c r="AA100" s="11">
        <v>32547.832</v>
      </c>
      <c r="AB100" s="16">
        <v>149.99</v>
      </c>
      <c r="AC100" s="17">
        <v>0.5964</v>
      </c>
      <c r="AD100" s="16">
        <v>38.04</v>
      </c>
      <c r="AE100" s="18">
        <v>1</v>
      </c>
      <c r="AF100" s="11">
        <v>1</v>
      </c>
      <c r="AG100" s="19">
        <v>0</v>
      </c>
      <c r="AH100" s="11">
        <v>0</v>
      </c>
      <c r="AI100" s="20"/>
      <c r="AJ100" s="9" t="s">
        <v>65</v>
      </c>
      <c r="AK100" s="9" t="s">
        <v>6330</v>
      </c>
      <c r="AL100" s="21">
        <v>42</v>
      </c>
      <c r="AM100" s="21">
        <v>2</v>
      </c>
      <c r="AN100" s="21">
        <v>2</v>
      </c>
      <c r="AO100" s="10" t="s">
        <v>6117</v>
      </c>
      <c r="AP100" s="9" t="s">
        <v>1110</v>
      </c>
      <c r="AQ100" s="10" t="s">
        <v>6118</v>
      </c>
      <c r="AR100" s="9" t="s">
        <v>2728</v>
      </c>
      <c r="AS100" s="22" t="s">
        <v>6331</v>
      </c>
      <c r="AT100" s="22" t="s">
        <v>6332</v>
      </c>
    </row>
    <row r="101" ht="24" customHeight="1" spans="1:46">
      <c r="A101" s="9" t="str">
        <f>_xlfn.DISPIMG("ID_24344BA306204A4CB953CDE27DAA96A5",1)</f>
        <v>=DISPIMG("ID_24344BA306204A4CB953CDE27DAA96A5",1)</v>
      </c>
      <c r="B101" s="10" t="s">
        <v>6333</v>
      </c>
      <c r="C101" s="10" t="s">
        <v>6333</v>
      </c>
      <c r="D101" s="10" t="s">
        <v>65</v>
      </c>
      <c r="E101" s="10" t="s">
        <v>6334</v>
      </c>
      <c r="F101" s="10" t="s">
        <v>6335</v>
      </c>
      <c r="G101" s="10" t="s">
        <v>5738</v>
      </c>
      <c r="H101" s="10" t="s">
        <v>6336</v>
      </c>
      <c r="I101" s="10" t="s">
        <v>6337</v>
      </c>
      <c r="J101" s="9" t="s">
        <v>1042</v>
      </c>
      <c r="K101" s="10" t="s">
        <v>5275</v>
      </c>
      <c r="L101" s="10" t="s">
        <v>851</v>
      </c>
      <c r="M101" s="11">
        <v>61193</v>
      </c>
      <c r="N101" s="12" t="s">
        <v>5276</v>
      </c>
      <c r="O101" s="13" t="s">
        <v>6338</v>
      </c>
      <c r="P101" s="13" t="s">
        <v>2986</v>
      </c>
      <c r="Q101" s="13" t="s">
        <v>5289</v>
      </c>
      <c r="R101" s="13" t="s">
        <v>5438</v>
      </c>
      <c r="S101" s="13" t="s">
        <v>1003</v>
      </c>
      <c r="T101" s="13" t="s">
        <v>2896</v>
      </c>
      <c r="U101" s="14" t="s">
        <v>3418</v>
      </c>
      <c r="V101" s="14" t="s">
        <v>2917</v>
      </c>
      <c r="W101" s="14" t="s">
        <v>2865</v>
      </c>
      <c r="X101" s="14" t="s">
        <v>2934</v>
      </c>
      <c r="Y101" s="15">
        <v>1</v>
      </c>
      <c r="Z101" s="11">
        <v>1007</v>
      </c>
      <c r="AA101" s="11">
        <v>70479.93</v>
      </c>
      <c r="AB101" s="16">
        <v>69.99</v>
      </c>
      <c r="AC101" s="17">
        <v>0.6496</v>
      </c>
      <c r="AD101" s="16">
        <v>14.03</v>
      </c>
      <c r="AE101" s="18">
        <v>4.5</v>
      </c>
      <c r="AF101" s="11">
        <v>33</v>
      </c>
      <c r="AG101" s="19">
        <v>0.0189</v>
      </c>
      <c r="AH101" s="11">
        <v>19</v>
      </c>
      <c r="AI101" s="20"/>
      <c r="AJ101" s="9" t="s">
        <v>876</v>
      </c>
      <c r="AK101" s="9" t="s">
        <v>5741</v>
      </c>
      <c r="AL101" s="21">
        <v>102</v>
      </c>
      <c r="AM101" s="21">
        <v>1</v>
      </c>
      <c r="AN101" s="21">
        <v>1</v>
      </c>
      <c r="AO101" s="10" t="s">
        <v>65</v>
      </c>
      <c r="AP101" s="9" t="s">
        <v>65</v>
      </c>
      <c r="AQ101" s="10" t="s">
        <v>65</v>
      </c>
      <c r="AR101" s="9" t="s">
        <v>856</v>
      </c>
      <c r="AS101" s="22" t="s">
        <v>6339</v>
      </c>
      <c r="AT101" s="22" t="s">
        <v>6340</v>
      </c>
    </row>
  </sheetData>
  <autoFilter xmlns:etc="http://www.wps.cn/officeDocument/2017/etCustomData" ref="A1:AT101" etc:filterBottomFollowUsedRange="0">
    <extLst/>
  </autoFilter>
  <dataValidations count="4">
    <dataValidation type="list" allowBlank="1" showInputMessage="1" showErrorMessage="1" sqref="U2:U101">
      <formula1>"0~20usd,25~30usd,30~35usd,35~40usd,40~45usd,45~50usd,50~55usd,55~60usd,60~65usd,65~70usd,70~75usd,75~80usd,80~100usd,100~120us,120~140usd,140~160usd,160~180usd,180~200usd,200~220usd,220~240usd,240~260usd,260~280usd,280~300usd,≥300usd"</formula1>
    </dataValidation>
    <dataValidation type="list" allowBlank="1" showInputMessage="1" showErrorMessage="1" sqref="V2:V101">
      <formula1>"半年,半年-1年,1年~1年半,1年半~2年,2年~2年半,2年半~3年,≥3年以上"</formula1>
    </dataValidation>
    <dataValidation type="list" allowBlank="1" showInputMessage="1" showErrorMessage="1" sqref="W2:W101">
      <formula1>"0~1,1~2,2~3,3~4,4~4.2,4.2~4.5,4.5~4.8,4.8~5"</formula1>
    </dataValidation>
    <dataValidation type="list" allowBlank="1" showInputMessage="1" showErrorMessage="1" sqref="X2:X101">
      <formula1>"0-50,50-100,100-300,300-500,500-800,800-1000,≥1000"</formula1>
    </dataValidation>
  </dataValidations>
  <hyperlinks>
    <hyperlink ref="E2" r:id="rId1" display="https://www.amazon.com/dp/B01G7IL3BS?psc=1" tooltip="https://www.amazon.com/dp/B01G7IL3BS?psc=1"/>
    <hyperlink ref="F2" r:id="rId2" display="https://m.media-amazon.com/images/I/31vl3dU0i5L._AC_US600_.jpg" tooltip="https://m.media-amazon.com/images/I/31vl3dU0i5L._AC_US600_.jpg"/>
    <hyperlink ref="E3" r:id="rId3" display="https://www.amazon.com/dp/B08NQ5CPPG?psc=1" tooltip="https://www.amazon.com/dp/B08NQ5CPPG?psc=1"/>
    <hyperlink ref="F3" r:id="rId4" display="https://images-na.ssl-images-amazon.com/images/I/31wYF43uHtL._AC_US600_.jpg" tooltip="https://images-na.ssl-images-amazon.com/images/I/31wYF43uHtL._AC_US600_.jpg"/>
    <hyperlink ref="E4" r:id="rId5" display="https://www.amazon.com/dp/B07KZLJ7PB?psc=1" tooltip="https://www.amazon.com/dp/B07KZLJ7PB?psc=1"/>
    <hyperlink ref="F4" r:id="rId6" display="https://images-na.ssl-images-amazon.com/images/I/41tMsAM-k9L._AC_US600_.jpg" tooltip="https://images-na.ssl-images-amazon.com/images/I/41tMsAM-k9L._AC_US600_.jpg"/>
    <hyperlink ref="E5" r:id="rId7" display="https://www.amazon.com/dp/B076X7HF7F?psc=1" tooltip="https://www.amazon.com/dp/B076X7HF7F?psc=1"/>
    <hyperlink ref="F5" r:id="rId8" display="https://images-na.ssl-images-amazon.com/images/I/31zvudif4zL._AC_US600_.jpg" tooltip="https://images-na.ssl-images-amazon.com/images/I/31zvudif4zL._AC_US600_.jpg"/>
    <hyperlink ref="E6" r:id="rId9" display="https://www.amazon.com/dp/B07S2RBCT5?psc=1" tooltip="https://www.amazon.com/dp/B07S2RBCT5?psc=1"/>
    <hyperlink ref="F6" r:id="rId10" display="https://images-na.ssl-images-amazon.com/images/I/31X8FFcg9aL._AC_US600_.jpg" tooltip="https://images-na.ssl-images-amazon.com/images/I/31X8FFcg9aL._AC_US600_.jpg"/>
    <hyperlink ref="E7" r:id="rId11" display="https://www.amazon.com/dp/B07Y8TM6SW?psc=1" tooltip="https://www.amazon.com/dp/B07Y8TM6SW?psc=1"/>
    <hyperlink ref="F7" r:id="rId12" display="https://images-na.ssl-images-amazon.com/images/I/31DVc5msIiL._AC_US600_.jpg" tooltip="https://images-na.ssl-images-amazon.com/images/I/31DVc5msIiL._AC_US600_.jpg"/>
    <hyperlink ref="E8" r:id="rId13" display="https://www.amazon.com/dp/B087Z2MLN2?psc=1" tooltip="https://www.amazon.com/dp/B087Z2MLN2?psc=1"/>
    <hyperlink ref="F8" r:id="rId14" display="https://images-na.ssl-images-amazon.com/images/I/31GxgiNY49S._AC_US600_.jpg" tooltip="https://images-na.ssl-images-amazon.com/images/I/31GxgiNY49S._AC_US600_.jpg"/>
    <hyperlink ref="E9" r:id="rId15" display="https://www.amazon.com/dp/B0B4CJD575?psc=1" tooltip="https://www.amazon.com/dp/B0B4CJD575?psc=1"/>
    <hyperlink ref="F9" r:id="rId16" display="https://images-na.ssl-images-amazon.com/images/I/41cQkNo5a+L._AC_US600_.jpg" tooltip="https://images-na.ssl-images-amazon.com/images/I/41cQkNo5a+L._AC_US600_.jpg"/>
    <hyperlink ref="E10" r:id="rId17" display="https://www.amazon.com/dp/B0BBZFPQRL?psc=1" tooltip="https://www.amazon.com/dp/B0BBZFPQRL?psc=1"/>
    <hyperlink ref="F10" r:id="rId18" display="https://images-na.ssl-images-amazon.com/images/I/41uP68XaHdL._AC_US600_.jpg" tooltip="https://images-na.ssl-images-amazon.com/images/I/41uP68XaHdL._AC_US600_.jpg"/>
    <hyperlink ref="E11" r:id="rId19" display="https://www.amazon.com/dp/B07LDWLNVF?psc=1" tooltip="https://www.amazon.com/dp/B07LDWLNVF?psc=1"/>
    <hyperlink ref="F11" r:id="rId20" display="https://m.media-amazon.com/images/I/31PEAf-CcSL._AC_SR600,600_.jpg" tooltip="https://m.media-amazon.com/images/I/31PEAf-CcSL._AC_SR600,600_.jpg"/>
    <hyperlink ref="E12" r:id="rId21" display="https://www.amazon.com/dp/B01MRUXFJT?psc=1" tooltip="https://www.amazon.com/dp/B01MRUXFJT?psc=1"/>
    <hyperlink ref="F12" r:id="rId22" display="https://m.media-amazon.com/images/I/411-G+Av1-L._AC_SR600,600_.jpg" tooltip="https://m.media-amazon.com/images/I/411-G+Av1-L._AC_SR600,600_.jpg"/>
    <hyperlink ref="E13" r:id="rId23" display="https://www.amazon.com/dp/B08BFKSVRG?psc=1" tooltip="https://www.amazon.com/dp/B08BFKSVRG?psc=1"/>
    <hyperlink ref="F13" r:id="rId24" display="https://m.media-amazon.com/images/I/31anMONExKS._AC_SR600,600_.jpg" tooltip="https://m.media-amazon.com/images/I/31anMONExKS._AC_SR600,600_.jpg"/>
    <hyperlink ref="E14" r:id="rId25" display="https://www.amazon.com/dp/B00MVVI1FC?psc=1" tooltip="https://www.amazon.com/dp/B00MVVI1FC?psc=1"/>
    <hyperlink ref="F14" r:id="rId26" display="https://images-na.ssl-images-amazon.com/images/I/21xyPR63J1L._AC_US600_.jpg" tooltip="https://images-na.ssl-images-amazon.com/images/I/21xyPR63J1L._AC_US600_.jpg"/>
    <hyperlink ref="E15" r:id="rId27" display="https://www.amazon.com/dp/B08F2X9FBQ?psc=1" tooltip="https://www.amazon.com/dp/B08F2X9FBQ?psc=1"/>
    <hyperlink ref="F15" r:id="rId28" display="https://images-na.ssl-images-amazon.com/images/I/31r6T79Gn5L._AC_US600_.jpg" tooltip="https://images-na.ssl-images-amazon.com/images/I/31r6T79Gn5L._AC_US600_.jpg"/>
    <hyperlink ref="E16" r:id="rId29" display="https://www.amazon.com/dp/B0B2KYL4MB?psc=1" tooltip="https://www.amazon.com/dp/B0B2KYL4MB?psc=1"/>
    <hyperlink ref="F16" r:id="rId30" display="https://images-na.ssl-images-amazon.com/images/I/31rUnR+wYyL._AC_US600_.jpg" tooltip="https://images-na.ssl-images-amazon.com/images/I/31rUnR+wYyL._AC_US600_.jpg"/>
    <hyperlink ref="E17" r:id="rId31" display="https://www.amazon.com/dp/B08X6SLGXK?psc=1" tooltip="https://www.amazon.com/dp/B08X6SLGXK?psc=1"/>
    <hyperlink ref="F17" r:id="rId32" display="https://images-na.ssl-images-amazon.com/images/I/41Mbkz41tsL._AC_US600_.jpg" tooltip="https://images-na.ssl-images-amazon.com/images/I/41Mbkz41tsL._AC_US600_.jpg"/>
    <hyperlink ref="E18" r:id="rId33" display="https://www.amazon.com/dp/B089PYWXSC?psc=1" tooltip="https://www.amazon.com/dp/B089PYWXSC?psc=1"/>
    <hyperlink ref="F18" r:id="rId34" display="https://images-na.ssl-images-amazon.com/images/I/41XxivVYOuL._AC_US600_.jpg" tooltip="https://images-na.ssl-images-amazon.com/images/I/41XxivVYOuL._AC_US600_.jpg"/>
    <hyperlink ref="E19" r:id="rId35" display="https://www.amazon.com/dp/B0083H1INK?psc=1" tooltip="https://www.amazon.com/dp/B0083H1INK?psc=1"/>
    <hyperlink ref="F19" r:id="rId36" display="https://images-na.ssl-images-amazon.com/images/I/418L-SzzbNL._AC_US600_.jpg" tooltip="https://images-na.ssl-images-amazon.com/images/I/418L-SzzbNL._AC_US600_.jpg"/>
    <hyperlink ref="E20" r:id="rId37" display="https://www.amazon.com/dp/B07SW7F6D3?psc=1" tooltip="https://www.amazon.com/dp/B07SW7F6D3?psc=1"/>
    <hyperlink ref="F20" r:id="rId38" display="https://images-na.ssl-images-amazon.com/images/I/41-16oK8eiL._AC_US600_.jpg" tooltip="https://images-na.ssl-images-amazon.com/images/I/41-16oK8eiL._AC_US600_.jpg"/>
    <hyperlink ref="E21" r:id="rId39" display="https://www.amazon.com/dp/B07LDVXK4Q?psc=1" tooltip="https://www.amazon.com/dp/B07LDVXK4Q?psc=1"/>
    <hyperlink ref="F21" r:id="rId40" display="https://images-na.ssl-images-amazon.com/images/I/31m1rcaMLZL._AC_US600_.jpg" tooltip="https://images-na.ssl-images-amazon.com/images/I/31m1rcaMLZL._AC_US600_.jpg"/>
    <hyperlink ref="E22" r:id="rId41" display="https://www.amazon.com/dp/B09N9LD7ZN?psc=1" tooltip="https://www.amazon.com/dp/B09N9LD7ZN?psc=1"/>
    <hyperlink ref="F22" r:id="rId42" display="https://images-na.ssl-images-amazon.com/images/I/41zt-9aNaHL._AC_US600_.jpg" tooltip="https://images-na.ssl-images-amazon.com/images/I/41zt-9aNaHL._AC_US600_.jpg"/>
    <hyperlink ref="E23" r:id="rId43" display="https://www.amazon.com/dp/B08146P11G?psc=1" tooltip="https://www.amazon.com/dp/B08146P11G?psc=1"/>
    <hyperlink ref="F23" r:id="rId44" display="https://images-na.ssl-images-amazon.com/images/I/31oXIvJ3InL._AC_US600_.jpg" tooltip="https://images-na.ssl-images-amazon.com/images/I/31oXIvJ3InL._AC_US600_.jpg"/>
    <hyperlink ref="E24" r:id="rId45" display="https://www.amazon.com/dp/B07K6YVF49?psc=1" tooltip="https://www.amazon.com/dp/B07K6YVF49?psc=1"/>
    <hyperlink ref="F24" r:id="rId46" display="https://m.media-amazon.com/images/I/51nEc5AoIzL._AC_SR600,600_.jpg" tooltip="https://m.media-amazon.com/images/I/51nEc5AoIzL._AC_SR600,600_.jpg"/>
    <hyperlink ref="E25" r:id="rId47" display="https://www.amazon.com/dp/B09Y9FZP4Z?psc=1" tooltip="https://www.amazon.com/dp/B09Y9FZP4Z?psc=1"/>
    <hyperlink ref="F25" r:id="rId48" display="https://images-na.ssl-images-amazon.com/images/I/31NenFpJSyL._AC_US600_.jpg" tooltip="https://images-na.ssl-images-amazon.com/images/I/31NenFpJSyL._AC_US600_.jpg"/>
    <hyperlink ref="E26" r:id="rId49" display="https://www.amazon.com/dp/B09TW9SZLP?psc=1" tooltip="https://www.amazon.com/dp/B09TW9SZLP?psc=1"/>
    <hyperlink ref="F26" r:id="rId50" display="https://images-na.ssl-images-amazon.com/images/I/310LydzyT1L._AC_US600_.jpg" tooltip="https://images-na.ssl-images-amazon.com/images/I/310LydzyT1L._AC_US600_.jpg"/>
    <hyperlink ref="E27" r:id="rId51" display="https://www.amazon.com/dp/B07T1MKP41?psc=1" tooltip="https://www.amazon.com/dp/B07T1MKP41?psc=1"/>
    <hyperlink ref="F27" r:id="rId52" display="https://images-na.ssl-images-amazon.com/images/I/41BHj72fx2L._AC_US600_.jpg" tooltip="https://images-na.ssl-images-amazon.com/images/I/41BHj72fx2L._AC_US600_.jpg"/>
    <hyperlink ref="E28" r:id="rId53" display="https://www.amazon.com/dp/B08RJKSGSH?psc=1" tooltip="https://www.amazon.com/dp/B08RJKSGSH?psc=1"/>
    <hyperlink ref="F28" r:id="rId54" display="https://images-na.ssl-images-amazon.com/images/I/21aU0HdbrhL._AC_US600_.jpg" tooltip="https://images-na.ssl-images-amazon.com/images/I/21aU0HdbrhL._AC_US600_.jpg"/>
    <hyperlink ref="E29" r:id="rId55" display="https://www.amazon.com/dp/B07JCBG524?psc=1" tooltip="https://www.amazon.com/dp/B07JCBG524?psc=1"/>
    <hyperlink ref="F29" r:id="rId56" display="https://images-na.ssl-images-amazon.com/images/I/31YqdW5BqJL._AC_US600_.jpg" tooltip="https://images-na.ssl-images-amazon.com/images/I/31YqdW5BqJL._AC_US600_.jpg"/>
    <hyperlink ref="E30" r:id="rId57" display="https://www.amazon.com/dp/B0B9Y4NK4Y?psc=1" tooltip="https://www.amazon.com/dp/B0B9Y4NK4Y?psc=1"/>
    <hyperlink ref="F30" r:id="rId58" display="https://images-na.ssl-images-amazon.com/images/I/31hndm3ucxL._AC_US600_.jpg" tooltip="https://images-na.ssl-images-amazon.com/images/I/31hndm3ucxL._AC_US600_.jpg"/>
    <hyperlink ref="E31" r:id="rId59" display="https://www.amazon.com/dp/B08QDSL3Z8?psc=1" tooltip="https://www.amazon.com/dp/B08QDSL3Z8?psc=1"/>
    <hyperlink ref="F31" r:id="rId60" display="https://images-na.ssl-images-amazon.com/images/I/41QMc8k3i9S._AC_US600_.jpg" tooltip="https://images-na.ssl-images-amazon.com/images/I/41QMc8k3i9S._AC_US600_.jpg"/>
    <hyperlink ref="E32" r:id="rId61" display="https://www.amazon.com/dp/B08G5575X6?psc=1" tooltip="https://www.amazon.com/dp/B08G5575X6?psc=1"/>
    <hyperlink ref="F32" r:id="rId62" display="https://images-na.ssl-images-amazon.com/images/I/41ubFfpzPHL._AC_US600_.jpg" tooltip="https://images-na.ssl-images-amazon.com/images/I/41ubFfpzPHL._AC_US600_.jpg"/>
    <hyperlink ref="E33" r:id="rId63" display="https://www.amazon.com/dp/B00Q477Z5Q?psc=1" tooltip="https://www.amazon.com/dp/B00Q477Z5Q?psc=1"/>
    <hyperlink ref="F33" r:id="rId64" display="https://images-na.ssl-images-amazon.com/images/I/31+T9l0EHXS._AC_US600_.jpg" tooltip="https://images-na.ssl-images-amazon.com/images/I/31+T9l0EHXS._AC_US600_.jpg"/>
    <hyperlink ref="E34" r:id="rId65" display="https://www.amazon.com/dp/B01DZQI6YW?psc=1" tooltip="https://www.amazon.com/dp/B01DZQI6YW?psc=1"/>
    <hyperlink ref="F34" r:id="rId66" display="https://images-na.ssl-images-amazon.com/images/I/31ruuRp2JhL._AC_US600_.jpg" tooltip="https://images-na.ssl-images-amazon.com/images/I/31ruuRp2JhL._AC_US600_.jpg"/>
    <hyperlink ref="E35" r:id="rId67" display="https://www.amazon.com/dp/B0934YSY7C?psc=1" tooltip="https://www.amazon.com/dp/B0934YSY7C?psc=1"/>
    <hyperlink ref="F35" r:id="rId68" display="https://m.media-amazon.com/images/W/WEBP_402378-T2/images/I/314WdtoHNvL._AC_SR600,600_.jpg" tooltip="https://m.media-amazon.com/images/W/WEBP_402378-T2/images/I/314WdtoHNvL._AC_SR600,600_.jpg"/>
    <hyperlink ref="E36" r:id="rId69" display="https://www.amazon.com/dp/B07VGP5787?psc=1" tooltip="https://www.amazon.com/dp/B07VGP5787?psc=1"/>
    <hyperlink ref="F36" r:id="rId70" display="https://m.media-amazon.com/images/I/41lMNyXxDYL._AC_SR600,600_.jpg" tooltip="https://m.media-amazon.com/images/I/41lMNyXxDYL._AC_SR600,600_.jpg"/>
    <hyperlink ref="E37" r:id="rId71" display="https://www.amazon.com/dp/B08GS23VJV?psc=1" tooltip="https://www.amazon.com/dp/B08GS23VJV?psc=1"/>
    <hyperlink ref="F37" r:id="rId72" display="https://m.media-amazon.com/images/I/41Vzf6e8V5L._AC_SR600,600_.jpg" tooltip="https://m.media-amazon.com/images/I/41Vzf6e8V5L._AC_SR600,600_.jpg"/>
    <hyperlink ref="E38" r:id="rId73" display="https://www.amazon.com/dp/B01DZQI70K?psc=1" tooltip="https://www.amazon.com/dp/B01DZQI70K?psc=1"/>
    <hyperlink ref="F38" r:id="rId74" display="https://images-na.ssl-images-amazon.com/images/I/31nmE6OEZ4L._AC_US600_.jpg" tooltip="https://images-na.ssl-images-amazon.com/images/I/31nmE6OEZ4L._AC_US600_.jpg"/>
    <hyperlink ref="E39" r:id="rId75" display="https://www.amazon.com/dp/B00IR8H55A?psc=1" tooltip="https://www.amazon.com/dp/B00IR8H55A?psc=1"/>
    <hyperlink ref="F39" r:id="rId76" display="https://images-na.ssl-images-amazon.com/images/I/21qojl5cDfL._AC_US600_.jpg" tooltip="https://images-na.ssl-images-amazon.com/images/I/21qojl5cDfL._AC_US600_.jpg"/>
    <hyperlink ref="E40" r:id="rId77" display="https://www.amazon.com/dp/B07DQSWT42?psc=1" tooltip="https://www.amazon.com/dp/B07DQSWT42?psc=1"/>
    <hyperlink ref="F40" r:id="rId78" display="https://images-na.ssl-images-amazon.com/images/I/31wtjtUOH5L._AC_US600_.jpg" tooltip="https://images-na.ssl-images-amazon.com/images/I/31wtjtUOH5L._AC_US600_.jpg"/>
    <hyperlink ref="E41" r:id="rId79" display="https://www.amazon.com/dp/B07Y8TT7N5?psc=1" tooltip="https://www.amazon.com/dp/B07Y8TT7N5?psc=1"/>
    <hyperlink ref="F41" r:id="rId80" display="https://images-na.ssl-images-amazon.com/images/I/31PNhs+t3HL._AC_US600_.jpg" tooltip="https://images-na.ssl-images-amazon.com/images/I/31PNhs+t3HL._AC_US600_.jpg"/>
    <hyperlink ref="E42" r:id="rId81" display="https://www.amazon.com/dp/B091FYKBP5?psc=1" tooltip="https://www.amazon.com/dp/B091FYKBP5?psc=1"/>
    <hyperlink ref="F42" r:id="rId82" display="https://images-na.ssl-images-amazon.com/images/I/31idqqAQJCL._AC_US600_.jpg" tooltip="https://images-na.ssl-images-amazon.com/images/I/31idqqAQJCL._AC_US600_.jpg"/>
    <hyperlink ref="E43" r:id="rId83" display="https://www.amazon.com/dp/B0832WZ8K8?psc=1" tooltip="https://www.amazon.com/dp/B0832WZ8K8?psc=1"/>
    <hyperlink ref="F43" r:id="rId84" display="https://m.media-amazon.com/images/I/41QNXHPtXgL._AC_SR600,600_.jpg" tooltip="https://m.media-amazon.com/images/I/41QNXHPtXgL._AC_SR600,600_.jpg"/>
    <hyperlink ref="E44" r:id="rId85" display="https://www.amazon.com/dp/B0B51Q8CY1?psc=1" tooltip="https://www.amazon.com/dp/B0B51Q8CY1?psc=1"/>
    <hyperlink ref="F44" r:id="rId86" display="https://m.media-amazon.com/images/I/3146ZDQgFxL._AC_SR600,600_.jpg" tooltip="https://m.media-amazon.com/images/I/3146ZDQgFxL._AC_SR600,600_.jpg"/>
    <hyperlink ref="E45" r:id="rId87" display="https://www.amazon.com/dp/B0BFH9KX59?psc=1" tooltip="https://www.amazon.com/dp/B0BFH9KX59?psc=1"/>
    <hyperlink ref="F45" r:id="rId88" display="https://images-na.ssl-images-amazon.com/images/I/31w+Xx7fZHL._AC_US600_.jpg" tooltip="https://images-na.ssl-images-amazon.com/images/I/31w+Xx7fZHL._AC_US600_.jpg"/>
    <hyperlink ref="E46" r:id="rId89" display="https://www.amazon.com/dp/B09LYVDN7Y?psc=1" tooltip="https://www.amazon.com/dp/B09LYVDN7Y?psc=1"/>
    <hyperlink ref="F46" r:id="rId90" display="https://images-na.ssl-images-amazon.com/images/I/31yzIfGFp3L._AC_US600_.jpg" tooltip="https://images-na.ssl-images-amazon.com/images/I/31yzIfGFp3L._AC_US600_.jpg"/>
    <hyperlink ref="E47" r:id="rId91" display="https://www.amazon.com/dp/B00MWXSFM8?psc=1" tooltip="https://www.amazon.com/dp/B00MWXSFM8?psc=1"/>
    <hyperlink ref="F47" r:id="rId92" display="https://images-na.ssl-images-amazon.com/images/I/31D1tYQslbL._AC_US600_.jpg" tooltip="https://images-na.ssl-images-amazon.com/images/I/31D1tYQslbL._AC_US600_.jpg"/>
    <hyperlink ref="E48" r:id="rId93" display="https://www.amazon.com/dp/B09MF5CFFD?psc=1" tooltip="https://www.amazon.com/dp/B09MF5CFFD?psc=1"/>
    <hyperlink ref="F48" r:id="rId94" display="https://images-na.ssl-images-amazon.com/images/I/31fnpyJnhcL._AC_US600_.jpg" tooltip="https://images-na.ssl-images-amazon.com/images/I/31fnpyJnhcL._AC_US600_.jpg"/>
    <hyperlink ref="E49" r:id="rId95" display="https://www.amazon.com/dp/B07Y8VCFMR?psc=1" tooltip="https://www.amazon.com/dp/B07Y8VCFMR?psc=1"/>
    <hyperlink ref="F49" r:id="rId96" display="https://m.media-amazon.com/images/I/31HLPsI7ThL._AC_US600_.jpg" tooltip="https://m.media-amazon.com/images/I/31HLPsI7ThL._AC_US600_.jpg"/>
    <hyperlink ref="E50" r:id="rId97" display="https://www.amazon.com/dp/B0BGKGV1NF?psc=1" tooltip="https://www.amazon.com/dp/B0BGKGV1NF?psc=1"/>
    <hyperlink ref="F50" r:id="rId98" display="https://images-na.ssl-images-amazon.com/images/I/41k31Oq2r9L._AC_US600_.jpg" tooltip="https://images-na.ssl-images-amazon.com/images/I/41k31Oq2r9L._AC_US600_.jpg"/>
    <hyperlink ref="E51" r:id="rId99" display="https://www.amazon.com/dp/B07P66567C?psc=1" tooltip="https://www.amazon.com/dp/B07P66567C?psc=1"/>
    <hyperlink ref="F51" r:id="rId100" display="https://m.media-amazon.com/images/I/31i-20pW5FL._AC_SR600,600_.jpg" tooltip="https://m.media-amazon.com/images/I/31i-20pW5FL._AC_SR600,600_.jpg"/>
    <hyperlink ref="E52" r:id="rId101" display="https://www.amazon.com/dp/B01DZQI9TE?psc=1" tooltip="https://www.amazon.com/dp/B01DZQI9TE?psc=1"/>
    <hyperlink ref="F52" r:id="rId102" display="https://images-na.ssl-images-amazon.com/images/I/311ar7NHxlL._AC_US600_.jpg" tooltip="https://images-na.ssl-images-amazon.com/images/I/311ar7NHxlL._AC_US600_.jpg"/>
    <hyperlink ref="E53" r:id="rId103" display="https://www.amazon.com/dp/B09W9M5RCQ?psc=1" tooltip="https://www.amazon.com/dp/B09W9M5RCQ?psc=1"/>
    <hyperlink ref="F53" r:id="rId104" display="https://images-na.ssl-images-amazon.com/images/I/41xkfAcNUdL._AC_US600_.jpg" tooltip="https://images-na.ssl-images-amazon.com/images/I/41xkfAcNUdL._AC_US600_.jpg"/>
    <hyperlink ref="E54" r:id="rId105" display="https://www.amazon.com/dp/B09XVGTVH1?psc=1" tooltip="https://www.amazon.com/dp/B09XVGTVH1?psc=1"/>
    <hyperlink ref="F54" r:id="rId106" display="https://m.media-amazon.com/images/I/31eJy1+sCRL._AC_SR600,600_.jpg" tooltip="https://m.media-amazon.com/images/I/31eJy1+sCRL._AC_SR600,600_.jpg"/>
    <hyperlink ref="E55" r:id="rId107" display="https://www.amazon.com/dp/B09HTWGHYG?psc=1" tooltip="https://www.amazon.com/dp/B09HTWGHYG?psc=1"/>
    <hyperlink ref="F55" r:id="rId108" display="https://m.media-amazon.com/images/I/31giNA064NL._AC_SR600,600_.jpg" tooltip="https://m.media-amazon.com/images/I/31giNA064NL._AC_SR600,600_.jpg"/>
    <hyperlink ref="E56" r:id="rId109" display="https://www.amazon.com/dp/B0983ZB3JF?psc=1" tooltip="https://www.amazon.com/dp/B0983ZB3JF?psc=1"/>
    <hyperlink ref="F56" r:id="rId110" display="https://images-na.ssl-images-amazon.com/images/I/21gKEloeTzL._AC_US600_.jpg" tooltip="https://images-na.ssl-images-amazon.com/images/I/21gKEloeTzL._AC_US600_.jpg"/>
    <hyperlink ref="E57" r:id="rId111" display="https://www.amazon.com/dp/B07TM75HF3?psc=1" tooltip="https://www.amazon.com/dp/B07TM75HF3?psc=1"/>
    <hyperlink ref="F57" r:id="rId112" display="https://images-na.ssl-images-amazon.com/images/I/31ANZYGoBAL._AC_US600_.jpg" tooltip="https://images-na.ssl-images-amazon.com/images/I/31ANZYGoBAL._AC_US600_.jpg"/>
    <hyperlink ref="E58" r:id="rId113" display="https://www.amazon.com/dp/B08T8ZL97X?psc=1" tooltip="https://www.amazon.com/dp/B08T8ZL97X?psc=1"/>
    <hyperlink ref="F58" r:id="rId114" display="https://images-na.ssl-images-amazon.com/images/I/21Mq+NFTTbL._AC_US600_.jpg" tooltip="https://images-na.ssl-images-amazon.com/images/I/21Mq+NFTTbL._AC_US600_.jpg"/>
    <hyperlink ref="E59" r:id="rId115" display="https://www.amazon.com/dp/B0BMQ33V2J?psc=1" tooltip="https://www.amazon.com/dp/B0BMQ33V2J?psc=1"/>
    <hyperlink ref="F59" r:id="rId116" display="https://images-na.ssl-images-amazon.com/images/I/41+NQ6YFaWL._AC_US600_.jpg" tooltip="https://images-na.ssl-images-amazon.com/images/I/41+NQ6YFaWL._AC_US600_.jpg"/>
    <hyperlink ref="E60" r:id="rId117" display="https://www.amazon.com/dp/B09HX1X2BN?psc=1" tooltip="https://www.amazon.com/dp/B09HX1X2BN?psc=1"/>
    <hyperlink ref="F60" r:id="rId118" display="https://m.media-amazon.com/images/W/WEBP_402378-T1/images/I/41cO+k5QzFL._AC_SR600,600_.jpg" tooltip="https://m.media-amazon.com/images/W/WEBP_402378-T1/images/I/41cO+k5QzFL._AC_SR600,600_.jpg"/>
    <hyperlink ref="E61" r:id="rId119" display="https://www.amazon.com/dp/B09YMCGFRJ?psc=1" tooltip="https://www.amazon.com/dp/B09YMCGFRJ?psc=1"/>
    <hyperlink ref="F61" r:id="rId120" display="https://images-na.ssl-images-amazon.com/images/I/314jzi0ez8L._AC_US600_.jpg" tooltip="https://images-na.ssl-images-amazon.com/images/I/314jzi0ez8L._AC_US600_.jpg"/>
    <hyperlink ref="E62" r:id="rId121" display="https://www.amazon.com/dp/B08WZH3TS8?psc=1" tooltip="https://www.amazon.com/dp/B08WZH3TS8?psc=1"/>
    <hyperlink ref="F62" r:id="rId122" display="https://images-na.ssl-images-amazon.com/images/I/210cZoEkfxS._AC_US600_.jpg" tooltip="https://images-na.ssl-images-amazon.com/images/I/210cZoEkfxS._AC_US600_.jpg"/>
    <hyperlink ref="E63" r:id="rId123" display="https://www.amazon.com/dp/B09W9JMS6D?psc=1" tooltip="https://www.amazon.com/dp/B09W9JMS6D?psc=1"/>
    <hyperlink ref="F63" r:id="rId124" display="https://images-na.ssl-images-amazon.com/images/I/41eAhRtzl3L._AC_US600_.jpg" tooltip="https://images-na.ssl-images-amazon.com/images/I/41eAhRtzl3L._AC_US600_.jpg"/>
    <hyperlink ref="E64" r:id="rId125" display="https://www.amazon.com/dp/B0BPTPCY6Q?psc=1" tooltip="https://www.amazon.com/dp/B0BPTPCY6Q?psc=1"/>
    <hyperlink ref="F64" r:id="rId126" display="https://images-na.ssl-images-amazon.com/images/I/31o1oVFNohL._AC_US600_.jpg" tooltip="https://images-na.ssl-images-amazon.com/images/I/31o1oVFNohL._AC_US600_.jpg"/>
    <hyperlink ref="E65" r:id="rId127" display="https://www.amazon.com/dp/B08P4TC5XV?psc=1" tooltip="https://www.amazon.com/dp/B08P4TC5XV?psc=1"/>
    <hyperlink ref="F65" r:id="rId128" display="https://images-na.ssl-images-amazon.com/images/I/41hZ3-HRzeL._AC_US600_.jpg" tooltip="https://images-na.ssl-images-amazon.com/images/I/41hZ3-HRzeL._AC_US600_.jpg"/>
    <hyperlink ref="E66" r:id="rId129" display="https://www.amazon.com/dp/B07THDQXF8?psc=1" tooltip="https://www.amazon.com/dp/B07THDQXF8?psc=1"/>
    <hyperlink ref="F66" r:id="rId130" display="https://m.media-amazon.com/images/I/31LK3rhNArL._AC_SR600,600_.jpg" tooltip="https://m.media-amazon.com/images/I/31LK3rhNArL._AC_SR600,600_.jpg"/>
    <hyperlink ref="E67" r:id="rId131" display="https://www.amazon.com/dp/B08R8SHHQ4?psc=1" tooltip="https://www.amazon.com/dp/B08R8SHHQ4?psc=1"/>
    <hyperlink ref="F67" r:id="rId132" display="https://m.media-amazon.com/images/I/41Xq0GlmnnS._AC_SR600,600_.jpg" tooltip="https://m.media-amazon.com/images/I/41Xq0GlmnnS._AC_SR600,600_.jpg"/>
    <hyperlink ref="E68" r:id="rId133" display="https://www.amazon.com/dp/B07NJ8SM6D?psc=1" tooltip="https://www.amazon.com/dp/B07NJ8SM6D?psc=1"/>
    <hyperlink ref="F68" r:id="rId134" display="https://images-na.ssl-images-amazon.com/images/I/41vVumf7k2L._AC_US600_.jpg" tooltip="https://images-na.ssl-images-amazon.com/images/I/41vVumf7k2L._AC_US600_.jpg"/>
    <hyperlink ref="E69" r:id="rId135" display="https://www.amazon.com/dp/B09842Y7PM?psc=1" tooltip="https://www.amazon.com/dp/B09842Y7PM?psc=1"/>
    <hyperlink ref="F69" r:id="rId136" display="https://images-na.ssl-images-amazon.com/images/I/3141MgQC5bL._AC_US600_.jpg" tooltip="https://images-na.ssl-images-amazon.com/images/I/3141MgQC5bL._AC_US600_.jpg"/>
    <hyperlink ref="E70" r:id="rId137" display="https://www.amazon.com/dp/B07XJRZR8P?psc=1" tooltip="https://www.amazon.com/dp/B07XJRZR8P?psc=1"/>
    <hyperlink ref="F70" r:id="rId138" display="https://images-na.ssl-images-amazon.com/images/I/31NaBJ-xncL._AC_US600_.jpg" tooltip="https://images-na.ssl-images-amazon.com/images/I/31NaBJ-xncL._AC_US600_.jpg"/>
    <hyperlink ref="E71" r:id="rId139" display="https://www.amazon.com/dp/B08SWRSM1D?psc=1" tooltip="https://www.amazon.com/dp/B08SWRSM1D?psc=1"/>
    <hyperlink ref="F71" r:id="rId140" display="https://images-na.ssl-images-amazon.com/images/I/41wg6x9WEPS._AC_US600_.jpg" tooltip="https://images-na.ssl-images-amazon.com/images/I/41wg6x9WEPS._AC_US600_.jpg"/>
    <hyperlink ref="E72" r:id="rId141" display="https://www.amazon.com/dp/B08G4RK3N9?psc=1" tooltip="https://www.amazon.com/dp/B08G4RK3N9?psc=1"/>
    <hyperlink ref="F72" r:id="rId142" display="https://images-na.ssl-images-amazon.com/images/I/31VpXnmBskL._AC_US600_.jpg" tooltip="https://images-na.ssl-images-amazon.com/images/I/31VpXnmBskL._AC_US600_.jpg"/>
    <hyperlink ref="E73" r:id="rId143" display="https://www.amazon.com/dp/B09TW8VPMJ?psc=1" tooltip="https://www.amazon.com/dp/B09TW8VPMJ?psc=1"/>
    <hyperlink ref="F73" r:id="rId144" display="https://images-na.ssl-images-amazon.com/images/I/316qylcSyRL._AC_US600_.jpg" tooltip="https://images-na.ssl-images-amazon.com/images/I/316qylcSyRL._AC_US600_.jpg"/>
    <hyperlink ref="E74" r:id="rId145" display="https://www.amazon.com/dp/B07TFKPT39?psc=1" tooltip="https://www.amazon.com/dp/B07TFKPT39?psc=1"/>
    <hyperlink ref="F74" r:id="rId146" display="https://m.media-amazon.com/images/I/21lahy5lEnL._AC_SR600,600_.jpg" tooltip="https://m.media-amazon.com/images/I/21lahy5lEnL._AC_SR600,600_.jpg"/>
    <hyperlink ref="E75" r:id="rId147" display="https://www.amazon.com/dp/B08P4VCNKB?psc=1" tooltip="https://www.amazon.com/dp/B08P4VCNKB?psc=1"/>
    <hyperlink ref="F75" r:id="rId148" display="https://m.media-amazon.com/images/I/4109SHmZnCL._AC_SR600,600_.jpg" tooltip="https://m.media-amazon.com/images/I/4109SHmZnCL._AC_SR600,600_.jpg"/>
    <hyperlink ref="E76" r:id="rId149" display="https://www.amazon.com/dp/B009CNNHDI?psc=1" tooltip="https://www.amazon.com/dp/B009CNNHDI?psc=1"/>
    <hyperlink ref="F76" r:id="rId150" display="https://images-na.ssl-images-amazon.com/images/I/41OVnIVPUGL._AC_US600_.jpg" tooltip="https://images-na.ssl-images-amazon.com/images/I/41OVnIVPUGL._AC_US600_.jpg"/>
    <hyperlink ref="E77" r:id="rId151" display="https://www.amazon.com/dp/B09LQHH4RS?psc=1" tooltip="https://www.amazon.com/dp/B09LQHH4RS?psc=1"/>
    <hyperlink ref="F77" r:id="rId152" display="https://images-na.ssl-images-amazon.com/images/I/41MS+pr7Y4L._AC_US600_.jpg" tooltip="https://images-na.ssl-images-amazon.com/images/I/41MS+pr7Y4L._AC_US600_.jpg"/>
    <hyperlink ref="E78" r:id="rId153" display="https://www.amazon.com/dp/B09WVM6R78?psc=1" tooltip="https://www.amazon.com/dp/B09WVM6R78?psc=1"/>
    <hyperlink ref="F78" r:id="rId154" display="https://images-na.ssl-images-amazon.com/images/I/41LHWpnhSbL._AC_US600_.jpg" tooltip="https://images-na.ssl-images-amazon.com/images/I/41LHWpnhSbL._AC_US600_.jpg"/>
    <hyperlink ref="E79" r:id="rId155" display="https://www.amazon.com/dp/B096RQ24HJ?psc=1" tooltip="https://www.amazon.com/dp/B096RQ24HJ?psc=1"/>
    <hyperlink ref="F79" r:id="rId156" display="https://images-na.ssl-images-amazon.com/images/I/31yUTbDIbcL._AC_US600_.jpg" tooltip="https://images-na.ssl-images-amazon.com/images/I/31yUTbDIbcL._AC_US600_.jpg"/>
    <hyperlink ref="E80" r:id="rId157" display="https://www.amazon.com/dp/B09B797WC8?psc=1" tooltip="https://www.amazon.com/dp/B09B797WC8?psc=1"/>
    <hyperlink ref="F80" r:id="rId158" display="https://images-na.ssl-images-amazon.com/images/I/517Z3ZHBW-L._AC_US600_.jpg" tooltip="https://images-na.ssl-images-amazon.com/images/I/517Z3ZHBW-L._AC_US600_.jpg"/>
    <hyperlink ref="E81" r:id="rId159" display="https://www.amazon.com/dp/B087LZFGWS?psc=1" tooltip="https://www.amazon.com/dp/B087LZFGWS?psc=1"/>
    <hyperlink ref="F81" r:id="rId160" display="https://images-na.ssl-images-amazon.com/images/I/41xL9EsE7HL._AC_US600_.jpg" tooltip="https://images-na.ssl-images-amazon.com/images/I/41xL9EsE7HL._AC_US600_.jpg"/>
    <hyperlink ref="E82" r:id="rId161" display="https://www.amazon.com/dp/B08M5LCZDZ?psc=1" tooltip="https://www.amazon.com/dp/B08M5LCZDZ?psc=1"/>
    <hyperlink ref="F82" r:id="rId162" display="https://images-na.ssl-images-amazon.com/images/I/219yANULAuL._AC_US600_.jpg" tooltip="https://images-na.ssl-images-amazon.com/images/I/219yANULAuL._AC_US600_.jpg"/>
    <hyperlink ref="E83" r:id="rId163" display="https://www.amazon.com/dp/B0BNXBMWY4?psc=1" tooltip="https://www.amazon.com/dp/B0BNXBMWY4?psc=1"/>
    <hyperlink ref="F83" r:id="rId164" display="https://images-na.ssl-images-amazon.com/images/I/41X-dfWhKBL._AC_US600_.jpg" tooltip="https://images-na.ssl-images-amazon.com/images/I/41X-dfWhKBL._AC_US600_.jpg"/>
    <hyperlink ref="E84" r:id="rId165" display="https://www.amazon.com/dp/B07YT1RLZC?psc=1" tooltip="https://www.amazon.com/dp/B07YT1RLZC?psc=1"/>
    <hyperlink ref="F84" r:id="rId166" display="https://m.media-amazon.com/images/I/31jsRfJwXHL._AC_SR600,600_.jpg" tooltip="https://m.media-amazon.com/images/I/31jsRfJwXHL._AC_SR600,600_.jpg"/>
    <hyperlink ref="E85" r:id="rId167" display="https://www.amazon.com/dp/B09WR328NY?psc=1" tooltip="https://www.amazon.com/dp/B09WR328NY?psc=1"/>
    <hyperlink ref="F85" r:id="rId168" display="https://images-na.ssl-images-amazon.com/images/I/41iLX2yDzuL._AC_US600_.jpg" tooltip="https://images-na.ssl-images-amazon.com/images/I/41iLX2yDzuL._AC_US600_.jpg"/>
    <hyperlink ref="E86" r:id="rId169" display="https://www.amazon.com/dp/B078XTF1QR?psc=1" tooltip="https://www.amazon.com/dp/B078XTF1QR?psc=1"/>
    <hyperlink ref="F86" r:id="rId170" display="https://m.media-amazon.com/images/I/31VvSJ-MWSL._AC_SR600,600_.jpg" tooltip="https://m.media-amazon.com/images/I/31VvSJ-MWSL._AC_SR600,600_.jpg"/>
    <hyperlink ref="E87" r:id="rId171" display="https://www.amazon.com/dp/B07PPKBQ24?psc=1" tooltip="https://www.amazon.com/dp/B07PPKBQ24?psc=1"/>
    <hyperlink ref="F87" r:id="rId172" display="https://m.media-amazon.com/images/I/31pe6o04StL._AC_SR600,600_.jpg" tooltip="https://m.media-amazon.com/images/I/31pe6o04StL._AC_SR600,600_.jpg"/>
    <hyperlink ref="E88" r:id="rId173" display="https://www.amazon.com/dp/B09W2J5JKP?psc=1" tooltip="https://www.amazon.com/dp/B09W2J5JKP?psc=1"/>
    <hyperlink ref="F88" r:id="rId174" display="https://m.media-amazon.com/images/W/WEBP_402378-T2/images/I/41PuIrFBsAL._AC_SR600,600_.jpg" tooltip="https://m.media-amazon.com/images/W/WEBP_402378-T2/images/I/41PuIrFBsAL._AC_SR600,600_.jpg"/>
    <hyperlink ref="E89" r:id="rId175" display="https://www.amazon.com/dp/B09W9JHN41?psc=1" tooltip="https://www.amazon.com/dp/B09W9JHN41?psc=1"/>
    <hyperlink ref="F89" r:id="rId176" display="https://m.media-amazon.com/images/I/315U0pn-DDL._AC_SR600,600_.jpg" tooltip="https://m.media-amazon.com/images/I/315U0pn-DDL._AC_SR600,600_.jpg"/>
    <hyperlink ref="E90" r:id="rId177" display="https://www.amazon.com/dp/B0B4MWT8V8?psc=1" tooltip="https://www.amazon.com/dp/B0B4MWT8V8?psc=1"/>
    <hyperlink ref="F90" r:id="rId178" display="https://m.media-amazon.com/images/I/41w+nyWbjjL._AC_US600_.jpg" tooltip="https://m.media-amazon.com/images/I/41w+nyWbjjL._AC_US600_.jpg"/>
    <hyperlink ref="E91" r:id="rId179" display="https://www.amazon.com/dp/B0BP7PMFYJ?psc=1" tooltip="https://www.amazon.com/dp/B0BP7PMFYJ?psc=1"/>
    <hyperlink ref="F91" r:id="rId180" display="https://m.media-amazon.com/images/I/218jaFNjVQL._AC_SR600,600_.jpg" tooltip="https://m.media-amazon.com/images/I/218jaFNjVQL._AC_SR600,600_.jpg"/>
    <hyperlink ref="E92" r:id="rId181" display="https://www.amazon.com/dp/B07TXG7G1Y?psc=1" tooltip="https://www.amazon.com/dp/B07TXG7G1Y?psc=1"/>
    <hyperlink ref="F92" r:id="rId182" display="https://m.media-amazon.com/images/I/31iSqMUCtYL._AC_US600_.jpg" tooltip="https://m.media-amazon.com/images/I/31iSqMUCtYL._AC_US600_.jpg"/>
    <hyperlink ref="E93" r:id="rId183" display="https://www.amazon.com/dp/B08P65PQ8V?psc=1" tooltip="https://www.amazon.com/dp/B08P65PQ8V?psc=1"/>
    <hyperlink ref="F93" r:id="rId184" display="https://m.media-amazon.com/images/I/315FSBqr4pL._AC_SR600,600_.jpg" tooltip="https://m.media-amazon.com/images/I/315FSBqr4pL._AC_SR600,600_.jpg"/>
    <hyperlink ref="E94" r:id="rId185" display="https://www.amazon.com/dp/B07PSW4XVW?psc=1" tooltip="https://www.amazon.com/dp/B07PSW4XVW?psc=1"/>
    <hyperlink ref="F94" r:id="rId186" display="https://m.media-amazon.com/images/I/31Y-zYQl5tL._AC_SR600,600_.jpg" tooltip="https://m.media-amazon.com/images/I/31Y-zYQl5tL._AC_SR600,600_.jpg"/>
    <hyperlink ref="E95" r:id="rId187" display="https://www.amazon.com/dp/B01MDR6YQA?psc=1" tooltip="https://www.amazon.com/dp/B01MDR6YQA?psc=1"/>
    <hyperlink ref="F95" r:id="rId188" display="https://m.media-amazon.com/images/I/41ngeRHXxlL._AC_SR600,600_.jpg" tooltip="https://m.media-amazon.com/images/I/41ngeRHXxlL._AC_SR600,600_.jpg"/>
    <hyperlink ref="E96" r:id="rId189" display="https://www.amazon.com/dp/B0B716SJ1G?psc=1" tooltip="https://www.amazon.com/dp/B0B716SJ1G?psc=1"/>
    <hyperlink ref="F96" r:id="rId190" display="https://m.media-amazon.com/images/I/51IP1YTgioL._AC_SR600,600_.jpg" tooltip="https://m.media-amazon.com/images/I/51IP1YTgioL._AC_SR600,600_.jpg"/>
    <hyperlink ref="E97" r:id="rId191" display="https://www.amazon.com/dp/B075R1LH8D?psc=1" tooltip="https://www.amazon.com/dp/B075R1LH8D?psc=1"/>
    <hyperlink ref="F97" r:id="rId192" display="https://m.media-amazon.com/images/I/41JsADUfBqL._AC_SR600,600_.jpg" tooltip="https://m.media-amazon.com/images/I/41JsADUfBqL._AC_SR600,600_.jpg"/>
    <hyperlink ref="E98" r:id="rId193" display="https://www.amazon.com/dp/B084GSNPH1?psc=1" tooltip="https://www.amazon.com/dp/B084GSNPH1?psc=1"/>
    <hyperlink ref="F98" r:id="rId194" display="https://m.media-amazon.com/images/I/21r9BGy-TdL._AC_US600_.jpg" tooltip="https://m.media-amazon.com/images/I/21r9BGy-TdL._AC_US600_.jpg"/>
    <hyperlink ref="E99" r:id="rId195" display="https://www.amazon.com/dp/B07WP2S5XL?psc=1" tooltip="https://www.amazon.com/dp/B07WP2S5XL?psc=1"/>
    <hyperlink ref="F99" r:id="rId196" display="https://m.media-amazon.com/images/I/31vOlTkdGgL._AC_SR600,600_.jpg" tooltip="https://m.media-amazon.com/images/I/31vOlTkdGgL._AC_SR600,600_.jpg"/>
    <hyperlink ref="E100" r:id="rId197" display="https://www.amazon.com/dp/B0BLTM88R6?psc=1" tooltip="https://www.amazon.com/dp/B0BLTM88R6?psc=1"/>
    <hyperlink ref="F100" r:id="rId198" display="https://images-na.ssl-images-amazon.com/images/I/31aKjh3sbBL._AC_US600_.jpg" tooltip="https://images-na.ssl-images-amazon.com/images/I/31aKjh3sbBL._AC_US600_.jpg"/>
    <hyperlink ref="E101" r:id="rId199" display="https://www.amazon.com/dp/B0BFHCBNKR?psc=1" tooltip="https://www.amazon.com/dp/B0BFHCBNKR?psc=1"/>
    <hyperlink ref="F101" r:id="rId200" display="https://m.media-amazon.com/images/I/410qJE9mn8L._AC_SR600,600_.jpg" tooltip="https://m.media-amazon.com/images/I/410qJE9mn8L._AC_SR600,600_.jpg"/>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1"/>
  <sheetViews>
    <sheetView zoomScale="55" zoomScaleNormal="55" workbookViewId="0">
      <selection activeCell="B5" sqref="$A1:$XFD1048576"/>
    </sheetView>
  </sheetViews>
  <sheetFormatPr defaultColWidth="9" defaultRowHeight="13.5"/>
  <cols>
    <col min="2" max="3" width="9" hidden="1" customWidth="1"/>
    <col min="6" max="6" width="9" hidden="1" customWidth="1"/>
    <col min="8" max="8" width="9" hidden="1" customWidth="1"/>
    <col min="9" max="9" width="79.7" customWidth="1"/>
    <col min="10" max="10" width="9" hidden="1" customWidth="1"/>
    <col min="12" max="12" width="16.175" customWidth="1"/>
    <col min="14" max="14" width="12.625"/>
    <col min="21" max="21" width="10.5833333333333" style="1" customWidth="1"/>
    <col min="22" max="22" width="10.4416666666667" style="1" customWidth="1"/>
    <col min="23" max="23" width="8.875" style="1" customWidth="1"/>
    <col min="24" max="24" width="10.875" style="1" customWidth="1"/>
    <col min="25" max="25" width="5.125" style="1" customWidth="1"/>
  </cols>
  <sheetData>
    <row r="1" ht="27" customHeight="1" spans="1:46">
      <c r="A1" s="2" t="s">
        <v>809</v>
      </c>
      <c r="B1" s="2" t="s">
        <v>810</v>
      </c>
      <c r="C1" s="2" t="s">
        <v>811</v>
      </c>
      <c r="D1" s="2" t="s">
        <v>812</v>
      </c>
      <c r="E1" s="2" t="s">
        <v>813</v>
      </c>
      <c r="F1" s="2" t="s">
        <v>814</v>
      </c>
      <c r="G1" s="2" t="s">
        <v>815</v>
      </c>
      <c r="H1" s="2" t="s">
        <v>816</v>
      </c>
      <c r="I1" s="2" t="s">
        <v>817</v>
      </c>
      <c r="J1" s="2" t="s">
        <v>818</v>
      </c>
      <c r="K1" s="2" t="s">
        <v>819</v>
      </c>
      <c r="L1" s="2" t="s">
        <v>820</v>
      </c>
      <c r="M1" s="3" t="s">
        <v>821</v>
      </c>
      <c r="N1" s="2" t="s">
        <v>822</v>
      </c>
      <c r="O1" s="3" t="s">
        <v>823</v>
      </c>
      <c r="P1" s="4" t="s">
        <v>2790</v>
      </c>
      <c r="Q1" s="4" t="s">
        <v>4435</v>
      </c>
      <c r="R1" s="4" t="s">
        <v>2795</v>
      </c>
      <c r="S1" s="4" t="s">
        <v>5266</v>
      </c>
      <c r="T1" s="4" t="s">
        <v>2804</v>
      </c>
      <c r="U1" s="4" t="s">
        <v>2805</v>
      </c>
      <c r="V1" s="4" t="s">
        <v>834</v>
      </c>
      <c r="W1" s="4" t="s">
        <v>2806</v>
      </c>
      <c r="X1" s="4" t="s">
        <v>2807</v>
      </c>
      <c r="Y1" s="4" t="s">
        <v>2808</v>
      </c>
      <c r="Z1" s="3" t="s">
        <v>824</v>
      </c>
      <c r="AA1" s="3" t="s">
        <v>825</v>
      </c>
      <c r="AB1" s="5" t="s">
        <v>826</v>
      </c>
      <c r="AC1" s="6" t="s">
        <v>827</v>
      </c>
      <c r="AD1" s="5" t="s">
        <v>828</v>
      </c>
      <c r="AE1" s="7" t="s">
        <v>829</v>
      </c>
      <c r="AF1" s="3" t="s">
        <v>48</v>
      </c>
      <c r="AG1" s="8" t="s">
        <v>830</v>
      </c>
      <c r="AH1" s="3" t="s">
        <v>831</v>
      </c>
      <c r="AI1" s="3" t="s">
        <v>832</v>
      </c>
      <c r="AJ1" s="2" t="s">
        <v>833</v>
      </c>
      <c r="AK1" s="2" t="s">
        <v>834</v>
      </c>
      <c r="AL1" s="3" t="s">
        <v>835</v>
      </c>
      <c r="AM1" s="3" t="s">
        <v>836</v>
      </c>
      <c r="AN1" s="3" t="s">
        <v>837</v>
      </c>
      <c r="AO1" s="2" t="s">
        <v>838</v>
      </c>
      <c r="AP1" s="2" t="s">
        <v>839</v>
      </c>
      <c r="AQ1" s="2" t="s">
        <v>840</v>
      </c>
      <c r="AR1" s="2" t="s">
        <v>841</v>
      </c>
      <c r="AS1" s="2" t="s">
        <v>842</v>
      </c>
      <c r="AT1" s="2" t="s">
        <v>843</v>
      </c>
    </row>
    <row r="2" ht="24" customHeight="1" spans="1:46">
      <c r="A2" s="9" t="str">
        <f>_xlfn.DISPIMG("ID_0AF7D39FECD34B5D8D4ED32FBC2DAA78",1)</f>
        <v>=DISPIMG("ID_0AF7D39FECD34B5D8D4ED32FBC2DAA78",1)</v>
      </c>
      <c r="B2" s="10" t="s">
        <v>5267</v>
      </c>
      <c r="C2" s="10" t="s">
        <v>5268</v>
      </c>
      <c r="D2" s="10" t="s">
        <v>5269</v>
      </c>
      <c r="E2" s="10" t="s">
        <v>5270</v>
      </c>
      <c r="F2" s="10" t="s">
        <v>5271</v>
      </c>
      <c r="G2" s="10" t="s">
        <v>5272</v>
      </c>
      <c r="H2" s="10" t="s">
        <v>5273</v>
      </c>
      <c r="I2" s="10" t="s">
        <v>5274</v>
      </c>
      <c r="J2" s="9" t="s">
        <v>864</v>
      </c>
      <c r="K2" s="10" t="s">
        <v>5275</v>
      </c>
      <c r="L2" s="10" t="s">
        <v>851</v>
      </c>
      <c r="M2" s="11">
        <v>212</v>
      </c>
      <c r="N2" s="12" t="s">
        <v>5276</v>
      </c>
      <c r="O2" s="13">
        <v>1</v>
      </c>
      <c r="P2" s="13" t="s">
        <v>2986</v>
      </c>
      <c r="Q2" s="13" t="s">
        <v>5277</v>
      </c>
      <c r="R2" s="13" t="s">
        <v>3170</v>
      </c>
      <c r="S2" s="13" t="s">
        <v>5278</v>
      </c>
      <c r="T2" s="13" t="s">
        <v>3174</v>
      </c>
      <c r="U2" s="14" t="s">
        <v>6341</v>
      </c>
      <c r="V2" s="14" t="s">
        <v>2821</v>
      </c>
      <c r="W2" s="14" t="s">
        <v>2865</v>
      </c>
      <c r="X2" s="14" t="s">
        <v>2823</v>
      </c>
      <c r="Y2" s="15">
        <v>1</v>
      </c>
      <c r="Z2" s="11">
        <v>21293</v>
      </c>
      <c r="AA2" s="11">
        <v>1064437.1</v>
      </c>
      <c r="AB2" s="16">
        <v>49.99</v>
      </c>
      <c r="AC2" s="17">
        <v>0.6856</v>
      </c>
      <c r="AD2" s="16">
        <v>8.22</v>
      </c>
      <c r="AE2" s="18">
        <v>4.5</v>
      </c>
      <c r="AF2" s="11">
        <v>25017</v>
      </c>
      <c r="AG2" s="19">
        <v>0.0041</v>
      </c>
      <c r="AH2" s="11">
        <v>88</v>
      </c>
      <c r="AI2" s="20"/>
      <c r="AJ2" s="9" t="s">
        <v>947</v>
      </c>
      <c r="AK2" s="9" t="s">
        <v>5279</v>
      </c>
      <c r="AL2" s="21">
        <v>2372</v>
      </c>
      <c r="AM2" s="21">
        <v>7</v>
      </c>
      <c r="AN2" s="21">
        <v>6</v>
      </c>
      <c r="AO2" s="10" t="s">
        <v>1515</v>
      </c>
      <c r="AP2" s="9" t="s">
        <v>65</v>
      </c>
      <c r="AQ2" s="10" t="s">
        <v>65</v>
      </c>
      <c r="AR2" s="9" t="s">
        <v>1516</v>
      </c>
      <c r="AS2" s="22" t="s">
        <v>5280</v>
      </c>
      <c r="AT2" s="22" t="s">
        <v>5281</v>
      </c>
    </row>
    <row r="3" ht="24" customHeight="1" spans="1:46">
      <c r="A3" s="9" t="str">
        <f>_xlfn.DISPIMG("ID_50D73D10EDC6485E9781DC4C638AFFDB",1)</f>
        <v>=DISPIMG("ID_50D73D10EDC6485E9781DC4C638AFFDB",1)</v>
      </c>
      <c r="B3" s="10" t="s">
        <v>5282</v>
      </c>
      <c r="C3" s="10" t="s">
        <v>5283</v>
      </c>
      <c r="D3" s="10" t="s">
        <v>5284</v>
      </c>
      <c r="E3" s="10" t="s">
        <v>5285</v>
      </c>
      <c r="F3" s="10" t="s">
        <v>5286</v>
      </c>
      <c r="G3" s="10" t="s">
        <v>3854</v>
      </c>
      <c r="H3" s="10" t="s">
        <v>5287</v>
      </c>
      <c r="I3" s="10" t="s">
        <v>5288</v>
      </c>
      <c r="J3" s="9" t="s">
        <v>923</v>
      </c>
      <c r="K3" s="10" t="s">
        <v>5275</v>
      </c>
      <c r="L3" s="10" t="s">
        <v>851</v>
      </c>
      <c r="M3" s="11">
        <v>252</v>
      </c>
      <c r="N3" s="12" t="s">
        <v>5276</v>
      </c>
      <c r="O3" s="13" t="s">
        <v>865</v>
      </c>
      <c r="P3" s="13" t="s">
        <v>3005</v>
      </c>
      <c r="Q3" s="13" t="s">
        <v>5289</v>
      </c>
      <c r="R3" s="13" t="s">
        <v>3170</v>
      </c>
      <c r="S3" s="13" t="s">
        <v>5278</v>
      </c>
      <c r="T3" s="13" t="s">
        <v>3174</v>
      </c>
      <c r="U3" s="14" t="s">
        <v>6341</v>
      </c>
      <c r="V3" s="14" t="s">
        <v>2900</v>
      </c>
      <c r="W3" s="14" t="s">
        <v>2930</v>
      </c>
      <c r="X3" s="14" t="s">
        <v>2823</v>
      </c>
      <c r="Y3" s="15">
        <v>1</v>
      </c>
      <c r="Z3" s="11">
        <v>17933</v>
      </c>
      <c r="AA3" s="11">
        <v>804474.4</v>
      </c>
      <c r="AB3" s="16">
        <v>44.86</v>
      </c>
      <c r="AC3" s="17">
        <v>0.6596</v>
      </c>
      <c r="AD3" s="16">
        <v>8.54</v>
      </c>
      <c r="AE3" s="18">
        <v>4.2</v>
      </c>
      <c r="AF3" s="11">
        <v>2483</v>
      </c>
      <c r="AG3" s="19">
        <v>0.0089</v>
      </c>
      <c r="AH3" s="11">
        <v>160</v>
      </c>
      <c r="AI3" s="11">
        <v>57</v>
      </c>
      <c r="AJ3" s="9" t="s">
        <v>854</v>
      </c>
      <c r="AK3" s="9" t="s">
        <v>5290</v>
      </c>
      <c r="AL3" s="21">
        <v>770</v>
      </c>
      <c r="AM3" s="21">
        <v>6</v>
      </c>
      <c r="AN3" s="21">
        <v>14</v>
      </c>
      <c r="AO3" s="10" t="s">
        <v>1515</v>
      </c>
      <c r="AP3" s="9" t="s">
        <v>65</v>
      </c>
      <c r="AQ3" s="10" t="s">
        <v>65</v>
      </c>
      <c r="AR3" s="9" t="s">
        <v>1516</v>
      </c>
      <c r="AS3" s="22" t="s">
        <v>5291</v>
      </c>
      <c r="AT3" s="22" t="s">
        <v>5292</v>
      </c>
    </row>
    <row r="4" ht="24" customHeight="1" spans="1:46">
      <c r="A4" s="9" t="str">
        <f>_xlfn.DISPIMG("ID_B13033644EC1416C8599B90863A369F3",1)</f>
        <v>=DISPIMG("ID_B13033644EC1416C8599B90863A369F3",1)</v>
      </c>
      <c r="B4" s="10" t="s">
        <v>5293</v>
      </c>
      <c r="C4" s="10" t="s">
        <v>5294</v>
      </c>
      <c r="D4" s="10" t="s">
        <v>5295</v>
      </c>
      <c r="E4" s="10" t="s">
        <v>5296</v>
      </c>
      <c r="F4" s="10" t="s">
        <v>5297</v>
      </c>
      <c r="G4" s="10" t="s">
        <v>3854</v>
      </c>
      <c r="H4" s="10" t="s">
        <v>5298</v>
      </c>
      <c r="I4" s="10" t="s">
        <v>5299</v>
      </c>
      <c r="J4" s="9" t="s">
        <v>864</v>
      </c>
      <c r="K4" s="10" t="s">
        <v>5275</v>
      </c>
      <c r="L4" s="10" t="s">
        <v>5300</v>
      </c>
      <c r="M4" s="11">
        <v>135</v>
      </c>
      <c r="N4" s="12" t="s">
        <v>5301</v>
      </c>
      <c r="O4" s="13" t="s">
        <v>5302</v>
      </c>
      <c r="P4" s="13" t="s">
        <v>2963</v>
      </c>
      <c r="Q4" s="13" t="s">
        <v>5277</v>
      </c>
      <c r="R4" s="13" t="s">
        <v>3170</v>
      </c>
      <c r="S4" s="13" t="s">
        <v>5278</v>
      </c>
      <c r="T4" s="13" t="s">
        <v>3174</v>
      </c>
      <c r="U4" s="14" t="s">
        <v>6342</v>
      </c>
      <c r="V4" s="14" t="s">
        <v>2821</v>
      </c>
      <c r="W4" s="14" t="s">
        <v>2865</v>
      </c>
      <c r="X4" s="14" t="s">
        <v>2823</v>
      </c>
      <c r="Y4" s="15">
        <v>1</v>
      </c>
      <c r="Z4" s="11">
        <v>28432</v>
      </c>
      <c r="AA4" s="11">
        <v>1097759.5</v>
      </c>
      <c r="AB4" s="16">
        <v>38.61</v>
      </c>
      <c r="AC4" s="17">
        <v>0.6371</v>
      </c>
      <c r="AD4" s="16">
        <v>8.22</v>
      </c>
      <c r="AE4" s="18">
        <v>4.4</v>
      </c>
      <c r="AF4" s="11">
        <v>7863</v>
      </c>
      <c r="AG4" s="19">
        <v>0.0099</v>
      </c>
      <c r="AH4" s="11">
        <v>282</v>
      </c>
      <c r="AI4" s="11">
        <v>136</v>
      </c>
      <c r="AJ4" s="9" t="s">
        <v>876</v>
      </c>
      <c r="AK4" s="9" t="s">
        <v>5303</v>
      </c>
      <c r="AL4" s="21">
        <v>1489</v>
      </c>
      <c r="AM4" s="21">
        <v>8</v>
      </c>
      <c r="AN4" s="21">
        <v>12</v>
      </c>
      <c r="AO4" s="10" t="s">
        <v>1515</v>
      </c>
      <c r="AP4" s="9" t="s">
        <v>65</v>
      </c>
      <c r="AQ4" s="10" t="s">
        <v>65</v>
      </c>
      <c r="AR4" s="9" t="s">
        <v>1516</v>
      </c>
      <c r="AS4" s="22" t="s">
        <v>1413</v>
      </c>
      <c r="AT4" s="22" t="s">
        <v>5304</v>
      </c>
    </row>
    <row r="5" ht="24" customHeight="1" spans="1:46">
      <c r="A5" s="9" t="str">
        <f>_xlfn.DISPIMG("ID_1D83F4269E6D4F44BBED3EF85B366C7D",1)</f>
        <v>=DISPIMG("ID_1D83F4269E6D4F44BBED3EF85B366C7D",1)</v>
      </c>
      <c r="B5" s="10" t="s">
        <v>5305</v>
      </c>
      <c r="C5" s="10" t="s">
        <v>5306</v>
      </c>
      <c r="D5" s="10" t="s">
        <v>5307</v>
      </c>
      <c r="E5" s="10" t="s">
        <v>5308</v>
      </c>
      <c r="F5" s="10" t="s">
        <v>5309</v>
      </c>
      <c r="G5" s="10" t="s">
        <v>1059</v>
      </c>
      <c r="H5" s="10" t="s">
        <v>5310</v>
      </c>
      <c r="I5" s="10" t="s">
        <v>5311</v>
      </c>
      <c r="J5" s="9" t="s">
        <v>864</v>
      </c>
      <c r="K5" s="10" t="s">
        <v>5275</v>
      </c>
      <c r="L5" s="10" t="s">
        <v>851</v>
      </c>
      <c r="M5" s="11">
        <v>374</v>
      </c>
      <c r="N5" s="12" t="s">
        <v>5276</v>
      </c>
      <c r="O5" s="13" t="s">
        <v>875</v>
      </c>
      <c r="P5" s="13" t="s">
        <v>2809</v>
      </c>
      <c r="Q5" s="13" t="s">
        <v>5277</v>
      </c>
      <c r="R5" s="13" t="s">
        <v>3170</v>
      </c>
      <c r="S5" s="13" t="s">
        <v>5278</v>
      </c>
      <c r="T5" s="13" t="s">
        <v>3174</v>
      </c>
      <c r="U5" s="14" t="s">
        <v>6342</v>
      </c>
      <c r="V5" s="14" t="s">
        <v>2821</v>
      </c>
      <c r="W5" s="14" t="s">
        <v>2865</v>
      </c>
      <c r="X5" s="14" t="s">
        <v>2823</v>
      </c>
      <c r="Y5" s="15">
        <v>1</v>
      </c>
      <c r="Z5" s="11">
        <v>23494</v>
      </c>
      <c r="AA5" s="11">
        <v>855416.56</v>
      </c>
      <c r="AB5" s="16">
        <v>36.41</v>
      </c>
      <c r="AC5" s="17">
        <v>0.6328</v>
      </c>
      <c r="AD5" s="16">
        <v>7.91</v>
      </c>
      <c r="AE5" s="18">
        <v>4.3</v>
      </c>
      <c r="AF5" s="11">
        <v>20239</v>
      </c>
      <c r="AG5" s="19">
        <v>0.01</v>
      </c>
      <c r="AH5" s="11">
        <v>235</v>
      </c>
      <c r="AI5" s="11">
        <v>563</v>
      </c>
      <c r="AJ5" s="9" t="s">
        <v>854</v>
      </c>
      <c r="AK5" s="9" t="s">
        <v>5312</v>
      </c>
      <c r="AL5" s="21">
        <v>1887</v>
      </c>
      <c r="AM5" s="21">
        <v>12</v>
      </c>
      <c r="AN5" s="21">
        <v>8</v>
      </c>
      <c r="AO5" s="10" t="s">
        <v>1515</v>
      </c>
      <c r="AP5" s="9" t="s">
        <v>65</v>
      </c>
      <c r="AQ5" s="10" t="s">
        <v>65</v>
      </c>
      <c r="AR5" s="9" t="s">
        <v>1516</v>
      </c>
      <c r="AS5" s="22" t="s">
        <v>5313</v>
      </c>
      <c r="AT5" s="22" t="s">
        <v>5314</v>
      </c>
    </row>
    <row r="6" ht="24" customHeight="1" spans="1:46">
      <c r="A6" s="9" t="str">
        <f>_xlfn.DISPIMG("ID_AD94F38361834BC7BCD346511BE5A985",1)</f>
        <v>=DISPIMG("ID_AD94F38361834BC7BCD346511BE5A985",1)</v>
      </c>
      <c r="B6" s="10" t="s">
        <v>5315</v>
      </c>
      <c r="C6" s="10" t="s">
        <v>5316</v>
      </c>
      <c r="D6" s="10" t="s">
        <v>5269</v>
      </c>
      <c r="E6" s="10" t="s">
        <v>5317</v>
      </c>
      <c r="F6" s="10" t="s">
        <v>5318</v>
      </c>
      <c r="G6" s="10" t="s">
        <v>5319</v>
      </c>
      <c r="H6" s="10" t="s">
        <v>5320</v>
      </c>
      <c r="I6" s="10" t="s">
        <v>5321</v>
      </c>
      <c r="J6" s="9" t="s">
        <v>893</v>
      </c>
      <c r="K6" s="10" t="s">
        <v>5275</v>
      </c>
      <c r="L6" s="10" t="s">
        <v>851</v>
      </c>
      <c r="M6" s="11">
        <v>522</v>
      </c>
      <c r="N6" s="12" t="s">
        <v>5322</v>
      </c>
      <c r="O6" s="13" t="s">
        <v>5323</v>
      </c>
      <c r="P6" s="13" t="s">
        <v>2986</v>
      </c>
      <c r="Q6" s="13" t="s">
        <v>5277</v>
      </c>
      <c r="R6" s="13" t="s">
        <v>3170</v>
      </c>
      <c r="S6" s="13" t="s">
        <v>5278</v>
      </c>
      <c r="T6" s="13" t="s">
        <v>3174</v>
      </c>
      <c r="U6" s="14" t="s">
        <v>6341</v>
      </c>
      <c r="V6" s="14" t="s">
        <v>2821</v>
      </c>
      <c r="W6" s="14" t="s">
        <v>2865</v>
      </c>
      <c r="X6" s="14" t="s">
        <v>2823</v>
      </c>
      <c r="Y6" s="15">
        <v>1</v>
      </c>
      <c r="Z6" s="11">
        <v>20836</v>
      </c>
      <c r="AA6" s="11">
        <v>1041591.7</v>
      </c>
      <c r="AB6" s="16">
        <v>49.99</v>
      </c>
      <c r="AC6" s="17">
        <v>0.6852</v>
      </c>
      <c r="AD6" s="16">
        <v>8.24</v>
      </c>
      <c r="AE6" s="18">
        <v>4.3</v>
      </c>
      <c r="AF6" s="11">
        <v>39021</v>
      </c>
      <c r="AG6" s="19">
        <v>0.0188</v>
      </c>
      <c r="AH6" s="11">
        <v>392</v>
      </c>
      <c r="AI6" s="11">
        <v>474</v>
      </c>
      <c r="AJ6" s="9" t="s">
        <v>947</v>
      </c>
      <c r="AK6" s="9" t="s">
        <v>5324</v>
      </c>
      <c r="AL6" s="21">
        <v>1253</v>
      </c>
      <c r="AM6" s="21">
        <v>6</v>
      </c>
      <c r="AN6" s="21">
        <v>10</v>
      </c>
      <c r="AO6" s="10" t="s">
        <v>5325</v>
      </c>
      <c r="AP6" s="9" t="s">
        <v>1110</v>
      </c>
      <c r="AQ6" s="10" t="s">
        <v>5326</v>
      </c>
      <c r="AR6" s="9" t="s">
        <v>997</v>
      </c>
      <c r="AS6" s="22" t="s">
        <v>5327</v>
      </c>
      <c r="AT6" s="22" t="s">
        <v>5328</v>
      </c>
    </row>
    <row r="7" ht="24" customHeight="1" spans="1:46">
      <c r="A7" s="9" t="str">
        <f>_xlfn.DISPIMG("ID_27EB01D2296D43EF9003AF60ACA08F04",1)</f>
        <v>=DISPIMG("ID_27EB01D2296D43EF9003AF60ACA08F04",1)</v>
      </c>
      <c r="B7" s="10" t="s">
        <v>5329</v>
      </c>
      <c r="C7" s="10" t="s">
        <v>5330</v>
      </c>
      <c r="D7" s="10" t="s">
        <v>5331</v>
      </c>
      <c r="E7" s="10" t="s">
        <v>5332</v>
      </c>
      <c r="F7" s="10" t="s">
        <v>5333</v>
      </c>
      <c r="G7" s="10" t="s">
        <v>5272</v>
      </c>
      <c r="H7" s="10" t="s">
        <v>5334</v>
      </c>
      <c r="I7" s="10" t="s">
        <v>5335</v>
      </c>
      <c r="J7" s="9" t="s">
        <v>934</v>
      </c>
      <c r="K7" s="10" t="s">
        <v>5275</v>
      </c>
      <c r="L7" s="10" t="s">
        <v>851</v>
      </c>
      <c r="M7" s="11">
        <v>946</v>
      </c>
      <c r="N7" s="12" t="s">
        <v>5276</v>
      </c>
      <c r="O7" s="13" t="s">
        <v>3215</v>
      </c>
      <c r="P7" s="13" t="s">
        <v>2986</v>
      </c>
      <c r="Q7" s="13" t="s">
        <v>5336</v>
      </c>
      <c r="R7" s="13" t="s">
        <v>3170</v>
      </c>
      <c r="S7" s="13" t="s">
        <v>5278</v>
      </c>
      <c r="T7" s="13" t="s">
        <v>3174</v>
      </c>
      <c r="U7" s="14" t="s">
        <v>6343</v>
      </c>
      <c r="V7" s="14" t="s">
        <v>2821</v>
      </c>
      <c r="W7" s="14" t="s">
        <v>2865</v>
      </c>
      <c r="X7" s="14" t="s">
        <v>2823</v>
      </c>
      <c r="Y7" s="15">
        <v>1</v>
      </c>
      <c r="Z7" s="11">
        <v>9706</v>
      </c>
      <c r="AA7" s="11">
        <v>776382.94</v>
      </c>
      <c r="AB7" s="16">
        <v>79.99</v>
      </c>
      <c r="AC7" s="17">
        <v>0.6271</v>
      </c>
      <c r="AD7" s="16">
        <v>17.83</v>
      </c>
      <c r="AE7" s="18">
        <v>4.3</v>
      </c>
      <c r="AF7" s="11">
        <v>7497</v>
      </c>
      <c r="AG7" s="19">
        <v>0.0081</v>
      </c>
      <c r="AH7" s="11">
        <v>79</v>
      </c>
      <c r="AI7" s="11">
        <v>147</v>
      </c>
      <c r="AJ7" s="9" t="s">
        <v>854</v>
      </c>
      <c r="AK7" s="9" t="s">
        <v>3460</v>
      </c>
      <c r="AL7" s="21">
        <v>1191</v>
      </c>
      <c r="AM7" s="21">
        <v>14</v>
      </c>
      <c r="AN7" s="21">
        <v>9</v>
      </c>
      <c r="AO7" s="10" t="s">
        <v>1515</v>
      </c>
      <c r="AP7" s="9" t="s">
        <v>65</v>
      </c>
      <c r="AQ7" s="10" t="s">
        <v>65</v>
      </c>
      <c r="AR7" s="9" t="s">
        <v>1516</v>
      </c>
      <c r="AS7" s="22" t="s">
        <v>5338</v>
      </c>
      <c r="AT7" s="22" t="s">
        <v>5339</v>
      </c>
    </row>
    <row r="8" ht="24" customHeight="1" spans="1:46">
      <c r="A8" s="9" t="str">
        <f>_xlfn.DISPIMG("ID_1DA1114F5B194C34B8177EA324E86F13",1)</f>
        <v>=DISPIMG("ID_1DA1114F5B194C34B8177EA324E86F13",1)</v>
      </c>
      <c r="B8" s="10" t="s">
        <v>5340</v>
      </c>
      <c r="C8" s="10" t="s">
        <v>5341</v>
      </c>
      <c r="D8" s="10" t="s">
        <v>5269</v>
      </c>
      <c r="E8" s="10" t="s">
        <v>5342</v>
      </c>
      <c r="F8" s="10" t="s">
        <v>5343</v>
      </c>
      <c r="G8" s="10" t="s">
        <v>1302</v>
      </c>
      <c r="H8" s="10" t="s">
        <v>5344</v>
      </c>
      <c r="I8" s="10" t="s">
        <v>5345</v>
      </c>
      <c r="J8" s="9" t="s">
        <v>934</v>
      </c>
      <c r="K8" s="10" t="s">
        <v>5275</v>
      </c>
      <c r="L8" s="10" t="s">
        <v>851</v>
      </c>
      <c r="M8" s="11">
        <v>948</v>
      </c>
      <c r="N8" s="12" t="s">
        <v>5301</v>
      </c>
      <c r="O8" s="13" t="s">
        <v>5346</v>
      </c>
      <c r="P8" s="13" t="s">
        <v>2986</v>
      </c>
      <c r="Q8" s="13" t="s">
        <v>5277</v>
      </c>
      <c r="R8" s="13" t="s">
        <v>3170</v>
      </c>
      <c r="S8" s="13" t="s">
        <v>5278</v>
      </c>
      <c r="T8" s="13" t="s">
        <v>3174</v>
      </c>
      <c r="U8" s="14" t="s">
        <v>6341</v>
      </c>
      <c r="V8" s="14" t="s">
        <v>2851</v>
      </c>
      <c r="W8" s="14" t="s">
        <v>2865</v>
      </c>
      <c r="X8" s="14" t="s">
        <v>2823</v>
      </c>
      <c r="Y8" s="15">
        <v>1</v>
      </c>
      <c r="Z8" s="11">
        <v>11603</v>
      </c>
      <c r="AA8" s="11">
        <v>580034</v>
      </c>
      <c r="AB8" s="16">
        <v>49.99</v>
      </c>
      <c r="AC8" s="17">
        <v>0.6792</v>
      </c>
      <c r="AD8" s="16">
        <v>8.54</v>
      </c>
      <c r="AE8" s="18">
        <v>4.5</v>
      </c>
      <c r="AF8" s="11">
        <v>10783</v>
      </c>
      <c r="AG8" s="19">
        <v>0.0099</v>
      </c>
      <c r="AH8" s="11">
        <v>115</v>
      </c>
      <c r="AI8" s="11">
        <v>98</v>
      </c>
      <c r="AJ8" s="9" t="s">
        <v>1267</v>
      </c>
      <c r="AK8" s="9" t="s">
        <v>5347</v>
      </c>
      <c r="AL8" s="21">
        <v>970</v>
      </c>
      <c r="AM8" s="21">
        <v>6</v>
      </c>
      <c r="AN8" s="21">
        <v>7</v>
      </c>
      <c r="AO8" s="10" t="s">
        <v>1307</v>
      </c>
      <c r="AP8" s="9" t="s">
        <v>1110</v>
      </c>
      <c r="AQ8" s="10" t="s">
        <v>5348</v>
      </c>
      <c r="AR8" s="9" t="s">
        <v>997</v>
      </c>
      <c r="AS8" s="22" t="s">
        <v>5349</v>
      </c>
      <c r="AT8" s="22" t="s">
        <v>5350</v>
      </c>
    </row>
    <row r="9" ht="24" customHeight="1" spans="1:46">
      <c r="A9" s="9" t="str">
        <f>_xlfn.DISPIMG("ID_D48B972C5FDC4EC18716DF8AB5924A0B",1)</f>
        <v>=DISPIMG("ID_D48B972C5FDC4EC18716DF8AB5924A0B",1)</v>
      </c>
      <c r="B9" s="10" t="s">
        <v>5351</v>
      </c>
      <c r="C9" s="10" t="s">
        <v>5352</v>
      </c>
      <c r="D9" s="10" t="s">
        <v>5353</v>
      </c>
      <c r="E9" s="10" t="s">
        <v>5354</v>
      </c>
      <c r="F9" s="10" t="s">
        <v>5355</v>
      </c>
      <c r="G9" s="10" t="s">
        <v>3854</v>
      </c>
      <c r="H9" s="10" t="s">
        <v>5356</v>
      </c>
      <c r="I9" s="10" t="s">
        <v>5357</v>
      </c>
      <c r="J9" s="9" t="s">
        <v>65</v>
      </c>
      <c r="K9" s="10" t="s">
        <v>5275</v>
      </c>
      <c r="L9" s="10" t="s">
        <v>851</v>
      </c>
      <c r="M9" s="11">
        <v>1461</v>
      </c>
      <c r="N9" s="12" t="s">
        <v>5276</v>
      </c>
      <c r="O9" s="13" t="s">
        <v>5358</v>
      </c>
      <c r="P9" s="13" t="s">
        <v>2824</v>
      </c>
      <c r="Q9" s="13" t="s">
        <v>5289</v>
      </c>
      <c r="R9" s="13" t="s">
        <v>3170</v>
      </c>
      <c r="S9" s="13" t="s">
        <v>5278</v>
      </c>
      <c r="T9" s="13" t="s">
        <v>5359</v>
      </c>
      <c r="U9" s="14" t="s">
        <v>6341</v>
      </c>
      <c r="V9" s="14" t="s">
        <v>2883</v>
      </c>
      <c r="W9" s="14" t="s">
        <v>2930</v>
      </c>
      <c r="X9" s="14" t="s">
        <v>2823</v>
      </c>
      <c r="Y9" s="15">
        <v>1</v>
      </c>
      <c r="Z9" s="11">
        <v>9521</v>
      </c>
      <c r="AA9" s="11">
        <v>541554.5</v>
      </c>
      <c r="AB9" s="16">
        <v>56.88</v>
      </c>
      <c r="AC9" s="17">
        <v>0.7055</v>
      </c>
      <c r="AD9" s="16">
        <v>8.22</v>
      </c>
      <c r="AE9" s="18">
        <v>4.2</v>
      </c>
      <c r="AF9" s="11">
        <v>1665</v>
      </c>
      <c r="AG9" s="19">
        <v>0</v>
      </c>
      <c r="AH9" s="11">
        <v>0</v>
      </c>
      <c r="AI9" s="11">
        <v>79</v>
      </c>
      <c r="AJ9" s="9" t="s">
        <v>854</v>
      </c>
      <c r="AK9" s="9" t="s">
        <v>5360</v>
      </c>
      <c r="AL9" s="21">
        <v>194</v>
      </c>
      <c r="AM9" s="21">
        <v>5</v>
      </c>
      <c r="AN9" s="21">
        <v>4</v>
      </c>
      <c r="AO9" s="10" t="s">
        <v>1515</v>
      </c>
      <c r="AP9" s="9" t="s">
        <v>65</v>
      </c>
      <c r="AQ9" s="10" t="s">
        <v>65</v>
      </c>
      <c r="AR9" s="9" t="s">
        <v>1516</v>
      </c>
      <c r="AS9" s="22" t="s">
        <v>5361</v>
      </c>
      <c r="AT9" s="22" t="s">
        <v>5362</v>
      </c>
    </row>
    <row r="10" ht="24" customHeight="1" spans="1:46">
      <c r="A10" s="9" t="str">
        <f>_xlfn.DISPIMG("ID_FF65840B8DDB4073B4CD635B60479263",1)</f>
        <v>=DISPIMG("ID_FF65840B8DDB4073B4CD635B60479263",1)</v>
      </c>
      <c r="B10" s="10" t="s">
        <v>5363</v>
      </c>
      <c r="C10" s="10" t="s">
        <v>5364</v>
      </c>
      <c r="D10" s="10" t="s">
        <v>5365</v>
      </c>
      <c r="E10" s="10" t="s">
        <v>5366</v>
      </c>
      <c r="F10" s="10" t="s">
        <v>5367</v>
      </c>
      <c r="G10" s="10" t="s">
        <v>5368</v>
      </c>
      <c r="H10" s="10" t="s">
        <v>5369</v>
      </c>
      <c r="I10" s="10" t="s">
        <v>5370</v>
      </c>
      <c r="J10" s="9" t="s">
        <v>1384</v>
      </c>
      <c r="K10" s="10" t="s">
        <v>5275</v>
      </c>
      <c r="L10" s="10" t="s">
        <v>851</v>
      </c>
      <c r="M10" s="11">
        <v>2229</v>
      </c>
      <c r="N10" s="12" t="s">
        <v>5276</v>
      </c>
      <c r="O10" s="13" t="s">
        <v>935</v>
      </c>
      <c r="P10" s="13" t="s">
        <v>2986</v>
      </c>
      <c r="Q10" s="13" t="s">
        <v>5277</v>
      </c>
      <c r="R10" s="13" t="s">
        <v>3170</v>
      </c>
      <c r="S10" s="13" t="s">
        <v>5278</v>
      </c>
      <c r="T10" s="13" t="s">
        <v>5371</v>
      </c>
      <c r="U10" s="14" t="s">
        <v>6341</v>
      </c>
      <c r="V10" s="14" t="s">
        <v>2917</v>
      </c>
      <c r="W10" s="14" t="s">
        <v>2993</v>
      </c>
      <c r="X10" s="14" t="s">
        <v>2979</v>
      </c>
      <c r="Y10" s="15">
        <v>1</v>
      </c>
      <c r="Z10" s="11">
        <v>1585</v>
      </c>
      <c r="AA10" s="11">
        <v>83989.16</v>
      </c>
      <c r="AB10" s="16">
        <v>52.99</v>
      </c>
      <c r="AC10" s="17">
        <v>0.6949</v>
      </c>
      <c r="AD10" s="16">
        <v>8.22</v>
      </c>
      <c r="AE10" s="18">
        <v>3.9</v>
      </c>
      <c r="AF10" s="11">
        <v>56</v>
      </c>
      <c r="AG10" s="19">
        <v>0.0114</v>
      </c>
      <c r="AH10" s="11">
        <v>18</v>
      </c>
      <c r="AI10" s="11">
        <v>4</v>
      </c>
      <c r="AJ10" s="9" t="s">
        <v>947</v>
      </c>
      <c r="AK10" s="9" t="s">
        <v>5372</v>
      </c>
      <c r="AL10" s="21">
        <v>123</v>
      </c>
      <c r="AM10" s="21">
        <v>2</v>
      </c>
      <c r="AN10" s="21">
        <v>11</v>
      </c>
      <c r="AO10" s="10" t="s">
        <v>1515</v>
      </c>
      <c r="AP10" s="9" t="s">
        <v>65</v>
      </c>
      <c r="AQ10" s="10" t="s">
        <v>65</v>
      </c>
      <c r="AR10" s="9" t="s">
        <v>1516</v>
      </c>
      <c r="AS10" s="22" t="s">
        <v>5313</v>
      </c>
      <c r="AT10" s="22" t="s">
        <v>5373</v>
      </c>
    </row>
    <row r="11" ht="24" customHeight="1" spans="1:46">
      <c r="A11" s="9" t="str">
        <f>_xlfn.DISPIMG("ID_5B412FB7F8D4434FA59692D8E5304052",1)</f>
        <v>=DISPIMG("ID_5B412FB7F8D4434FA59692D8E5304052",1)</v>
      </c>
      <c r="B11" s="10" t="s">
        <v>5374</v>
      </c>
      <c r="C11" s="10" t="s">
        <v>5375</v>
      </c>
      <c r="D11" s="10" t="s">
        <v>5376</v>
      </c>
      <c r="E11" s="10" t="s">
        <v>5377</v>
      </c>
      <c r="F11" s="10" t="s">
        <v>5378</v>
      </c>
      <c r="G11" s="10" t="s">
        <v>3854</v>
      </c>
      <c r="H11" s="10" t="s">
        <v>5379</v>
      </c>
      <c r="I11" s="10" t="s">
        <v>5380</v>
      </c>
      <c r="J11" s="9" t="s">
        <v>934</v>
      </c>
      <c r="K11" s="10" t="s">
        <v>5275</v>
      </c>
      <c r="L11" s="10" t="s">
        <v>851</v>
      </c>
      <c r="M11" s="11">
        <v>2609</v>
      </c>
      <c r="N11" s="12" t="s">
        <v>5276</v>
      </c>
      <c r="O11" s="13" t="s">
        <v>957</v>
      </c>
      <c r="P11" s="13" t="s">
        <v>2809</v>
      </c>
      <c r="Q11" s="23" t="s">
        <v>5381</v>
      </c>
      <c r="R11" s="13" t="s">
        <v>3170</v>
      </c>
      <c r="S11" s="13" t="s">
        <v>1003</v>
      </c>
      <c r="T11" s="13" t="s">
        <v>5382</v>
      </c>
      <c r="U11" s="14" t="s">
        <v>5383</v>
      </c>
      <c r="V11" s="14" t="s">
        <v>2821</v>
      </c>
      <c r="W11" s="14" t="s">
        <v>2865</v>
      </c>
      <c r="X11" s="14" t="s">
        <v>2823</v>
      </c>
      <c r="Y11" s="15">
        <v>1</v>
      </c>
      <c r="Z11" s="11">
        <v>4162</v>
      </c>
      <c r="AA11" s="11">
        <v>671122.5</v>
      </c>
      <c r="AB11" s="16">
        <v>161.25</v>
      </c>
      <c r="AC11" s="17">
        <v>0.5102</v>
      </c>
      <c r="AD11" s="16">
        <v>54.8</v>
      </c>
      <c r="AE11" s="18">
        <v>4.3</v>
      </c>
      <c r="AF11" s="11">
        <v>5132</v>
      </c>
      <c r="AG11" s="19">
        <v>0.0209</v>
      </c>
      <c r="AH11" s="11">
        <v>87</v>
      </c>
      <c r="AI11" s="11">
        <v>208</v>
      </c>
      <c r="AJ11" s="9" t="s">
        <v>947</v>
      </c>
      <c r="AK11" s="9" t="s">
        <v>5384</v>
      </c>
      <c r="AL11" s="21">
        <v>1374</v>
      </c>
      <c r="AM11" s="21">
        <v>15</v>
      </c>
      <c r="AN11" s="21">
        <v>5</v>
      </c>
      <c r="AO11" s="10" t="s">
        <v>1515</v>
      </c>
      <c r="AP11" s="9" t="s">
        <v>65</v>
      </c>
      <c r="AQ11" s="10" t="s">
        <v>65</v>
      </c>
      <c r="AR11" s="9" t="s">
        <v>1516</v>
      </c>
      <c r="AS11" s="22" t="s">
        <v>5385</v>
      </c>
      <c r="AT11" s="22" t="s">
        <v>5386</v>
      </c>
    </row>
    <row r="12" ht="24" customHeight="1" spans="1:46">
      <c r="A12" s="9" t="str">
        <f>_xlfn.DISPIMG("ID_DA8614D653D14F26808A91006DFA609A",1)</f>
        <v>=DISPIMG("ID_DA8614D653D14F26808A91006DFA609A",1)</v>
      </c>
      <c r="B12" s="10" t="s">
        <v>5387</v>
      </c>
      <c r="C12" s="10" t="s">
        <v>5388</v>
      </c>
      <c r="D12" s="10" t="s">
        <v>5389</v>
      </c>
      <c r="E12" s="10" t="s">
        <v>5390</v>
      </c>
      <c r="F12" s="10" t="s">
        <v>5391</v>
      </c>
      <c r="G12" s="10" t="s">
        <v>5392</v>
      </c>
      <c r="H12" s="10" t="s">
        <v>5393</v>
      </c>
      <c r="I12" s="10" t="s">
        <v>5394</v>
      </c>
      <c r="J12" s="9" t="s">
        <v>934</v>
      </c>
      <c r="K12" s="10" t="s">
        <v>5275</v>
      </c>
      <c r="L12" s="10" t="s">
        <v>851</v>
      </c>
      <c r="M12" s="11">
        <v>2667</v>
      </c>
      <c r="N12" s="12" t="s">
        <v>5276</v>
      </c>
      <c r="O12" s="13" t="s">
        <v>965</v>
      </c>
      <c r="P12" s="13" t="s">
        <v>2809</v>
      </c>
      <c r="Q12" s="13" t="s">
        <v>5277</v>
      </c>
      <c r="R12" s="13" t="s">
        <v>3170</v>
      </c>
      <c r="S12" s="13" t="s">
        <v>5278</v>
      </c>
      <c r="T12" s="13" t="s">
        <v>3174</v>
      </c>
      <c r="U12" s="14" t="s">
        <v>6342</v>
      </c>
      <c r="V12" s="14" t="s">
        <v>2821</v>
      </c>
      <c r="W12" s="14" t="s">
        <v>2865</v>
      </c>
      <c r="X12" s="14" t="s">
        <v>2823</v>
      </c>
      <c r="Y12" s="15">
        <v>1</v>
      </c>
      <c r="Z12" s="11">
        <v>6836</v>
      </c>
      <c r="AA12" s="11">
        <v>273371.66</v>
      </c>
      <c r="AB12" s="16">
        <v>39.99</v>
      </c>
      <c r="AC12" s="17">
        <v>0.6522</v>
      </c>
      <c r="AD12" s="16">
        <v>7.91</v>
      </c>
      <c r="AE12" s="18">
        <v>4.3</v>
      </c>
      <c r="AF12" s="11">
        <v>3222</v>
      </c>
      <c r="AG12" s="19">
        <v>0.0099</v>
      </c>
      <c r="AH12" s="11">
        <v>68</v>
      </c>
      <c r="AI12" s="11">
        <v>119</v>
      </c>
      <c r="AJ12" s="9" t="s">
        <v>947</v>
      </c>
      <c r="AK12" s="9" t="s">
        <v>5395</v>
      </c>
      <c r="AL12" s="21">
        <v>2211</v>
      </c>
      <c r="AM12" s="21">
        <v>7</v>
      </c>
      <c r="AN12" s="21">
        <v>12</v>
      </c>
      <c r="AO12" s="10" t="s">
        <v>1515</v>
      </c>
      <c r="AP12" s="9" t="s">
        <v>65</v>
      </c>
      <c r="AQ12" s="10" t="s">
        <v>65</v>
      </c>
      <c r="AR12" s="9" t="s">
        <v>1516</v>
      </c>
      <c r="AS12" s="22" t="s">
        <v>5396</v>
      </c>
      <c r="AT12" s="22" t="s">
        <v>5397</v>
      </c>
    </row>
    <row r="13" ht="24" customHeight="1" spans="1:46">
      <c r="A13" s="9" t="str">
        <f>_xlfn.DISPIMG("ID_2388E227482B49E9B45441A7682F88AF",1)</f>
        <v>=DISPIMG("ID_2388E227482B49E9B45441A7682F88AF",1)</v>
      </c>
      <c r="B13" s="10" t="s">
        <v>5398</v>
      </c>
      <c r="C13" s="10" t="s">
        <v>5399</v>
      </c>
      <c r="D13" s="10" t="s">
        <v>5400</v>
      </c>
      <c r="E13" s="10" t="s">
        <v>5401</v>
      </c>
      <c r="F13" s="10" t="s">
        <v>5402</v>
      </c>
      <c r="G13" s="10" t="s">
        <v>5403</v>
      </c>
      <c r="H13" s="10" t="s">
        <v>5404</v>
      </c>
      <c r="I13" s="10" t="s">
        <v>5405</v>
      </c>
      <c r="J13" s="9" t="s">
        <v>934</v>
      </c>
      <c r="K13" s="10" t="s">
        <v>5275</v>
      </c>
      <c r="L13" s="10" t="s">
        <v>851</v>
      </c>
      <c r="M13" s="11">
        <v>2710</v>
      </c>
      <c r="N13" s="12" t="s">
        <v>5276</v>
      </c>
      <c r="O13" s="13" t="s">
        <v>3294</v>
      </c>
      <c r="P13" s="13" t="s">
        <v>2958</v>
      </c>
      <c r="Q13" s="13" t="s">
        <v>5277</v>
      </c>
      <c r="R13" s="13" t="s">
        <v>3170</v>
      </c>
      <c r="S13" s="13" t="s">
        <v>5278</v>
      </c>
      <c r="T13" s="13" t="s">
        <v>3174</v>
      </c>
      <c r="U13" s="14" t="s">
        <v>6342</v>
      </c>
      <c r="V13" s="14" t="s">
        <v>2851</v>
      </c>
      <c r="W13" s="14" t="s">
        <v>2930</v>
      </c>
      <c r="X13" s="14" t="s">
        <v>2823</v>
      </c>
      <c r="Y13" s="15">
        <v>1</v>
      </c>
      <c r="Z13" s="11">
        <v>3378</v>
      </c>
      <c r="AA13" s="11">
        <v>92726.1</v>
      </c>
      <c r="AB13" s="16">
        <v>27.45</v>
      </c>
      <c r="AC13" s="17">
        <v>0.5175</v>
      </c>
      <c r="AD13" s="16">
        <v>8.22</v>
      </c>
      <c r="AE13" s="18">
        <v>4.1</v>
      </c>
      <c r="AF13" s="11">
        <v>2601</v>
      </c>
      <c r="AG13" s="19">
        <v>0.0207</v>
      </c>
      <c r="AH13" s="11">
        <v>70</v>
      </c>
      <c r="AI13" s="11">
        <v>52</v>
      </c>
      <c r="AJ13" s="9" t="s">
        <v>854</v>
      </c>
      <c r="AK13" s="9" t="s">
        <v>5406</v>
      </c>
      <c r="AL13" s="21">
        <v>922</v>
      </c>
      <c r="AM13" s="21">
        <v>5</v>
      </c>
      <c r="AN13" s="21">
        <v>10</v>
      </c>
      <c r="AO13" s="10" t="s">
        <v>1515</v>
      </c>
      <c r="AP13" s="9" t="s">
        <v>65</v>
      </c>
      <c r="AQ13" s="10" t="s">
        <v>65</v>
      </c>
      <c r="AR13" s="9" t="s">
        <v>1516</v>
      </c>
      <c r="AS13" s="22" t="s">
        <v>5407</v>
      </c>
      <c r="AT13" s="22" t="s">
        <v>5408</v>
      </c>
    </row>
    <row r="14" ht="24" customHeight="1" spans="1:46">
      <c r="A14" s="9" t="str">
        <f>_xlfn.DISPIMG("ID_7480317C958641ABA3737EBB9E9197DE",1)</f>
        <v>=DISPIMG("ID_7480317C958641ABA3737EBB9E9197DE",1)</v>
      </c>
      <c r="B14" s="10" t="s">
        <v>5409</v>
      </c>
      <c r="C14" s="10" t="s">
        <v>5410</v>
      </c>
      <c r="D14" s="10" t="s">
        <v>5411</v>
      </c>
      <c r="E14" s="10" t="s">
        <v>5412</v>
      </c>
      <c r="F14" s="10" t="s">
        <v>5413</v>
      </c>
      <c r="G14" s="10" t="s">
        <v>5414</v>
      </c>
      <c r="H14" s="10" t="s">
        <v>5415</v>
      </c>
      <c r="I14" s="10" t="s">
        <v>5416</v>
      </c>
      <c r="J14" s="9" t="s">
        <v>934</v>
      </c>
      <c r="K14" s="10" t="s">
        <v>4159</v>
      </c>
      <c r="L14" s="10" t="s">
        <v>851</v>
      </c>
      <c r="M14" s="11">
        <v>3119</v>
      </c>
      <c r="N14" s="12" t="s">
        <v>5276</v>
      </c>
      <c r="O14" s="13" t="s">
        <v>975</v>
      </c>
      <c r="P14" s="13" t="s">
        <v>2809</v>
      </c>
      <c r="Q14" s="13" t="s">
        <v>5417</v>
      </c>
      <c r="R14" s="13" t="s">
        <v>3170</v>
      </c>
      <c r="S14" s="13" t="s">
        <v>1003</v>
      </c>
      <c r="T14" s="13" t="s">
        <v>2896</v>
      </c>
      <c r="U14" s="14" t="s">
        <v>5418</v>
      </c>
      <c r="V14" s="14" t="s">
        <v>2821</v>
      </c>
      <c r="W14" s="14" t="s">
        <v>2865</v>
      </c>
      <c r="X14" s="14" t="s">
        <v>2823</v>
      </c>
      <c r="Y14" s="15">
        <v>1</v>
      </c>
      <c r="Z14" s="11">
        <v>3432</v>
      </c>
      <c r="AA14" s="11">
        <v>442728</v>
      </c>
      <c r="AB14" s="16">
        <v>129</v>
      </c>
      <c r="AC14" s="17">
        <v>0.5588</v>
      </c>
      <c r="AD14" s="16">
        <v>37.57</v>
      </c>
      <c r="AE14" s="18">
        <v>4.5</v>
      </c>
      <c r="AF14" s="11">
        <v>6776</v>
      </c>
      <c r="AG14" s="19">
        <v>0.016</v>
      </c>
      <c r="AH14" s="11">
        <v>55</v>
      </c>
      <c r="AI14" s="11">
        <v>608</v>
      </c>
      <c r="AJ14" s="9" t="s">
        <v>854</v>
      </c>
      <c r="AK14" s="9" t="s">
        <v>5419</v>
      </c>
      <c r="AL14" s="21">
        <v>3051</v>
      </c>
      <c r="AM14" s="21">
        <v>9</v>
      </c>
      <c r="AN14" s="21">
        <v>8</v>
      </c>
      <c r="AO14" s="10" t="s">
        <v>1515</v>
      </c>
      <c r="AP14" s="9" t="s">
        <v>65</v>
      </c>
      <c r="AQ14" s="10" t="s">
        <v>65</v>
      </c>
      <c r="AR14" s="9" t="s">
        <v>1516</v>
      </c>
      <c r="AS14" s="22" t="s">
        <v>5420</v>
      </c>
      <c r="AT14" s="22" t="s">
        <v>5421</v>
      </c>
    </row>
    <row r="15" ht="24" customHeight="1" spans="1:46">
      <c r="A15" s="9" t="str">
        <f>_xlfn.DISPIMG("ID_0894C5A4E5BD4E3683D0E3CBF5D9D6A6",1)</f>
        <v>=DISPIMG("ID_0894C5A4E5BD4E3683D0E3CBF5D9D6A6",1)</v>
      </c>
      <c r="B15" s="10" t="s">
        <v>5422</v>
      </c>
      <c r="C15" s="10" t="s">
        <v>5423</v>
      </c>
      <c r="D15" s="10" t="s">
        <v>5269</v>
      </c>
      <c r="E15" s="10" t="s">
        <v>5424</v>
      </c>
      <c r="F15" s="10" t="s">
        <v>5425</v>
      </c>
      <c r="G15" s="10" t="s">
        <v>3854</v>
      </c>
      <c r="H15" s="10" t="s">
        <v>5426</v>
      </c>
      <c r="I15" s="10" t="s">
        <v>5427</v>
      </c>
      <c r="J15" s="9" t="s">
        <v>934</v>
      </c>
      <c r="K15" s="10" t="s">
        <v>5275</v>
      </c>
      <c r="L15" s="10" t="s">
        <v>851</v>
      </c>
      <c r="M15" s="11">
        <v>3276</v>
      </c>
      <c r="N15" s="12" t="s">
        <v>5276</v>
      </c>
      <c r="O15" s="13" t="s">
        <v>3322</v>
      </c>
      <c r="P15" s="13" t="s">
        <v>2986</v>
      </c>
      <c r="Q15" s="13" t="s">
        <v>5277</v>
      </c>
      <c r="R15" s="13" t="s">
        <v>3170</v>
      </c>
      <c r="S15" s="13" t="s">
        <v>5278</v>
      </c>
      <c r="T15" s="13" t="s">
        <v>3174</v>
      </c>
      <c r="U15" s="14" t="s">
        <v>6341</v>
      </c>
      <c r="V15" s="14" t="s">
        <v>2821</v>
      </c>
      <c r="W15" s="14" t="s">
        <v>2993</v>
      </c>
      <c r="X15" s="14" t="s">
        <v>2823</v>
      </c>
      <c r="Y15" s="15">
        <v>1</v>
      </c>
      <c r="Z15" s="11">
        <v>5661</v>
      </c>
      <c r="AA15" s="11">
        <v>227345.77</v>
      </c>
      <c r="AB15" s="16">
        <v>40.16</v>
      </c>
      <c r="AC15" s="17">
        <v>0.653</v>
      </c>
      <c r="AD15" s="16">
        <v>7.91</v>
      </c>
      <c r="AE15" s="18">
        <v>4</v>
      </c>
      <c r="AF15" s="11">
        <v>2796</v>
      </c>
      <c r="AG15" s="19">
        <v>0.0115</v>
      </c>
      <c r="AH15" s="11">
        <v>65</v>
      </c>
      <c r="AI15" s="11">
        <v>150</v>
      </c>
      <c r="AJ15" s="9" t="s">
        <v>947</v>
      </c>
      <c r="AK15" s="9" t="s">
        <v>5428</v>
      </c>
      <c r="AL15" s="21">
        <v>1513</v>
      </c>
      <c r="AM15" s="21">
        <v>6</v>
      </c>
      <c r="AN15" s="21">
        <v>11</v>
      </c>
      <c r="AO15" s="10" t="s">
        <v>1515</v>
      </c>
      <c r="AP15" s="9" t="s">
        <v>65</v>
      </c>
      <c r="AQ15" s="10" t="s">
        <v>65</v>
      </c>
      <c r="AR15" s="9" t="s">
        <v>1516</v>
      </c>
      <c r="AS15" s="22" t="s">
        <v>1413</v>
      </c>
      <c r="AT15" s="22" t="s">
        <v>5429</v>
      </c>
    </row>
    <row r="16" ht="24" customHeight="1" spans="1:46">
      <c r="A16" s="9" t="str">
        <f>_xlfn.DISPIMG("ID_889907F383A34AD393555FE24CFF1DD5",1)</f>
        <v>=DISPIMG("ID_889907F383A34AD393555FE24CFF1DD5",1)</v>
      </c>
      <c r="B16" s="10" t="s">
        <v>5430</v>
      </c>
      <c r="C16" s="10" t="s">
        <v>5431</v>
      </c>
      <c r="D16" s="10" t="s">
        <v>5432</v>
      </c>
      <c r="E16" s="10" t="s">
        <v>5433</v>
      </c>
      <c r="F16" s="10" t="s">
        <v>5434</v>
      </c>
      <c r="G16" s="10" t="s">
        <v>5435</v>
      </c>
      <c r="H16" s="10" t="s">
        <v>5436</v>
      </c>
      <c r="I16" s="10" t="s">
        <v>5437</v>
      </c>
      <c r="J16" s="9" t="s">
        <v>1384</v>
      </c>
      <c r="K16" s="10" t="s">
        <v>5275</v>
      </c>
      <c r="L16" s="10" t="s">
        <v>851</v>
      </c>
      <c r="M16" s="11">
        <v>4040</v>
      </c>
      <c r="N16" s="12" t="s">
        <v>5276</v>
      </c>
      <c r="O16" s="13" t="s">
        <v>1021</v>
      </c>
      <c r="P16" s="13" t="s">
        <v>3005</v>
      </c>
      <c r="Q16" s="13" t="s">
        <v>5277</v>
      </c>
      <c r="R16" s="13" t="s">
        <v>5438</v>
      </c>
      <c r="S16" s="13" t="s">
        <v>5278</v>
      </c>
      <c r="T16" s="13" t="s">
        <v>5371</v>
      </c>
      <c r="U16" s="14" t="s">
        <v>6341</v>
      </c>
      <c r="V16" s="14" t="s">
        <v>2917</v>
      </c>
      <c r="W16" s="14" t="s">
        <v>2822</v>
      </c>
      <c r="X16" s="14" t="s">
        <v>2934</v>
      </c>
      <c r="Y16" s="15">
        <v>1</v>
      </c>
      <c r="Z16" s="11">
        <v>1807</v>
      </c>
      <c r="AA16" s="11">
        <v>108401.93</v>
      </c>
      <c r="AB16" s="16">
        <v>59.99</v>
      </c>
      <c r="AC16" s="17">
        <v>0.6161</v>
      </c>
      <c r="AD16" s="16">
        <v>14.03</v>
      </c>
      <c r="AE16" s="18">
        <v>4.7</v>
      </c>
      <c r="AF16" s="11">
        <v>29</v>
      </c>
      <c r="AG16" s="19">
        <v>0.0155</v>
      </c>
      <c r="AH16" s="11">
        <v>28</v>
      </c>
      <c r="AI16" s="20"/>
      <c r="AJ16" s="9" t="s">
        <v>1267</v>
      </c>
      <c r="AK16" s="9" t="s">
        <v>5439</v>
      </c>
      <c r="AL16" s="21">
        <v>68</v>
      </c>
      <c r="AM16" s="21">
        <v>2</v>
      </c>
      <c r="AN16" s="21">
        <v>1</v>
      </c>
      <c r="AO16" s="10" t="s">
        <v>1515</v>
      </c>
      <c r="AP16" s="9" t="s">
        <v>65</v>
      </c>
      <c r="AQ16" s="10" t="s">
        <v>65</v>
      </c>
      <c r="AR16" s="9" t="s">
        <v>1516</v>
      </c>
      <c r="AS16" s="22" t="s">
        <v>5440</v>
      </c>
      <c r="AT16" s="22" t="s">
        <v>5441</v>
      </c>
    </row>
    <row r="17" ht="24" customHeight="1" spans="1:46">
      <c r="A17" s="9" t="str">
        <f>_xlfn.DISPIMG("ID_8F62DC518A7749E98A78FF871E269E65",1)</f>
        <v>=DISPIMG("ID_8F62DC518A7749E98A78FF871E269E65",1)</v>
      </c>
      <c r="B17" s="10" t="s">
        <v>5442</v>
      </c>
      <c r="C17" s="10" t="s">
        <v>5443</v>
      </c>
      <c r="D17" s="10" t="s">
        <v>5444</v>
      </c>
      <c r="E17" s="10" t="s">
        <v>5445</v>
      </c>
      <c r="F17" s="10" t="s">
        <v>5446</v>
      </c>
      <c r="G17" s="10" t="s">
        <v>3854</v>
      </c>
      <c r="H17" s="10" t="s">
        <v>5447</v>
      </c>
      <c r="I17" s="10" t="s">
        <v>5448</v>
      </c>
      <c r="J17" s="9" t="s">
        <v>934</v>
      </c>
      <c r="K17" s="10" t="s">
        <v>5275</v>
      </c>
      <c r="L17" s="10" t="s">
        <v>851</v>
      </c>
      <c r="M17" s="11">
        <v>4412</v>
      </c>
      <c r="N17" s="12" t="s">
        <v>5276</v>
      </c>
      <c r="O17" s="13" t="s">
        <v>1013</v>
      </c>
      <c r="P17" s="13" t="s">
        <v>3459</v>
      </c>
      <c r="Q17" s="13" t="s">
        <v>5277</v>
      </c>
      <c r="R17" s="13" t="s">
        <v>3170</v>
      </c>
      <c r="S17" s="13" t="s">
        <v>5278</v>
      </c>
      <c r="T17" s="13" t="s">
        <v>3174</v>
      </c>
      <c r="U17" s="14" t="s">
        <v>6341</v>
      </c>
      <c r="V17" s="14" t="s">
        <v>2831</v>
      </c>
      <c r="W17" s="14" t="s">
        <v>2865</v>
      </c>
      <c r="X17" s="14" t="s">
        <v>2823</v>
      </c>
      <c r="Y17" s="15">
        <v>1</v>
      </c>
      <c r="Z17" s="11">
        <v>6714</v>
      </c>
      <c r="AA17" s="11">
        <v>335632.88</v>
      </c>
      <c r="AB17" s="16">
        <v>49.99</v>
      </c>
      <c r="AC17" s="17">
        <v>0.6918</v>
      </c>
      <c r="AD17" s="16">
        <v>7.91</v>
      </c>
      <c r="AE17" s="18">
        <v>4.4</v>
      </c>
      <c r="AF17" s="11">
        <v>1980</v>
      </c>
      <c r="AG17" s="19">
        <v>0.0061</v>
      </c>
      <c r="AH17" s="11">
        <v>41</v>
      </c>
      <c r="AI17" s="11">
        <v>72</v>
      </c>
      <c r="AJ17" s="9" t="s">
        <v>876</v>
      </c>
      <c r="AK17" s="9" t="s">
        <v>5449</v>
      </c>
      <c r="AL17" s="21">
        <v>673</v>
      </c>
      <c r="AM17" s="21">
        <v>7</v>
      </c>
      <c r="AN17" s="21">
        <v>7</v>
      </c>
      <c r="AO17" s="10" t="s">
        <v>1515</v>
      </c>
      <c r="AP17" s="9" t="s">
        <v>65</v>
      </c>
      <c r="AQ17" s="10" t="s">
        <v>65</v>
      </c>
      <c r="AR17" s="9" t="s">
        <v>1516</v>
      </c>
      <c r="AS17" s="22" t="s">
        <v>1413</v>
      </c>
      <c r="AT17" s="22" t="s">
        <v>5450</v>
      </c>
    </row>
    <row r="18" ht="24" customHeight="1" spans="1:46">
      <c r="A18" s="9" t="str">
        <f>_xlfn.DISPIMG("ID_0783D5F3879443B9AA001FCE11B877E6",1)</f>
        <v>=DISPIMG("ID_0783D5F3879443B9AA001FCE11B877E6",1)</v>
      </c>
      <c r="B18" s="10" t="s">
        <v>5451</v>
      </c>
      <c r="C18" s="10" t="s">
        <v>5452</v>
      </c>
      <c r="D18" s="10" t="s">
        <v>5453</v>
      </c>
      <c r="E18" s="10" t="s">
        <v>5454</v>
      </c>
      <c r="F18" s="10" t="s">
        <v>5455</v>
      </c>
      <c r="G18" s="10" t="s">
        <v>5319</v>
      </c>
      <c r="H18" s="10" t="s">
        <v>5456</v>
      </c>
      <c r="I18" s="10" t="s">
        <v>5457</v>
      </c>
      <c r="J18" s="9" t="s">
        <v>934</v>
      </c>
      <c r="K18" s="10" t="s">
        <v>5275</v>
      </c>
      <c r="L18" s="10" t="s">
        <v>851</v>
      </c>
      <c r="M18" s="11">
        <v>4724</v>
      </c>
      <c r="N18" s="12" t="s">
        <v>5322</v>
      </c>
      <c r="O18" s="13" t="s">
        <v>5458</v>
      </c>
      <c r="P18" s="13" t="s">
        <v>2881</v>
      </c>
      <c r="Q18" s="13" t="s">
        <v>5289</v>
      </c>
      <c r="R18" s="13" t="s">
        <v>3416</v>
      </c>
      <c r="S18" s="13" t="s">
        <v>5278</v>
      </c>
      <c r="T18" s="13" t="s">
        <v>3174</v>
      </c>
      <c r="U18" s="14" t="s">
        <v>6341</v>
      </c>
      <c r="V18" s="14" t="s">
        <v>2900</v>
      </c>
      <c r="W18" s="14" t="s">
        <v>2993</v>
      </c>
      <c r="X18" s="14" t="s">
        <v>2823</v>
      </c>
      <c r="Y18" s="15">
        <v>1</v>
      </c>
      <c r="Z18" s="11">
        <v>3732</v>
      </c>
      <c r="AA18" s="11">
        <v>182830.69</v>
      </c>
      <c r="AB18" s="16">
        <v>48.99</v>
      </c>
      <c r="AC18" s="17">
        <v>0.6757</v>
      </c>
      <c r="AD18" s="16">
        <v>8.54</v>
      </c>
      <c r="AE18" s="18">
        <v>4</v>
      </c>
      <c r="AF18" s="11">
        <v>9254</v>
      </c>
      <c r="AG18" s="19">
        <v>0.0389</v>
      </c>
      <c r="AH18" s="11">
        <v>145</v>
      </c>
      <c r="AI18" s="11">
        <v>150</v>
      </c>
      <c r="AJ18" s="9" t="s">
        <v>947</v>
      </c>
      <c r="AK18" s="9" t="s">
        <v>5459</v>
      </c>
      <c r="AL18" s="21">
        <v>848</v>
      </c>
      <c r="AM18" s="21">
        <v>4</v>
      </c>
      <c r="AN18" s="21">
        <v>5</v>
      </c>
      <c r="AO18" s="10" t="s">
        <v>5325</v>
      </c>
      <c r="AP18" s="9" t="s">
        <v>1110</v>
      </c>
      <c r="AQ18" s="10" t="s">
        <v>5326</v>
      </c>
      <c r="AR18" s="9" t="s">
        <v>997</v>
      </c>
      <c r="AS18" s="22" t="s">
        <v>5460</v>
      </c>
      <c r="AT18" s="22" t="s">
        <v>5461</v>
      </c>
    </row>
    <row r="19" ht="24" customHeight="1" spans="1:46">
      <c r="A19" s="9" t="str">
        <f>_xlfn.DISPIMG("ID_E0EFCA93C3234D23B2B3BFC2B4FE602B",1)</f>
        <v>=DISPIMG("ID_E0EFCA93C3234D23B2B3BFC2B4FE602B",1)</v>
      </c>
      <c r="B19" s="10" t="s">
        <v>5462</v>
      </c>
      <c r="C19" s="10" t="s">
        <v>5463</v>
      </c>
      <c r="D19" s="10" t="s">
        <v>5464</v>
      </c>
      <c r="E19" s="10" t="s">
        <v>5465</v>
      </c>
      <c r="F19" s="10" t="s">
        <v>5466</v>
      </c>
      <c r="G19" s="10" t="s">
        <v>5467</v>
      </c>
      <c r="H19" s="10" t="s">
        <v>5468</v>
      </c>
      <c r="I19" s="10" t="s">
        <v>5469</v>
      </c>
      <c r="J19" s="9" t="s">
        <v>974</v>
      </c>
      <c r="K19" s="10" t="s">
        <v>5470</v>
      </c>
      <c r="L19" s="10" t="s">
        <v>5300</v>
      </c>
      <c r="M19" s="11">
        <v>1930</v>
      </c>
      <c r="N19" s="12" t="s">
        <v>5301</v>
      </c>
      <c r="O19" s="13" t="s">
        <v>5471</v>
      </c>
      <c r="P19" s="13" t="s">
        <v>2809</v>
      </c>
      <c r="Q19" s="13" t="s">
        <v>5472</v>
      </c>
      <c r="R19" s="13" t="s">
        <v>3170</v>
      </c>
      <c r="S19" s="13" t="s">
        <v>1003</v>
      </c>
      <c r="T19" s="13" t="s">
        <v>3174</v>
      </c>
      <c r="U19" s="14" t="s">
        <v>5473</v>
      </c>
      <c r="V19" s="14" t="s">
        <v>2821</v>
      </c>
      <c r="W19" s="14" t="s">
        <v>2930</v>
      </c>
      <c r="X19" s="14" t="s">
        <v>2823</v>
      </c>
      <c r="Y19" s="15">
        <v>1</v>
      </c>
      <c r="Z19" s="11">
        <v>3086</v>
      </c>
      <c r="AA19" s="11">
        <v>918362.75</v>
      </c>
      <c r="AB19" s="16">
        <v>297.59</v>
      </c>
      <c r="AC19" s="17">
        <v>0.6022</v>
      </c>
      <c r="AD19" s="16">
        <v>73.74</v>
      </c>
      <c r="AE19" s="18">
        <v>4.1</v>
      </c>
      <c r="AF19" s="11">
        <v>3452</v>
      </c>
      <c r="AG19" s="19">
        <v>0.0123</v>
      </c>
      <c r="AH19" s="11">
        <v>38</v>
      </c>
      <c r="AI19" s="11">
        <v>432</v>
      </c>
      <c r="AJ19" s="9" t="s">
        <v>854</v>
      </c>
      <c r="AK19" s="9" t="s">
        <v>5474</v>
      </c>
      <c r="AL19" s="21">
        <v>3850</v>
      </c>
      <c r="AM19" s="21">
        <v>5</v>
      </c>
      <c r="AN19" s="21">
        <v>8</v>
      </c>
      <c r="AO19" s="10" t="s">
        <v>1515</v>
      </c>
      <c r="AP19" s="9" t="s">
        <v>65</v>
      </c>
      <c r="AQ19" s="10" t="s">
        <v>65</v>
      </c>
      <c r="AR19" s="9" t="s">
        <v>1516</v>
      </c>
      <c r="AS19" s="22" t="s">
        <v>5475</v>
      </c>
      <c r="AT19" s="22" t="s">
        <v>5476</v>
      </c>
    </row>
    <row r="20" ht="24" customHeight="1" spans="1:46">
      <c r="A20" s="9" t="str">
        <f>_xlfn.DISPIMG("ID_7C0005BFB5A64106920B92E3A61DE3C6",1)</f>
        <v>=DISPIMG("ID_7C0005BFB5A64106920B92E3A61DE3C6",1)</v>
      </c>
      <c r="B20" s="10" t="s">
        <v>5477</v>
      </c>
      <c r="C20" s="10" t="s">
        <v>5478</v>
      </c>
      <c r="D20" s="10" t="s">
        <v>3196</v>
      </c>
      <c r="E20" s="10" t="s">
        <v>5479</v>
      </c>
      <c r="F20" s="10" t="s">
        <v>5480</v>
      </c>
      <c r="G20" s="10" t="s">
        <v>3427</v>
      </c>
      <c r="H20" s="10" t="s">
        <v>5481</v>
      </c>
      <c r="I20" s="10" t="s">
        <v>5482</v>
      </c>
      <c r="J20" s="9" t="s">
        <v>934</v>
      </c>
      <c r="K20" s="10" t="s">
        <v>5275</v>
      </c>
      <c r="L20" s="10" t="s">
        <v>851</v>
      </c>
      <c r="M20" s="11">
        <v>5203</v>
      </c>
      <c r="N20" s="12" t="s">
        <v>5276</v>
      </c>
      <c r="O20" s="13" t="s">
        <v>3384</v>
      </c>
      <c r="P20" s="13" t="s">
        <v>2809</v>
      </c>
      <c r="Q20" s="13" t="s">
        <v>5277</v>
      </c>
      <c r="R20" s="13" t="s">
        <v>3170</v>
      </c>
      <c r="S20" s="13" t="s">
        <v>5278</v>
      </c>
      <c r="T20" s="13" t="s">
        <v>3174</v>
      </c>
      <c r="U20" s="14" t="s">
        <v>6342</v>
      </c>
      <c r="V20" s="14" t="s">
        <v>2821</v>
      </c>
      <c r="W20" s="14" t="s">
        <v>2930</v>
      </c>
      <c r="X20" s="14" t="s">
        <v>2911</v>
      </c>
      <c r="Y20" s="15">
        <v>1</v>
      </c>
      <c r="Z20" s="11">
        <v>3504</v>
      </c>
      <c r="AA20" s="11">
        <v>136620.97</v>
      </c>
      <c r="AB20" s="16">
        <v>38.99</v>
      </c>
      <c r="AC20" s="17">
        <v>0.6471</v>
      </c>
      <c r="AD20" s="16">
        <v>7.91</v>
      </c>
      <c r="AE20" s="18">
        <v>4.2</v>
      </c>
      <c r="AF20" s="11">
        <v>621</v>
      </c>
      <c r="AG20" s="19">
        <v>0.0083</v>
      </c>
      <c r="AH20" s="11">
        <v>29</v>
      </c>
      <c r="AI20" s="11">
        <v>5</v>
      </c>
      <c r="AJ20" s="9" t="s">
        <v>947</v>
      </c>
      <c r="AK20" s="9" t="s">
        <v>5483</v>
      </c>
      <c r="AL20" s="21">
        <v>1295</v>
      </c>
      <c r="AM20" s="21">
        <v>5</v>
      </c>
      <c r="AN20" s="21">
        <v>15</v>
      </c>
      <c r="AO20" s="10" t="s">
        <v>1515</v>
      </c>
      <c r="AP20" s="9" t="s">
        <v>65</v>
      </c>
      <c r="AQ20" s="10" t="s">
        <v>65</v>
      </c>
      <c r="AR20" s="9" t="s">
        <v>1516</v>
      </c>
      <c r="AS20" s="22" t="s">
        <v>5484</v>
      </c>
      <c r="AT20" s="22" t="s">
        <v>5485</v>
      </c>
    </row>
    <row r="21" ht="24" customHeight="1" spans="1:46">
      <c r="A21" s="9" t="str">
        <f>_xlfn.DISPIMG("ID_1A0C77516E4B418B88B728B6092F21CC",1)</f>
        <v>=DISPIMG("ID_1A0C77516E4B418B88B728B6092F21CC",1)</v>
      </c>
      <c r="B21" s="10" t="s">
        <v>5486</v>
      </c>
      <c r="C21" s="10" t="s">
        <v>5487</v>
      </c>
      <c r="D21" s="10" t="s">
        <v>5400</v>
      </c>
      <c r="E21" s="10" t="s">
        <v>5488</v>
      </c>
      <c r="F21" s="10" t="s">
        <v>5489</v>
      </c>
      <c r="G21" s="10" t="s">
        <v>3854</v>
      </c>
      <c r="H21" s="10" t="s">
        <v>5490</v>
      </c>
      <c r="I21" s="10" t="s">
        <v>5491</v>
      </c>
      <c r="J21" s="9" t="s">
        <v>934</v>
      </c>
      <c r="K21" s="10" t="s">
        <v>5275</v>
      </c>
      <c r="L21" s="10" t="s">
        <v>851</v>
      </c>
      <c r="M21" s="11">
        <v>5444</v>
      </c>
      <c r="N21" s="12" t="s">
        <v>5276</v>
      </c>
      <c r="O21" s="13" t="s">
        <v>3394</v>
      </c>
      <c r="P21" s="13" t="s">
        <v>2958</v>
      </c>
      <c r="Q21" s="13" t="s">
        <v>5417</v>
      </c>
      <c r="R21" s="13" t="s">
        <v>3170</v>
      </c>
      <c r="S21" s="13" t="s">
        <v>1003</v>
      </c>
      <c r="T21" s="13" t="s">
        <v>3174</v>
      </c>
      <c r="U21" s="14" t="s">
        <v>5492</v>
      </c>
      <c r="V21" s="14" t="s">
        <v>2821</v>
      </c>
      <c r="W21" s="14" t="s">
        <v>2865</v>
      </c>
      <c r="X21" s="14" t="s">
        <v>2823</v>
      </c>
      <c r="Y21" s="15">
        <v>1</v>
      </c>
      <c r="Z21" s="11">
        <v>2095</v>
      </c>
      <c r="AA21" s="11">
        <v>250562</v>
      </c>
      <c r="AB21" s="16">
        <v>119.6</v>
      </c>
      <c r="AC21" s="17">
        <v>0.5826</v>
      </c>
      <c r="AD21" s="16">
        <v>31.98</v>
      </c>
      <c r="AE21" s="18">
        <v>4.4</v>
      </c>
      <c r="AF21" s="11">
        <v>2554</v>
      </c>
      <c r="AG21" s="19">
        <v>0.0277</v>
      </c>
      <c r="AH21" s="11">
        <v>58</v>
      </c>
      <c r="AI21" s="11">
        <v>149</v>
      </c>
      <c r="AJ21" s="9" t="s">
        <v>854</v>
      </c>
      <c r="AK21" s="9" t="s">
        <v>1108</v>
      </c>
      <c r="AL21" s="21">
        <v>1415</v>
      </c>
      <c r="AM21" s="21">
        <v>6</v>
      </c>
      <c r="AN21" s="21">
        <v>8</v>
      </c>
      <c r="AO21" s="10" t="s">
        <v>1515</v>
      </c>
      <c r="AP21" s="9" t="s">
        <v>65</v>
      </c>
      <c r="AQ21" s="10" t="s">
        <v>65</v>
      </c>
      <c r="AR21" s="9" t="s">
        <v>1516</v>
      </c>
      <c r="AS21" s="22" t="s">
        <v>5493</v>
      </c>
      <c r="AT21" s="22" t="s">
        <v>5494</v>
      </c>
    </row>
    <row r="22" ht="24" customHeight="1" spans="1:46">
      <c r="A22" s="9" t="str">
        <f>_xlfn.DISPIMG("ID_89F005672EDE4B7D9C755F740DE55A55",1)</f>
        <v>=DISPIMG("ID_89F005672EDE4B7D9C755F740DE55A55",1)</v>
      </c>
      <c r="B22" s="10" t="s">
        <v>5495</v>
      </c>
      <c r="C22" s="10" t="s">
        <v>5496</v>
      </c>
      <c r="D22" s="10" t="s">
        <v>3196</v>
      </c>
      <c r="E22" s="10" t="s">
        <v>5497</v>
      </c>
      <c r="F22" s="10" t="s">
        <v>5498</v>
      </c>
      <c r="G22" s="10" t="s">
        <v>5499</v>
      </c>
      <c r="H22" s="10" t="s">
        <v>5500</v>
      </c>
      <c r="I22" s="10" t="s">
        <v>5501</v>
      </c>
      <c r="J22" s="9" t="s">
        <v>934</v>
      </c>
      <c r="K22" s="10" t="s">
        <v>5275</v>
      </c>
      <c r="L22" s="10" t="s">
        <v>5300</v>
      </c>
      <c r="M22" s="11">
        <v>2193</v>
      </c>
      <c r="N22" s="12" t="s">
        <v>5301</v>
      </c>
      <c r="O22" s="13" t="s">
        <v>5502</v>
      </c>
      <c r="P22" s="13" t="s">
        <v>2809</v>
      </c>
      <c r="Q22" s="13" t="s">
        <v>5289</v>
      </c>
      <c r="R22" s="13" t="s">
        <v>3170</v>
      </c>
      <c r="S22" s="13" t="s">
        <v>5278</v>
      </c>
      <c r="T22" s="13" t="s">
        <v>3174</v>
      </c>
      <c r="U22" s="14" t="s">
        <v>6341</v>
      </c>
      <c r="V22" s="14" t="s">
        <v>2831</v>
      </c>
      <c r="W22" s="14" t="s">
        <v>2930</v>
      </c>
      <c r="X22" s="14" t="s">
        <v>2823</v>
      </c>
      <c r="Y22" s="15">
        <v>1</v>
      </c>
      <c r="Z22" s="11">
        <v>5206</v>
      </c>
      <c r="AA22" s="11">
        <v>281071.94</v>
      </c>
      <c r="AB22" s="16">
        <v>53.99</v>
      </c>
      <c r="AC22" s="17">
        <v>0.6801</v>
      </c>
      <c r="AD22" s="16">
        <v>9.17</v>
      </c>
      <c r="AE22" s="18">
        <v>4.2</v>
      </c>
      <c r="AF22" s="11">
        <v>3739</v>
      </c>
      <c r="AG22" s="19">
        <v>0.0125</v>
      </c>
      <c r="AH22" s="11">
        <v>65</v>
      </c>
      <c r="AI22" s="11">
        <v>90</v>
      </c>
      <c r="AJ22" s="9" t="s">
        <v>876</v>
      </c>
      <c r="AK22" s="9" t="s">
        <v>5503</v>
      </c>
      <c r="AL22" s="21">
        <v>690</v>
      </c>
      <c r="AM22" s="21">
        <v>5</v>
      </c>
      <c r="AN22" s="21">
        <v>5</v>
      </c>
      <c r="AO22" s="10" t="s">
        <v>5504</v>
      </c>
      <c r="AP22" s="9" t="s">
        <v>1401</v>
      </c>
      <c r="AQ22" s="10" t="s">
        <v>5505</v>
      </c>
      <c r="AR22" s="9" t="s">
        <v>997</v>
      </c>
      <c r="AS22" s="22" t="s">
        <v>5506</v>
      </c>
      <c r="AT22" s="22" t="s">
        <v>5507</v>
      </c>
    </row>
    <row r="23" ht="24" customHeight="1" spans="1:46">
      <c r="A23" s="9" t="str">
        <f>_xlfn.DISPIMG("ID_D84A71EE775540DE9FD60A8D33110265",1)</f>
        <v>=DISPIMG("ID_D84A71EE775540DE9FD60A8D33110265",1)</v>
      </c>
      <c r="B23" s="10" t="s">
        <v>5508</v>
      </c>
      <c r="C23" s="10" t="s">
        <v>5509</v>
      </c>
      <c r="D23" s="10" t="s">
        <v>3333</v>
      </c>
      <c r="E23" s="10" t="s">
        <v>5510</v>
      </c>
      <c r="F23" s="10" t="s">
        <v>5511</v>
      </c>
      <c r="G23" s="10" t="s">
        <v>5512</v>
      </c>
      <c r="H23" s="10" t="s">
        <v>5513</v>
      </c>
      <c r="I23" s="10" t="s">
        <v>5514</v>
      </c>
      <c r="J23" s="9" t="s">
        <v>934</v>
      </c>
      <c r="K23" s="10" t="s">
        <v>5275</v>
      </c>
      <c r="L23" s="10" t="s">
        <v>851</v>
      </c>
      <c r="M23" s="11">
        <v>5836</v>
      </c>
      <c r="N23" s="12" t="s">
        <v>5276</v>
      </c>
      <c r="O23" s="13" t="s">
        <v>1062</v>
      </c>
      <c r="P23" s="13" t="s">
        <v>2986</v>
      </c>
      <c r="Q23" s="13" t="s">
        <v>5277</v>
      </c>
      <c r="R23" s="13" t="s">
        <v>3170</v>
      </c>
      <c r="S23" s="13" t="s">
        <v>5278</v>
      </c>
      <c r="T23" s="13" t="s">
        <v>3174</v>
      </c>
      <c r="U23" s="14" t="s">
        <v>6341</v>
      </c>
      <c r="V23" s="14" t="s">
        <v>2821</v>
      </c>
      <c r="W23" s="14" t="s">
        <v>2865</v>
      </c>
      <c r="X23" s="14" t="s">
        <v>2823</v>
      </c>
      <c r="Y23" s="15">
        <v>1</v>
      </c>
      <c r="Z23" s="11">
        <v>2524</v>
      </c>
      <c r="AA23" s="11">
        <v>127133.875</v>
      </c>
      <c r="AB23" s="16">
        <v>50.37</v>
      </c>
      <c r="AC23" s="17">
        <v>0.6805</v>
      </c>
      <c r="AD23" s="16">
        <v>8.54</v>
      </c>
      <c r="AE23" s="18">
        <v>4.5</v>
      </c>
      <c r="AF23" s="11">
        <v>2134</v>
      </c>
      <c r="AG23" s="19">
        <v>0.0087</v>
      </c>
      <c r="AH23" s="11">
        <v>22</v>
      </c>
      <c r="AI23" s="11">
        <v>62</v>
      </c>
      <c r="AJ23" s="9" t="s">
        <v>947</v>
      </c>
      <c r="AK23" s="9" t="s">
        <v>936</v>
      </c>
      <c r="AL23" s="21">
        <v>1146</v>
      </c>
      <c r="AM23" s="21">
        <v>4</v>
      </c>
      <c r="AN23" s="21">
        <v>3</v>
      </c>
      <c r="AO23" s="10" t="s">
        <v>5515</v>
      </c>
      <c r="AP23" s="9" t="s">
        <v>65</v>
      </c>
      <c r="AQ23" s="10" t="s">
        <v>65</v>
      </c>
      <c r="AR23" s="9" t="s">
        <v>997</v>
      </c>
      <c r="AS23" s="22" t="s">
        <v>5396</v>
      </c>
      <c r="AT23" s="22" t="s">
        <v>5516</v>
      </c>
    </row>
    <row r="24" ht="24" customHeight="1" spans="1:46">
      <c r="A24" s="9" t="str">
        <f>_xlfn.DISPIMG("ID_4DE2769D295A490BB275B6E0EDB90B6B",1)</f>
        <v>=DISPIMG("ID_4DE2769D295A490BB275B6E0EDB90B6B",1)</v>
      </c>
      <c r="B24" s="10" t="s">
        <v>5517</v>
      </c>
      <c r="C24" s="10" t="s">
        <v>5518</v>
      </c>
      <c r="D24" s="10" t="s">
        <v>5519</v>
      </c>
      <c r="E24" s="10" t="s">
        <v>5520</v>
      </c>
      <c r="F24" s="10" t="s">
        <v>5521</v>
      </c>
      <c r="G24" s="10" t="s">
        <v>3854</v>
      </c>
      <c r="H24" s="10" t="s">
        <v>5522</v>
      </c>
      <c r="I24" s="10" t="s">
        <v>5523</v>
      </c>
      <c r="J24" s="9" t="s">
        <v>934</v>
      </c>
      <c r="K24" s="10" t="s">
        <v>5275</v>
      </c>
      <c r="L24" s="10" t="s">
        <v>5300</v>
      </c>
      <c r="M24" s="11">
        <v>2328</v>
      </c>
      <c r="N24" s="12" t="s">
        <v>5301</v>
      </c>
      <c r="O24" s="13" t="s">
        <v>3245</v>
      </c>
      <c r="P24" s="13" t="s">
        <v>2958</v>
      </c>
      <c r="Q24" s="13" t="s">
        <v>5524</v>
      </c>
      <c r="R24" s="13" t="s">
        <v>3170</v>
      </c>
      <c r="S24" s="13" t="s">
        <v>5278</v>
      </c>
      <c r="T24" s="13" t="s">
        <v>3174</v>
      </c>
      <c r="U24" s="14" t="s">
        <v>6341</v>
      </c>
      <c r="V24" s="14" t="s">
        <v>2821</v>
      </c>
      <c r="W24" s="14" t="s">
        <v>2930</v>
      </c>
      <c r="X24" s="14" t="s">
        <v>2823</v>
      </c>
      <c r="Y24" s="15">
        <v>1</v>
      </c>
      <c r="Z24" s="11">
        <v>2525</v>
      </c>
      <c r="AA24" s="11">
        <v>121149.5</v>
      </c>
      <c r="AB24" s="16">
        <v>47.98</v>
      </c>
      <c r="AC24" s="17">
        <v>0.4938</v>
      </c>
      <c r="AD24" s="16">
        <v>17.09</v>
      </c>
      <c r="AE24" s="18">
        <v>4.2</v>
      </c>
      <c r="AF24" s="11">
        <v>2835</v>
      </c>
      <c r="AG24" s="19">
        <v>0.0325</v>
      </c>
      <c r="AH24" s="11">
        <v>82</v>
      </c>
      <c r="AI24" s="11">
        <v>96</v>
      </c>
      <c r="AJ24" s="9" t="s">
        <v>854</v>
      </c>
      <c r="AK24" s="9" t="s">
        <v>5428</v>
      </c>
      <c r="AL24" s="21">
        <v>1513</v>
      </c>
      <c r="AM24" s="21">
        <v>5</v>
      </c>
      <c r="AN24" s="21">
        <v>8</v>
      </c>
      <c r="AO24" s="10" t="s">
        <v>1515</v>
      </c>
      <c r="AP24" s="9" t="s">
        <v>65</v>
      </c>
      <c r="AQ24" s="10" t="s">
        <v>65</v>
      </c>
      <c r="AR24" s="9" t="s">
        <v>1516</v>
      </c>
      <c r="AS24" s="22" t="s">
        <v>2737</v>
      </c>
      <c r="AT24" s="22" t="s">
        <v>5429</v>
      </c>
    </row>
    <row r="25" ht="24" customHeight="1" spans="1:46">
      <c r="A25" s="9" t="str">
        <f>_xlfn.DISPIMG("ID_B9FD149D2A7E4E918A8A34D91F312C68",1)</f>
        <v>=DISPIMG("ID_B9FD149D2A7E4E918A8A34D91F312C68",1)</v>
      </c>
      <c r="B25" s="10" t="s">
        <v>5525</v>
      </c>
      <c r="C25" s="10" t="s">
        <v>5526</v>
      </c>
      <c r="D25" s="10" t="s">
        <v>5269</v>
      </c>
      <c r="E25" s="10" t="s">
        <v>5527</v>
      </c>
      <c r="F25" s="10" t="s">
        <v>5528</v>
      </c>
      <c r="G25" s="10" t="s">
        <v>5529</v>
      </c>
      <c r="H25" s="10" t="s">
        <v>5530</v>
      </c>
      <c r="I25" s="10" t="s">
        <v>5531</v>
      </c>
      <c r="J25" s="9" t="s">
        <v>934</v>
      </c>
      <c r="K25" s="10" t="s">
        <v>5275</v>
      </c>
      <c r="L25" s="10" t="s">
        <v>851</v>
      </c>
      <c r="M25" s="11">
        <v>6412</v>
      </c>
      <c r="N25" s="12" t="s">
        <v>5276</v>
      </c>
      <c r="O25" s="13" t="s">
        <v>1097</v>
      </c>
      <c r="P25" s="13" t="s">
        <v>2986</v>
      </c>
      <c r="Q25" s="13" t="s">
        <v>5289</v>
      </c>
      <c r="R25" s="13" t="s">
        <v>5438</v>
      </c>
      <c r="S25" s="13" t="s">
        <v>5278</v>
      </c>
      <c r="T25" s="13" t="s">
        <v>3174</v>
      </c>
      <c r="U25" s="14" t="s">
        <v>6341</v>
      </c>
      <c r="V25" s="14" t="s">
        <v>2883</v>
      </c>
      <c r="W25" s="14" t="s">
        <v>2930</v>
      </c>
      <c r="X25" s="14" t="s">
        <v>2884</v>
      </c>
      <c r="Y25" s="15">
        <v>1</v>
      </c>
      <c r="Z25" s="11">
        <v>1607</v>
      </c>
      <c r="AA25" s="11">
        <v>75512.93</v>
      </c>
      <c r="AB25" s="16">
        <v>46.99</v>
      </c>
      <c r="AC25" s="17">
        <v>0.5429</v>
      </c>
      <c r="AD25" s="16">
        <v>14.43</v>
      </c>
      <c r="AE25" s="18">
        <v>4.2</v>
      </c>
      <c r="AF25" s="11">
        <v>358</v>
      </c>
      <c r="AG25" s="19">
        <v>0.0162</v>
      </c>
      <c r="AH25" s="11">
        <v>26</v>
      </c>
      <c r="AI25" s="20"/>
      <c r="AJ25" s="9" t="s">
        <v>854</v>
      </c>
      <c r="AK25" s="9" t="s">
        <v>5532</v>
      </c>
      <c r="AL25" s="21">
        <v>252</v>
      </c>
      <c r="AM25" s="21">
        <v>2</v>
      </c>
      <c r="AN25" s="21">
        <v>3</v>
      </c>
      <c r="AO25" s="10" t="s">
        <v>5533</v>
      </c>
      <c r="AP25" s="9" t="s">
        <v>1110</v>
      </c>
      <c r="AQ25" s="10" t="s">
        <v>5534</v>
      </c>
      <c r="AR25" s="9" t="s">
        <v>997</v>
      </c>
      <c r="AS25" s="22" t="s">
        <v>5535</v>
      </c>
      <c r="AT25" s="22" t="s">
        <v>5536</v>
      </c>
    </row>
    <row r="26" ht="24" customHeight="1" spans="1:46">
      <c r="A26" s="9" t="str">
        <f>_xlfn.DISPIMG("ID_CD0498A408E245CB946CB8C91DC5B810",1)</f>
        <v>=DISPIMG("ID_CD0498A408E245CB946CB8C91DC5B810",1)</v>
      </c>
      <c r="B26" s="10" t="s">
        <v>5537</v>
      </c>
      <c r="C26" s="10" t="s">
        <v>5538</v>
      </c>
      <c r="D26" s="10" t="s">
        <v>3196</v>
      </c>
      <c r="E26" s="10" t="s">
        <v>5539</v>
      </c>
      <c r="F26" s="10" t="s">
        <v>5540</v>
      </c>
      <c r="G26" s="10" t="s">
        <v>5319</v>
      </c>
      <c r="H26" s="10" t="s">
        <v>5541</v>
      </c>
      <c r="I26" s="10" t="s">
        <v>5542</v>
      </c>
      <c r="J26" s="9" t="s">
        <v>1384</v>
      </c>
      <c r="K26" s="10" t="s">
        <v>5275</v>
      </c>
      <c r="L26" s="10" t="s">
        <v>851</v>
      </c>
      <c r="M26" s="11">
        <v>6700</v>
      </c>
      <c r="N26" s="12" t="s">
        <v>5322</v>
      </c>
      <c r="O26" s="13" t="s">
        <v>5543</v>
      </c>
      <c r="P26" s="13" t="s">
        <v>2809</v>
      </c>
      <c r="Q26" s="13" t="s">
        <v>5289</v>
      </c>
      <c r="R26" s="13" t="s">
        <v>3170</v>
      </c>
      <c r="S26" s="13" t="s">
        <v>5278</v>
      </c>
      <c r="T26" s="13" t="s">
        <v>3174</v>
      </c>
      <c r="U26" s="14" t="s">
        <v>6343</v>
      </c>
      <c r="V26" s="14" t="s">
        <v>2917</v>
      </c>
      <c r="W26" s="14" t="s">
        <v>2865</v>
      </c>
      <c r="X26" s="14" t="s">
        <v>2940</v>
      </c>
      <c r="Y26" s="15">
        <v>1</v>
      </c>
      <c r="Z26" s="11">
        <v>4427</v>
      </c>
      <c r="AA26" s="11">
        <v>323126.72</v>
      </c>
      <c r="AB26" s="16">
        <v>70.99</v>
      </c>
      <c r="AC26" s="17">
        <v>0.733</v>
      </c>
      <c r="AD26" s="16">
        <v>8.54</v>
      </c>
      <c r="AE26" s="18">
        <v>4.3</v>
      </c>
      <c r="AF26" s="11">
        <v>186</v>
      </c>
      <c r="AG26" s="19">
        <v>0.0063</v>
      </c>
      <c r="AH26" s="11">
        <v>28</v>
      </c>
      <c r="AI26" s="11">
        <v>5</v>
      </c>
      <c r="AJ26" s="9" t="s">
        <v>876</v>
      </c>
      <c r="AK26" s="9" t="s">
        <v>5545</v>
      </c>
      <c r="AL26" s="21">
        <v>168</v>
      </c>
      <c r="AM26" s="21">
        <v>3</v>
      </c>
      <c r="AN26" s="21">
        <v>2</v>
      </c>
      <c r="AO26" s="10" t="s">
        <v>5325</v>
      </c>
      <c r="AP26" s="9" t="s">
        <v>1110</v>
      </c>
      <c r="AQ26" s="10" t="s">
        <v>5326</v>
      </c>
      <c r="AR26" s="9" t="s">
        <v>997</v>
      </c>
      <c r="AS26" s="22" t="s">
        <v>5546</v>
      </c>
      <c r="AT26" s="22" t="s">
        <v>5547</v>
      </c>
    </row>
    <row r="27" ht="24" customHeight="1" spans="1:46">
      <c r="A27" s="9" t="str">
        <f>_xlfn.DISPIMG("ID_FE926B45CA304323B932DE7791FBF2E7",1)</f>
        <v>=DISPIMG("ID_FE926B45CA304323B932DE7791FBF2E7",1)</v>
      </c>
      <c r="B27" s="10" t="s">
        <v>5548</v>
      </c>
      <c r="C27" s="10" t="s">
        <v>5549</v>
      </c>
      <c r="D27" s="10" t="s">
        <v>5550</v>
      </c>
      <c r="E27" s="10" t="s">
        <v>5551</v>
      </c>
      <c r="F27" s="10" t="s">
        <v>5552</v>
      </c>
      <c r="G27" s="10" t="s">
        <v>5272</v>
      </c>
      <c r="H27" s="10" t="s">
        <v>5553</v>
      </c>
      <c r="I27" s="10" t="s">
        <v>5554</v>
      </c>
      <c r="J27" s="9" t="s">
        <v>934</v>
      </c>
      <c r="K27" s="10" t="s">
        <v>5275</v>
      </c>
      <c r="L27" s="10" t="s">
        <v>851</v>
      </c>
      <c r="M27" s="11">
        <v>6748</v>
      </c>
      <c r="N27" s="12" t="s">
        <v>5276</v>
      </c>
      <c r="O27" s="13" t="s">
        <v>1155</v>
      </c>
      <c r="P27" s="13" t="s">
        <v>2963</v>
      </c>
      <c r="Q27" s="13" t="s">
        <v>5277</v>
      </c>
      <c r="R27" s="13" t="s">
        <v>3170</v>
      </c>
      <c r="S27" s="13" t="s">
        <v>5278</v>
      </c>
      <c r="T27" s="13" t="s">
        <v>3174</v>
      </c>
      <c r="U27" s="14" t="s">
        <v>6341</v>
      </c>
      <c r="V27" s="14" t="s">
        <v>2821</v>
      </c>
      <c r="W27" s="14" t="s">
        <v>2822</v>
      </c>
      <c r="X27" s="14" t="s">
        <v>2823</v>
      </c>
      <c r="Y27" s="15">
        <v>1</v>
      </c>
      <c r="Z27" s="11">
        <v>3245</v>
      </c>
      <c r="AA27" s="11">
        <v>157674.55</v>
      </c>
      <c r="AB27" s="16">
        <v>48.59</v>
      </c>
      <c r="AC27" s="17">
        <v>0.6742</v>
      </c>
      <c r="AD27" s="16">
        <v>8.54</v>
      </c>
      <c r="AE27" s="18">
        <v>4.6</v>
      </c>
      <c r="AF27" s="11">
        <v>3259</v>
      </c>
      <c r="AG27" s="19">
        <v>0.0139</v>
      </c>
      <c r="AH27" s="11">
        <v>45</v>
      </c>
      <c r="AI27" s="11">
        <v>94</v>
      </c>
      <c r="AJ27" s="9" t="s">
        <v>876</v>
      </c>
      <c r="AK27" s="9" t="s">
        <v>5555</v>
      </c>
      <c r="AL27" s="21">
        <v>1319</v>
      </c>
      <c r="AM27" s="21">
        <v>3</v>
      </c>
      <c r="AN27" s="21">
        <v>8</v>
      </c>
      <c r="AO27" s="10" t="s">
        <v>1515</v>
      </c>
      <c r="AP27" s="9" t="s">
        <v>65</v>
      </c>
      <c r="AQ27" s="10" t="s">
        <v>65</v>
      </c>
      <c r="AR27" s="9" t="s">
        <v>1516</v>
      </c>
      <c r="AS27" s="22" t="s">
        <v>5361</v>
      </c>
      <c r="AT27" s="22" t="s">
        <v>5281</v>
      </c>
    </row>
    <row r="28" ht="24" customHeight="1" spans="1:46">
      <c r="A28" s="9" t="str">
        <f>_xlfn.DISPIMG("ID_32FE90107A424BBE9A11FCD32AC29247",1)</f>
        <v>=DISPIMG("ID_32FE90107A424BBE9A11FCD32AC29247",1)</v>
      </c>
      <c r="B28" s="10" t="s">
        <v>5556</v>
      </c>
      <c r="C28" s="10" t="s">
        <v>5556</v>
      </c>
      <c r="D28" s="10" t="s">
        <v>65</v>
      </c>
      <c r="E28" s="10" t="s">
        <v>5557</v>
      </c>
      <c r="F28" s="10" t="s">
        <v>5558</v>
      </c>
      <c r="G28" s="10" t="s">
        <v>5559</v>
      </c>
      <c r="H28" s="10" t="s">
        <v>5560</v>
      </c>
      <c r="I28" s="10" t="s">
        <v>5561</v>
      </c>
      <c r="J28" s="9" t="s">
        <v>934</v>
      </c>
      <c r="K28" s="10" t="s">
        <v>5275</v>
      </c>
      <c r="L28" s="10" t="s">
        <v>851</v>
      </c>
      <c r="M28" s="11">
        <v>7087</v>
      </c>
      <c r="N28" s="12" t="s">
        <v>5276</v>
      </c>
      <c r="O28" s="13" t="s">
        <v>1107</v>
      </c>
      <c r="P28" s="13" t="s">
        <v>2986</v>
      </c>
      <c r="Q28" s="13" t="s">
        <v>5277</v>
      </c>
      <c r="R28" s="13" t="s">
        <v>5438</v>
      </c>
      <c r="S28" s="13" t="s">
        <v>5278</v>
      </c>
      <c r="T28" s="13" t="s">
        <v>3174</v>
      </c>
      <c r="U28" s="14" t="s">
        <v>6342</v>
      </c>
      <c r="V28" s="14" t="s">
        <v>2831</v>
      </c>
      <c r="W28" s="14" t="s">
        <v>2865</v>
      </c>
      <c r="X28" s="14" t="s">
        <v>2940</v>
      </c>
      <c r="Y28" s="15">
        <v>1</v>
      </c>
      <c r="Z28" s="11">
        <v>1044</v>
      </c>
      <c r="AA28" s="11">
        <v>41645.16</v>
      </c>
      <c r="AB28" s="16">
        <v>39.89</v>
      </c>
      <c r="AC28" s="17">
        <v>0.5083</v>
      </c>
      <c r="AD28" s="16">
        <v>13.63</v>
      </c>
      <c r="AE28" s="18">
        <v>4.3</v>
      </c>
      <c r="AF28" s="11">
        <v>126</v>
      </c>
      <c r="AG28" s="19">
        <v>0.0067</v>
      </c>
      <c r="AH28" s="11">
        <v>7</v>
      </c>
      <c r="AI28" s="11">
        <v>5</v>
      </c>
      <c r="AJ28" s="9" t="s">
        <v>854</v>
      </c>
      <c r="AK28" s="9" t="s">
        <v>2597</v>
      </c>
      <c r="AL28" s="21">
        <v>648</v>
      </c>
      <c r="AM28" s="21">
        <v>1</v>
      </c>
      <c r="AN28" s="21">
        <v>9</v>
      </c>
      <c r="AO28" s="10" t="s">
        <v>5562</v>
      </c>
      <c r="AP28" s="9" t="s">
        <v>1110</v>
      </c>
      <c r="AQ28" s="10" t="s">
        <v>5563</v>
      </c>
      <c r="AR28" s="9" t="s">
        <v>2728</v>
      </c>
      <c r="AS28" s="22" t="s">
        <v>5564</v>
      </c>
      <c r="AT28" s="22" t="s">
        <v>5565</v>
      </c>
    </row>
    <row r="29" ht="24" customHeight="1" spans="1:46">
      <c r="A29" s="9" t="str">
        <f>_xlfn.DISPIMG("ID_8E7C7A0F4E83414787F030B3A76CFF26",1)</f>
        <v>=DISPIMG("ID_8E7C7A0F4E83414787F030B3A76CFF26",1)</v>
      </c>
      <c r="B29" s="10" t="s">
        <v>5566</v>
      </c>
      <c r="C29" s="10" t="s">
        <v>5567</v>
      </c>
      <c r="D29" s="10" t="s">
        <v>5568</v>
      </c>
      <c r="E29" s="10" t="s">
        <v>5569</v>
      </c>
      <c r="F29" s="10" t="s">
        <v>5570</v>
      </c>
      <c r="G29" s="10" t="s">
        <v>5272</v>
      </c>
      <c r="H29" s="10" t="s">
        <v>5571</v>
      </c>
      <c r="I29" s="10" t="s">
        <v>5572</v>
      </c>
      <c r="J29" s="9" t="s">
        <v>934</v>
      </c>
      <c r="K29" s="10" t="s">
        <v>5275</v>
      </c>
      <c r="L29" s="10" t="s">
        <v>851</v>
      </c>
      <c r="M29" s="11">
        <v>7224</v>
      </c>
      <c r="N29" s="12" t="s">
        <v>5276</v>
      </c>
      <c r="O29" s="13" t="s">
        <v>3486</v>
      </c>
      <c r="P29" s="13" t="s">
        <v>2986</v>
      </c>
      <c r="Q29" s="13" t="s">
        <v>5573</v>
      </c>
      <c r="R29" s="13" t="s">
        <v>3416</v>
      </c>
      <c r="S29" s="13" t="s">
        <v>5278</v>
      </c>
      <c r="T29" s="13" t="s">
        <v>3174</v>
      </c>
      <c r="U29" s="14" t="s">
        <v>5574</v>
      </c>
      <c r="V29" s="14" t="s">
        <v>2821</v>
      </c>
      <c r="W29" s="14" t="s">
        <v>2865</v>
      </c>
      <c r="X29" s="14" t="s">
        <v>2823</v>
      </c>
      <c r="Y29" s="15">
        <v>1</v>
      </c>
      <c r="Z29" s="11">
        <v>2345</v>
      </c>
      <c r="AA29" s="11">
        <v>351726.56</v>
      </c>
      <c r="AB29" s="16">
        <v>149.99</v>
      </c>
      <c r="AC29" s="17">
        <v>0.7086</v>
      </c>
      <c r="AD29" s="16">
        <v>21.21</v>
      </c>
      <c r="AE29" s="18">
        <v>4.3</v>
      </c>
      <c r="AF29" s="11">
        <v>2283</v>
      </c>
      <c r="AG29" s="19">
        <v>0.0175</v>
      </c>
      <c r="AH29" s="11">
        <v>41</v>
      </c>
      <c r="AI29" s="11">
        <v>230</v>
      </c>
      <c r="AJ29" s="9" t="s">
        <v>947</v>
      </c>
      <c r="AK29" s="9" t="s">
        <v>5575</v>
      </c>
      <c r="AL29" s="21">
        <v>1525</v>
      </c>
      <c r="AM29" s="21">
        <v>4</v>
      </c>
      <c r="AN29" s="21">
        <v>13</v>
      </c>
      <c r="AO29" s="10" t="s">
        <v>1515</v>
      </c>
      <c r="AP29" s="9" t="s">
        <v>65</v>
      </c>
      <c r="AQ29" s="10" t="s">
        <v>65</v>
      </c>
      <c r="AR29" s="9" t="s">
        <v>1516</v>
      </c>
      <c r="AS29" s="22" t="s">
        <v>5576</v>
      </c>
      <c r="AT29" s="22" t="s">
        <v>5577</v>
      </c>
    </row>
    <row r="30" ht="24" customHeight="1" spans="1:46">
      <c r="A30" s="9" t="str">
        <f>_xlfn.DISPIMG("ID_C9E6618634FB46B9AE93261404AA4B3F",1)</f>
        <v>=DISPIMG("ID_C9E6618634FB46B9AE93261404AA4B3F",1)</v>
      </c>
      <c r="B30" s="10" t="s">
        <v>5578</v>
      </c>
      <c r="C30" s="10" t="s">
        <v>5579</v>
      </c>
      <c r="D30" s="10" t="s">
        <v>5580</v>
      </c>
      <c r="E30" s="10" t="s">
        <v>5581</v>
      </c>
      <c r="F30" s="10" t="s">
        <v>5582</v>
      </c>
      <c r="G30" s="10" t="s">
        <v>5583</v>
      </c>
      <c r="H30" s="10" t="s">
        <v>5584</v>
      </c>
      <c r="I30" s="10" t="s">
        <v>5585</v>
      </c>
      <c r="J30" s="9" t="s">
        <v>934</v>
      </c>
      <c r="K30" s="10" t="s">
        <v>5275</v>
      </c>
      <c r="L30" s="10" t="s">
        <v>851</v>
      </c>
      <c r="M30" s="11">
        <v>7390</v>
      </c>
      <c r="N30" s="12" t="s">
        <v>5276</v>
      </c>
      <c r="O30" s="13" t="s">
        <v>1144</v>
      </c>
      <c r="P30" s="13" t="s">
        <v>2809</v>
      </c>
      <c r="Q30" s="13" t="s">
        <v>5277</v>
      </c>
      <c r="R30" s="13" t="s">
        <v>3170</v>
      </c>
      <c r="S30" s="13" t="s">
        <v>5278</v>
      </c>
      <c r="T30" s="13" t="s">
        <v>3174</v>
      </c>
      <c r="U30" s="14" t="s">
        <v>6341</v>
      </c>
      <c r="V30" s="14" t="s">
        <v>2917</v>
      </c>
      <c r="W30" s="14" t="s">
        <v>2865</v>
      </c>
      <c r="X30" s="14" t="s">
        <v>2884</v>
      </c>
      <c r="Y30" s="15">
        <v>1</v>
      </c>
      <c r="Z30" s="11">
        <v>6043</v>
      </c>
      <c r="AA30" s="11">
        <v>362519.6</v>
      </c>
      <c r="AB30" s="16">
        <v>59.99</v>
      </c>
      <c r="AC30" s="17">
        <v>0.6361</v>
      </c>
      <c r="AD30" s="16">
        <v>12.83</v>
      </c>
      <c r="AE30" s="18">
        <v>4.4</v>
      </c>
      <c r="AF30" s="11">
        <v>400</v>
      </c>
      <c r="AG30" s="19">
        <v>0.0086</v>
      </c>
      <c r="AH30" s="11">
        <v>52</v>
      </c>
      <c r="AI30" s="11">
        <v>13</v>
      </c>
      <c r="AJ30" s="9" t="s">
        <v>1267</v>
      </c>
      <c r="AK30" s="9" t="s">
        <v>5586</v>
      </c>
      <c r="AL30" s="21">
        <v>132</v>
      </c>
      <c r="AM30" s="21">
        <v>3</v>
      </c>
      <c r="AN30" s="21">
        <v>2</v>
      </c>
      <c r="AO30" s="10" t="s">
        <v>5587</v>
      </c>
      <c r="AP30" s="9" t="s">
        <v>1288</v>
      </c>
      <c r="AQ30" s="10" t="s">
        <v>5588</v>
      </c>
      <c r="AR30" s="9" t="s">
        <v>997</v>
      </c>
      <c r="AS30" s="22" t="s">
        <v>5589</v>
      </c>
      <c r="AT30" s="22" t="s">
        <v>5590</v>
      </c>
    </row>
    <row r="31" ht="24" customHeight="1" spans="1:46">
      <c r="A31" s="9" t="str">
        <f>_xlfn.DISPIMG("ID_F971AD70C58C4355A3EEB8628B4CA834",1)</f>
        <v>=DISPIMG("ID_F971AD70C58C4355A3EEB8628B4CA834",1)</v>
      </c>
      <c r="B31" s="10" t="s">
        <v>5591</v>
      </c>
      <c r="C31" s="10" t="s">
        <v>5592</v>
      </c>
      <c r="D31" s="10" t="s">
        <v>5593</v>
      </c>
      <c r="E31" s="10" t="s">
        <v>5594</v>
      </c>
      <c r="F31" s="10" t="s">
        <v>5595</v>
      </c>
      <c r="G31" s="10" t="s">
        <v>5403</v>
      </c>
      <c r="H31" s="10" t="s">
        <v>5596</v>
      </c>
      <c r="I31" s="10" t="s">
        <v>5597</v>
      </c>
      <c r="J31" s="9" t="s">
        <v>934</v>
      </c>
      <c r="K31" s="10" t="s">
        <v>5275</v>
      </c>
      <c r="L31" s="10" t="s">
        <v>851</v>
      </c>
      <c r="M31" s="11">
        <v>7473</v>
      </c>
      <c r="N31" s="12" t="s">
        <v>5276</v>
      </c>
      <c r="O31" s="13" t="s">
        <v>3510</v>
      </c>
      <c r="P31" s="13" t="s">
        <v>2963</v>
      </c>
      <c r="Q31" s="13" t="s">
        <v>5277</v>
      </c>
      <c r="R31" s="13" t="s">
        <v>3170</v>
      </c>
      <c r="S31" s="13" t="s">
        <v>5278</v>
      </c>
      <c r="T31" s="13" t="s">
        <v>3174</v>
      </c>
      <c r="U31" s="14" t="s">
        <v>6341</v>
      </c>
      <c r="V31" s="14" t="s">
        <v>2900</v>
      </c>
      <c r="W31" s="14" t="s">
        <v>2930</v>
      </c>
      <c r="X31" s="14" t="s">
        <v>2823</v>
      </c>
      <c r="Y31" s="15">
        <v>1</v>
      </c>
      <c r="Z31" s="11">
        <v>3112</v>
      </c>
      <c r="AA31" s="11">
        <v>135372</v>
      </c>
      <c r="AB31" s="16">
        <v>43.5</v>
      </c>
      <c r="AC31" s="17">
        <v>0.5551</v>
      </c>
      <c r="AD31" s="16">
        <v>12.83</v>
      </c>
      <c r="AE31" s="18">
        <v>4.2</v>
      </c>
      <c r="AF31" s="11">
        <v>1926</v>
      </c>
      <c r="AG31" s="19">
        <v>0.0129</v>
      </c>
      <c r="AH31" s="11">
        <v>40</v>
      </c>
      <c r="AI31" s="11">
        <v>21</v>
      </c>
      <c r="AJ31" s="9" t="s">
        <v>854</v>
      </c>
      <c r="AK31" s="9" t="s">
        <v>5598</v>
      </c>
      <c r="AL31" s="21">
        <v>893</v>
      </c>
      <c r="AM31" s="21">
        <v>5</v>
      </c>
      <c r="AN31" s="21">
        <v>2</v>
      </c>
      <c r="AO31" s="10" t="s">
        <v>1515</v>
      </c>
      <c r="AP31" s="9" t="s">
        <v>65</v>
      </c>
      <c r="AQ31" s="10" t="s">
        <v>65</v>
      </c>
      <c r="AR31" s="9" t="s">
        <v>1516</v>
      </c>
      <c r="AS31" s="22" t="s">
        <v>1413</v>
      </c>
      <c r="AT31" s="22" t="s">
        <v>5599</v>
      </c>
    </row>
    <row r="32" ht="24" customHeight="1" spans="1:46">
      <c r="A32" s="9" t="str">
        <f>_xlfn.DISPIMG("ID_9FCCA12980A0423E822746890F21D055",1)</f>
        <v>=DISPIMG("ID_9FCCA12980A0423E822746890F21D055",1)</v>
      </c>
      <c r="B32" s="10" t="s">
        <v>5600</v>
      </c>
      <c r="C32" s="10" t="s">
        <v>5601</v>
      </c>
      <c r="D32" s="10" t="s">
        <v>3196</v>
      </c>
      <c r="E32" s="10" t="s">
        <v>5602</v>
      </c>
      <c r="F32" s="10" t="s">
        <v>5603</v>
      </c>
      <c r="G32" s="10" t="s">
        <v>5604</v>
      </c>
      <c r="H32" s="10" t="s">
        <v>5605</v>
      </c>
      <c r="I32" s="10" t="s">
        <v>5606</v>
      </c>
      <c r="J32" s="9" t="s">
        <v>934</v>
      </c>
      <c r="K32" s="10" t="s">
        <v>5275</v>
      </c>
      <c r="L32" s="10" t="s">
        <v>5607</v>
      </c>
      <c r="M32" s="11">
        <v>3006</v>
      </c>
      <c r="N32" s="12" t="s">
        <v>5276</v>
      </c>
      <c r="O32" s="13" t="s">
        <v>3523</v>
      </c>
      <c r="P32" s="13" t="s">
        <v>2809</v>
      </c>
      <c r="Q32" s="13" t="s">
        <v>5277</v>
      </c>
      <c r="R32" s="13" t="s">
        <v>3170</v>
      </c>
      <c r="S32" s="13" t="s">
        <v>5278</v>
      </c>
      <c r="T32" s="13" t="s">
        <v>3174</v>
      </c>
      <c r="U32" s="14" t="s">
        <v>6342</v>
      </c>
      <c r="V32" s="14" t="s">
        <v>2900</v>
      </c>
      <c r="W32" s="14" t="s">
        <v>2930</v>
      </c>
      <c r="X32" s="14" t="s">
        <v>2823</v>
      </c>
      <c r="Y32" s="15">
        <v>1</v>
      </c>
      <c r="Z32" s="11">
        <v>13429</v>
      </c>
      <c r="AA32" s="11">
        <v>537025.75</v>
      </c>
      <c r="AB32" s="16">
        <v>39.99</v>
      </c>
      <c r="AC32" s="17">
        <v>0.6444</v>
      </c>
      <c r="AD32" s="16">
        <v>8.22</v>
      </c>
      <c r="AE32" s="18">
        <v>4.2</v>
      </c>
      <c r="AF32" s="11">
        <v>2095</v>
      </c>
      <c r="AG32" s="19">
        <v>0.0052</v>
      </c>
      <c r="AH32" s="11">
        <v>70</v>
      </c>
      <c r="AI32" s="11">
        <v>49</v>
      </c>
      <c r="AJ32" s="9" t="s">
        <v>854</v>
      </c>
      <c r="AK32" s="9" t="s">
        <v>5608</v>
      </c>
      <c r="AL32" s="21">
        <v>785</v>
      </c>
      <c r="AM32" s="21">
        <v>4</v>
      </c>
      <c r="AN32" s="21">
        <v>26</v>
      </c>
      <c r="AO32" s="10" t="s">
        <v>5609</v>
      </c>
      <c r="AP32" s="9" t="s">
        <v>65</v>
      </c>
      <c r="AQ32" s="10" t="s">
        <v>65</v>
      </c>
      <c r="AR32" s="9" t="s">
        <v>997</v>
      </c>
      <c r="AS32" s="22" t="s">
        <v>5610</v>
      </c>
      <c r="AT32" s="22" t="s">
        <v>5611</v>
      </c>
    </row>
    <row r="33" ht="24" customHeight="1" spans="1:46">
      <c r="A33" s="9" t="str">
        <f>_xlfn.DISPIMG("ID_5FCE00E4DF3F43B29DB06CF9EF9EF117",1)</f>
        <v>=DISPIMG("ID_5FCE00E4DF3F43B29DB06CF9EF9EF117",1)</v>
      </c>
      <c r="B33" s="10" t="s">
        <v>5612</v>
      </c>
      <c r="C33" s="10" t="s">
        <v>5613</v>
      </c>
      <c r="D33" s="10" t="s">
        <v>5614</v>
      </c>
      <c r="E33" s="10" t="s">
        <v>5615</v>
      </c>
      <c r="F33" s="10" t="s">
        <v>5616</v>
      </c>
      <c r="G33" s="10" t="s">
        <v>5392</v>
      </c>
      <c r="H33" s="10" t="s">
        <v>5617</v>
      </c>
      <c r="I33" s="10" t="s">
        <v>5618</v>
      </c>
      <c r="J33" s="9" t="s">
        <v>934</v>
      </c>
      <c r="K33" s="10" t="s">
        <v>5275</v>
      </c>
      <c r="L33" s="10" t="s">
        <v>851</v>
      </c>
      <c r="M33" s="11">
        <v>7550</v>
      </c>
      <c r="N33" s="12" t="s">
        <v>5276</v>
      </c>
      <c r="O33" s="13" t="s">
        <v>1135</v>
      </c>
      <c r="P33" s="13" t="s">
        <v>2809</v>
      </c>
      <c r="Q33" s="13" t="s">
        <v>5619</v>
      </c>
      <c r="R33" s="13" t="s">
        <v>3170</v>
      </c>
      <c r="S33" s="13" t="s">
        <v>5278</v>
      </c>
      <c r="T33" s="13" t="s">
        <v>3174</v>
      </c>
      <c r="U33" s="14" t="s">
        <v>5620</v>
      </c>
      <c r="V33" s="14" t="s">
        <v>2821</v>
      </c>
      <c r="W33" s="14" t="s">
        <v>2865</v>
      </c>
      <c r="X33" s="14" t="s">
        <v>2823</v>
      </c>
      <c r="Y33" s="15">
        <v>1</v>
      </c>
      <c r="Z33" s="11">
        <v>832</v>
      </c>
      <c r="AA33" s="11">
        <v>160426.25</v>
      </c>
      <c r="AB33" s="16">
        <v>192.82</v>
      </c>
      <c r="AC33" s="17">
        <v>0.4963</v>
      </c>
      <c r="AD33" s="16">
        <v>68.2</v>
      </c>
      <c r="AE33" s="18">
        <v>4.5</v>
      </c>
      <c r="AF33" s="11">
        <v>3931</v>
      </c>
      <c r="AG33" s="19">
        <v>0.0216</v>
      </c>
      <c r="AH33" s="11">
        <v>18</v>
      </c>
      <c r="AI33" s="20"/>
      <c r="AJ33" s="9" t="s">
        <v>947</v>
      </c>
      <c r="AK33" s="9" t="s">
        <v>5621</v>
      </c>
      <c r="AL33" s="21">
        <v>2954</v>
      </c>
      <c r="AM33" s="21">
        <v>6</v>
      </c>
      <c r="AN33" s="21">
        <v>1</v>
      </c>
      <c r="AO33" s="10" t="s">
        <v>1515</v>
      </c>
      <c r="AP33" s="9" t="s">
        <v>65</v>
      </c>
      <c r="AQ33" s="10" t="s">
        <v>65</v>
      </c>
      <c r="AR33" s="9" t="s">
        <v>1516</v>
      </c>
      <c r="AS33" s="22" t="s">
        <v>5622</v>
      </c>
      <c r="AT33" s="22" t="s">
        <v>5623</v>
      </c>
    </row>
    <row r="34" ht="24" customHeight="1" spans="1:46">
      <c r="A34" s="9" t="str">
        <f>_xlfn.DISPIMG("ID_16F8BF00D1764AD2AD6663A65C5DA25A",1)</f>
        <v>=DISPIMG("ID_16F8BF00D1764AD2AD6663A65C5DA25A",1)</v>
      </c>
      <c r="B34" s="10" t="s">
        <v>5624</v>
      </c>
      <c r="C34" s="10" t="s">
        <v>5625</v>
      </c>
      <c r="D34" s="10" t="s">
        <v>5626</v>
      </c>
      <c r="E34" s="10" t="s">
        <v>5627</v>
      </c>
      <c r="F34" s="10" t="s">
        <v>5628</v>
      </c>
      <c r="G34" s="10" t="s">
        <v>3199</v>
      </c>
      <c r="H34" s="10" t="s">
        <v>5629</v>
      </c>
      <c r="I34" s="10" t="s">
        <v>5630</v>
      </c>
      <c r="J34" s="9" t="s">
        <v>934</v>
      </c>
      <c r="K34" s="10" t="s">
        <v>5275</v>
      </c>
      <c r="L34" s="10" t="s">
        <v>851</v>
      </c>
      <c r="M34" s="11">
        <v>7623</v>
      </c>
      <c r="N34" s="12" t="s">
        <v>5276</v>
      </c>
      <c r="O34" s="13" t="s">
        <v>1183</v>
      </c>
      <c r="P34" s="13" t="s">
        <v>2809</v>
      </c>
      <c r="Q34" s="13" t="s">
        <v>5631</v>
      </c>
      <c r="R34" s="13" t="s">
        <v>3170</v>
      </c>
      <c r="S34" s="13" t="s">
        <v>5278</v>
      </c>
      <c r="T34" s="13" t="s">
        <v>3174</v>
      </c>
      <c r="U34" s="14" t="s">
        <v>5574</v>
      </c>
      <c r="V34" s="14" t="s">
        <v>2821</v>
      </c>
      <c r="W34" s="14" t="s">
        <v>2865</v>
      </c>
      <c r="X34" s="14" t="s">
        <v>2823</v>
      </c>
      <c r="Y34" s="15">
        <v>1</v>
      </c>
      <c r="Z34" s="11">
        <v>2607</v>
      </c>
      <c r="AA34" s="11">
        <v>370454.72</v>
      </c>
      <c r="AB34" s="16">
        <v>142.1</v>
      </c>
      <c r="AC34" s="17">
        <v>0.594</v>
      </c>
      <c r="AD34" s="16">
        <v>36.37</v>
      </c>
      <c r="AE34" s="18">
        <v>4.5</v>
      </c>
      <c r="AF34" s="11">
        <v>5771</v>
      </c>
      <c r="AG34" s="19">
        <v>0.0161</v>
      </c>
      <c r="AH34" s="11">
        <v>42</v>
      </c>
      <c r="AI34" s="20"/>
      <c r="AJ34" s="9" t="s">
        <v>854</v>
      </c>
      <c r="AK34" s="9" t="s">
        <v>5632</v>
      </c>
      <c r="AL34" s="21">
        <v>2454</v>
      </c>
      <c r="AM34" s="21">
        <v>7</v>
      </c>
      <c r="AN34" s="21">
        <v>16</v>
      </c>
      <c r="AO34" s="10" t="s">
        <v>1515</v>
      </c>
      <c r="AP34" s="9" t="s">
        <v>65</v>
      </c>
      <c r="AQ34" s="10" t="s">
        <v>65</v>
      </c>
      <c r="AR34" s="9" t="s">
        <v>1516</v>
      </c>
      <c r="AS34" s="22" t="s">
        <v>5633</v>
      </c>
      <c r="AT34" s="22" t="s">
        <v>5634</v>
      </c>
    </row>
    <row r="35" ht="24" customHeight="1" spans="1:46">
      <c r="A35" s="9" t="str">
        <f>_xlfn.DISPIMG("ID_015973B8969844D19C21265EDF92E14F",1)</f>
        <v>=DISPIMG("ID_015973B8969844D19C21265EDF92E14F",1)</v>
      </c>
      <c r="B35" s="10" t="s">
        <v>5635</v>
      </c>
      <c r="C35" s="10" t="s">
        <v>5636</v>
      </c>
      <c r="D35" s="10" t="s">
        <v>5637</v>
      </c>
      <c r="E35" s="10" t="s">
        <v>5638</v>
      </c>
      <c r="F35" s="10" t="s">
        <v>5639</v>
      </c>
      <c r="G35" s="10" t="s">
        <v>5640</v>
      </c>
      <c r="H35" s="10" t="s">
        <v>5641</v>
      </c>
      <c r="I35" s="10" t="s">
        <v>5642</v>
      </c>
      <c r="J35" s="9" t="s">
        <v>934</v>
      </c>
      <c r="K35" s="10" t="s">
        <v>5275</v>
      </c>
      <c r="L35" s="10" t="s">
        <v>5300</v>
      </c>
      <c r="M35" s="11">
        <v>2928</v>
      </c>
      <c r="N35" s="12" t="s">
        <v>5301</v>
      </c>
      <c r="O35" s="13" t="s">
        <v>5643</v>
      </c>
      <c r="P35" s="13" t="s">
        <v>2986</v>
      </c>
      <c r="Q35" s="13" t="s">
        <v>5289</v>
      </c>
      <c r="R35" s="13" t="s">
        <v>3170</v>
      </c>
      <c r="S35" s="13" t="s">
        <v>5278</v>
      </c>
      <c r="T35" s="13" t="s">
        <v>3174</v>
      </c>
      <c r="U35" s="14" t="s">
        <v>6341</v>
      </c>
      <c r="V35" s="14" t="s">
        <v>2831</v>
      </c>
      <c r="W35" s="14" t="s">
        <v>2930</v>
      </c>
      <c r="X35" s="14" t="s">
        <v>2868</v>
      </c>
      <c r="Y35" s="15">
        <v>1</v>
      </c>
      <c r="Z35" s="11">
        <v>1526</v>
      </c>
      <c r="AA35" s="11">
        <v>83914.74</v>
      </c>
      <c r="AB35" s="16">
        <v>54.99</v>
      </c>
      <c r="AC35" s="17">
        <v>0.6891</v>
      </c>
      <c r="AD35" s="16">
        <v>8.85</v>
      </c>
      <c r="AE35" s="18">
        <v>4.2</v>
      </c>
      <c r="AF35" s="11">
        <v>952</v>
      </c>
      <c r="AG35" s="19">
        <v>0.0098</v>
      </c>
      <c r="AH35" s="11">
        <v>15</v>
      </c>
      <c r="AI35" s="11">
        <v>35</v>
      </c>
      <c r="AJ35" s="9" t="s">
        <v>947</v>
      </c>
      <c r="AK35" s="9" t="s">
        <v>5644</v>
      </c>
      <c r="AL35" s="21">
        <v>561</v>
      </c>
      <c r="AM35" s="21">
        <v>4</v>
      </c>
      <c r="AN35" s="21">
        <v>6</v>
      </c>
      <c r="AO35" s="10" t="s">
        <v>5645</v>
      </c>
      <c r="AP35" s="9" t="s">
        <v>1288</v>
      </c>
      <c r="AQ35" s="10" t="s">
        <v>5646</v>
      </c>
      <c r="AR35" s="9" t="s">
        <v>997</v>
      </c>
      <c r="AS35" s="22" t="s">
        <v>5647</v>
      </c>
      <c r="AT35" s="22" t="s">
        <v>5648</v>
      </c>
    </row>
    <row r="36" ht="24" customHeight="1" spans="1:46">
      <c r="A36" s="9" t="str">
        <f>_xlfn.DISPIMG("ID_702E9B5A5E16426B945C55F13B054BA5",1)</f>
        <v>=DISPIMG("ID_702E9B5A5E16426B945C55F13B054BA5",1)</v>
      </c>
      <c r="B36" s="10" t="s">
        <v>5649</v>
      </c>
      <c r="C36" s="10" t="s">
        <v>5650</v>
      </c>
      <c r="D36" s="10" t="s">
        <v>3196</v>
      </c>
      <c r="E36" s="10" t="s">
        <v>5651</v>
      </c>
      <c r="F36" s="10" t="s">
        <v>5652</v>
      </c>
      <c r="G36" s="10" t="s">
        <v>5653</v>
      </c>
      <c r="H36" s="10" t="s">
        <v>5654</v>
      </c>
      <c r="I36" s="10" t="s">
        <v>5655</v>
      </c>
      <c r="J36" s="9" t="s">
        <v>974</v>
      </c>
      <c r="K36" s="10" t="s">
        <v>5275</v>
      </c>
      <c r="L36" s="10" t="s">
        <v>851</v>
      </c>
      <c r="M36" s="11">
        <v>8065</v>
      </c>
      <c r="N36" s="12" t="s">
        <v>5276</v>
      </c>
      <c r="O36" s="13" t="s">
        <v>3568</v>
      </c>
      <c r="P36" s="13" t="s">
        <v>2809</v>
      </c>
      <c r="Q36" s="13" t="s">
        <v>5277</v>
      </c>
      <c r="R36" s="13" t="s">
        <v>3170</v>
      </c>
      <c r="S36" s="13" t="s">
        <v>5278</v>
      </c>
      <c r="T36" s="13" t="s">
        <v>3174</v>
      </c>
      <c r="U36" s="14" t="s">
        <v>6342</v>
      </c>
      <c r="V36" s="14" t="s">
        <v>2821</v>
      </c>
      <c r="W36" s="14" t="s">
        <v>2865</v>
      </c>
      <c r="X36" s="14" t="s">
        <v>2823</v>
      </c>
      <c r="Y36" s="15">
        <v>1</v>
      </c>
      <c r="Z36" s="11">
        <v>4270</v>
      </c>
      <c r="AA36" s="11">
        <v>165206.3</v>
      </c>
      <c r="AB36" s="16">
        <v>38.69</v>
      </c>
      <c r="AC36" s="17">
        <v>0.5892</v>
      </c>
      <c r="AD36" s="16">
        <v>8.22</v>
      </c>
      <c r="AE36" s="18">
        <v>4.4</v>
      </c>
      <c r="AF36" s="11">
        <v>3017</v>
      </c>
      <c r="AG36" s="19">
        <v>0.0215</v>
      </c>
      <c r="AH36" s="11">
        <v>92</v>
      </c>
      <c r="AI36" s="11">
        <v>33</v>
      </c>
      <c r="AJ36" s="9" t="s">
        <v>876</v>
      </c>
      <c r="AK36" s="9" t="s">
        <v>5656</v>
      </c>
      <c r="AL36" s="21">
        <v>1259</v>
      </c>
      <c r="AM36" s="21">
        <v>2</v>
      </c>
      <c r="AN36" s="21">
        <v>3</v>
      </c>
      <c r="AO36" s="10" t="s">
        <v>1515</v>
      </c>
      <c r="AP36" s="9" t="s">
        <v>65</v>
      </c>
      <c r="AQ36" s="10" t="s">
        <v>65</v>
      </c>
      <c r="AR36" s="9" t="s">
        <v>1516</v>
      </c>
      <c r="AS36" s="22" t="s">
        <v>5657</v>
      </c>
      <c r="AT36" s="22" t="s">
        <v>5658</v>
      </c>
    </row>
    <row r="37" ht="24" customHeight="1" spans="1:46">
      <c r="A37" s="9" t="str">
        <f>_xlfn.DISPIMG("ID_D413095B41B042A8B68A32782FCFB190",1)</f>
        <v>=DISPIMG("ID_D413095B41B042A8B68A32782FCFB190",1)</v>
      </c>
      <c r="B37" s="10" t="s">
        <v>5659</v>
      </c>
      <c r="C37" s="10" t="s">
        <v>5660</v>
      </c>
      <c r="D37" s="10" t="s">
        <v>3864</v>
      </c>
      <c r="E37" s="10" t="s">
        <v>5661</v>
      </c>
      <c r="F37" s="10" t="s">
        <v>5662</v>
      </c>
      <c r="G37" s="10" t="s">
        <v>1302</v>
      </c>
      <c r="H37" s="10" t="s">
        <v>5663</v>
      </c>
      <c r="I37" s="10" t="s">
        <v>5664</v>
      </c>
      <c r="J37" s="9" t="s">
        <v>934</v>
      </c>
      <c r="K37" s="10" t="s">
        <v>5275</v>
      </c>
      <c r="L37" s="10" t="s">
        <v>851</v>
      </c>
      <c r="M37" s="11">
        <v>8778</v>
      </c>
      <c r="N37" s="12" t="s">
        <v>5276</v>
      </c>
      <c r="O37" s="13" t="s">
        <v>1250</v>
      </c>
      <c r="P37" s="13" t="s">
        <v>3005</v>
      </c>
      <c r="Q37" s="13" t="s">
        <v>5336</v>
      </c>
      <c r="R37" s="13" t="s">
        <v>3170</v>
      </c>
      <c r="S37" s="13" t="s">
        <v>5278</v>
      </c>
      <c r="T37" s="13" t="s">
        <v>3174</v>
      </c>
      <c r="U37" s="14" t="s">
        <v>6341</v>
      </c>
      <c r="V37" s="14" t="s">
        <v>2900</v>
      </c>
      <c r="W37" s="14" t="s">
        <v>2930</v>
      </c>
      <c r="X37" s="14" t="s">
        <v>2823</v>
      </c>
      <c r="Y37" s="15">
        <v>1</v>
      </c>
      <c r="Z37" s="11">
        <v>2009</v>
      </c>
      <c r="AA37" s="11">
        <v>100429.914</v>
      </c>
      <c r="AB37" s="16">
        <v>49.99</v>
      </c>
      <c r="AC37" s="17">
        <v>0.4975</v>
      </c>
      <c r="AD37" s="16">
        <v>17.62</v>
      </c>
      <c r="AE37" s="18">
        <v>4.2</v>
      </c>
      <c r="AF37" s="11">
        <v>3008</v>
      </c>
      <c r="AG37" s="19">
        <v>0.0214</v>
      </c>
      <c r="AH37" s="11">
        <v>43</v>
      </c>
      <c r="AI37" s="11">
        <v>102</v>
      </c>
      <c r="AJ37" s="9" t="s">
        <v>947</v>
      </c>
      <c r="AK37" s="9" t="s">
        <v>5665</v>
      </c>
      <c r="AL37" s="21">
        <v>852</v>
      </c>
      <c r="AM37" s="21">
        <v>4</v>
      </c>
      <c r="AN37" s="21">
        <v>6</v>
      </c>
      <c r="AO37" s="10" t="s">
        <v>1307</v>
      </c>
      <c r="AP37" s="9" t="s">
        <v>1110</v>
      </c>
      <c r="AQ37" s="10" t="s">
        <v>5348</v>
      </c>
      <c r="AR37" s="9" t="s">
        <v>997</v>
      </c>
      <c r="AS37" s="22" t="s">
        <v>5666</v>
      </c>
      <c r="AT37" s="22" t="s">
        <v>5667</v>
      </c>
    </row>
    <row r="38" ht="24" customHeight="1" spans="1:46">
      <c r="A38" s="9" t="str">
        <f>_xlfn.DISPIMG("ID_8E18E083EBB243F8951678E7C8B7EAB6",1)</f>
        <v>=DISPIMG("ID_8E18E083EBB243F8951678E7C8B7EAB6",1)</v>
      </c>
      <c r="B38" s="10" t="s">
        <v>5668</v>
      </c>
      <c r="C38" s="10" t="s">
        <v>5669</v>
      </c>
      <c r="D38" s="10" t="s">
        <v>3196</v>
      </c>
      <c r="E38" s="10" t="s">
        <v>5670</v>
      </c>
      <c r="F38" s="10" t="s">
        <v>5671</v>
      </c>
      <c r="G38" s="10" t="s">
        <v>3199</v>
      </c>
      <c r="H38" s="10" t="s">
        <v>5672</v>
      </c>
      <c r="I38" s="10" t="s">
        <v>5673</v>
      </c>
      <c r="J38" s="9" t="s">
        <v>934</v>
      </c>
      <c r="K38" s="10" t="s">
        <v>5275</v>
      </c>
      <c r="L38" s="10" t="s">
        <v>851</v>
      </c>
      <c r="M38" s="11">
        <v>8803</v>
      </c>
      <c r="N38" s="12" t="s">
        <v>5276</v>
      </c>
      <c r="O38" s="13" t="s">
        <v>3589</v>
      </c>
      <c r="P38" s="13" t="s">
        <v>2809</v>
      </c>
      <c r="Q38" s="13" t="s">
        <v>5336</v>
      </c>
      <c r="R38" s="13" t="s">
        <v>3170</v>
      </c>
      <c r="S38" s="13" t="s">
        <v>5278</v>
      </c>
      <c r="T38" s="13" t="s">
        <v>3174</v>
      </c>
      <c r="U38" s="14" t="s">
        <v>5620</v>
      </c>
      <c r="V38" s="14" t="s">
        <v>2821</v>
      </c>
      <c r="W38" s="14" t="s">
        <v>2865</v>
      </c>
      <c r="X38" s="14" t="s">
        <v>2823</v>
      </c>
      <c r="Y38" s="15">
        <v>1</v>
      </c>
      <c r="Z38" s="11">
        <v>1750</v>
      </c>
      <c r="AA38" s="11">
        <v>337015</v>
      </c>
      <c r="AB38" s="16">
        <v>192.58</v>
      </c>
      <c r="AC38" s="17">
        <v>0.5481</v>
      </c>
      <c r="AD38" s="16">
        <v>58.15</v>
      </c>
      <c r="AE38" s="18">
        <v>4.5</v>
      </c>
      <c r="AF38" s="11">
        <v>5384</v>
      </c>
      <c r="AG38" s="19">
        <v>0.0154</v>
      </c>
      <c r="AH38" s="11">
        <v>27</v>
      </c>
      <c r="AI38" s="11">
        <v>316</v>
      </c>
      <c r="AJ38" s="9" t="s">
        <v>854</v>
      </c>
      <c r="AK38" s="9" t="s">
        <v>5632</v>
      </c>
      <c r="AL38" s="21">
        <v>2454</v>
      </c>
      <c r="AM38" s="21">
        <v>3</v>
      </c>
      <c r="AN38" s="21">
        <v>2</v>
      </c>
      <c r="AO38" s="10" t="s">
        <v>1515</v>
      </c>
      <c r="AP38" s="9" t="s">
        <v>65</v>
      </c>
      <c r="AQ38" s="10" t="s">
        <v>65</v>
      </c>
      <c r="AR38" s="9" t="s">
        <v>1516</v>
      </c>
      <c r="AS38" s="22" t="s">
        <v>5674</v>
      </c>
      <c r="AT38" s="22" t="s">
        <v>5675</v>
      </c>
    </row>
    <row r="39" ht="24" customHeight="1" spans="1:46">
      <c r="A39" s="9" t="str">
        <f>_xlfn.DISPIMG("ID_CCC4F6F73C2844B28D96B1200F9B7BE4",1)</f>
        <v>=DISPIMG("ID_CCC4F6F73C2844B28D96B1200F9B7BE4",1)</v>
      </c>
      <c r="B39" s="10" t="s">
        <v>5676</v>
      </c>
      <c r="C39" s="10" t="s">
        <v>5677</v>
      </c>
      <c r="D39" s="10" t="s">
        <v>5678</v>
      </c>
      <c r="E39" s="10" t="s">
        <v>5679</v>
      </c>
      <c r="F39" s="10" t="s">
        <v>5680</v>
      </c>
      <c r="G39" s="10" t="s">
        <v>5392</v>
      </c>
      <c r="H39" s="10" t="s">
        <v>5681</v>
      </c>
      <c r="I39" s="10" t="s">
        <v>5682</v>
      </c>
      <c r="J39" s="9" t="s">
        <v>934</v>
      </c>
      <c r="K39" s="10" t="s">
        <v>5275</v>
      </c>
      <c r="L39" s="10" t="s">
        <v>851</v>
      </c>
      <c r="M39" s="11">
        <v>9999</v>
      </c>
      <c r="N39" s="12" t="s">
        <v>5276</v>
      </c>
      <c r="O39" s="13" t="s">
        <v>1232</v>
      </c>
      <c r="P39" s="13" t="s">
        <v>2824</v>
      </c>
      <c r="Q39" s="13" t="s">
        <v>5619</v>
      </c>
      <c r="R39" s="13" t="s">
        <v>3170</v>
      </c>
      <c r="S39" s="13" t="s">
        <v>5278</v>
      </c>
      <c r="T39" s="13" t="s">
        <v>2896</v>
      </c>
      <c r="U39" s="14" t="s">
        <v>5683</v>
      </c>
      <c r="V39" s="14" t="s">
        <v>2821</v>
      </c>
      <c r="W39" s="14" t="s">
        <v>2865</v>
      </c>
      <c r="X39" s="14" t="s">
        <v>2823</v>
      </c>
      <c r="Y39" s="15">
        <v>1</v>
      </c>
      <c r="Z39" s="11">
        <v>1618</v>
      </c>
      <c r="AA39" s="11">
        <v>412573.84</v>
      </c>
      <c r="AB39" s="16">
        <v>254.99</v>
      </c>
      <c r="AC39" s="17">
        <v>0.6369</v>
      </c>
      <c r="AD39" s="16">
        <v>54.34</v>
      </c>
      <c r="AE39" s="18">
        <v>4.4</v>
      </c>
      <c r="AF39" s="11">
        <v>16690</v>
      </c>
      <c r="AG39" s="19">
        <v>0.06</v>
      </c>
      <c r="AH39" s="11">
        <v>97</v>
      </c>
      <c r="AI39" s="20"/>
      <c r="AJ39" s="9" t="s">
        <v>876</v>
      </c>
      <c r="AK39" s="9" t="s">
        <v>5684</v>
      </c>
      <c r="AL39" s="21">
        <v>3231</v>
      </c>
      <c r="AM39" s="21">
        <v>6</v>
      </c>
      <c r="AN39" s="21">
        <v>20</v>
      </c>
      <c r="AO39" s="10" t="s">
        <v>1515</v>
      </c>
      <c r="AP39" s="9" t="s">
        <v>65</v>
      </c>
      <c r="AQ39" s="10" t="s">
        <v>65</v>
      </c>
      <c r="AR39" s="9" t="s">
        <v>1516</v>
      </c>
      <c r="AS39" s="22" t="s">
        <v>5685</v>
      </c>
      <c r="AT39" s="22" t="s">
        <v>5686</v>
      </c>
    </row>
    <row r="40" ht="24" customHeight="1" spans="1:46">
      <c r="A40" s="9" t="str">
        <f>_xlfn.DISPIMG("ID_356F145446BB40E39B11F2FE668B3138",1)</f>
        <v>=DISPIMG("ID_356F145446BB40E39B11F2FE668B3138",1)</v>
      </c>
      <c r="B40" s="10" t="s">
        <v>5687</v>
      </c>
      <c r="C40" s="10" t="s">
        <v>5688</v>
      </c>
      <c r="D40" s="10" t="s">
        <v>5689</v>
      </c>
      <c r="E40" s="10" t="s">
        <v>5690</v>
      </c>
      <c r="F40" s="10" t="s">
        <v>5691</v>
      </c>
      <c r="G40" s="10" t="s">
        <v>2541</v>
      </c>
      <c r="H40" s="10" t="s">
        <v>5692</v>
      </c>
      <c r="I40" s="10" t="s">
        <v>5693</v>
      </c>
      <c r="J40" s="9" t="s">
        <v>974</v>
      </c>
      <c r="K40" s="10" t="s">
        <v>5275</v>
      </c>
      <c r="L40" s="10" t="s">
        <v>851</v>
      </c>
      <c r="M40" s="11">
        <v>10035</v>
      </c>
      <c r="N40" s="12" t="s">
        <v>5276</v>
      </c>
      <c r="O40" s="13" t="s">
        <v>1296</v>
      </c>
      <c r="P40" s="13" t="s">
        <v>2958</v>
      </c>
      <c r="Q40" s="13" t="s">
        <v>5694</v>
      </c>
      <c r="R40" s="13" t="s">
        <v>3170</v>
      </c>
      <c r="S40" s="13" t="s">
        <v>1003</v>
      </c>
      <c r="T40" s="13" t="s">
        <v>5695</v>
      </c>
      <c r="U40" s="14" t="s">
        <v>5683</v>
      </c>
      <c r="V40" s="14" t="s">
        <v>2821</v>
      </c>
      <c r="W40" s="14" t="s">
        <v>2822</v>
      </c>
      <c r="X40" s="14" t="s">
        <v>2868</v>
      </c>
      <c r="Y40" s="15">
        <v>1</v>
      </c>
      <c r="Z40" s="11">
        <v>732</v>
      </c>
      <c r="AA40" s="11">
        <v>189588</v>
      </c>
      <c r="AB40" s="16">
        <v>259</v>
      </c>
      <c r="AC40" s="17">
        <v>0.3129</v>
      </c>
      <c r="AD40" s="16">
        <v>139.1</v>
      </c>
      <c r="AE40" s="18">
        <v>4.6</v>
      </c>
      <c r="AF40" s="11">
        <v>852</v>
      </c>
      <c r="AG40" s="19">
        <v>0.0137</v>
      </c>
      <c r="AH40" s="11">
        <v>10</v>
      </c>
      <c r="AI40" s="11">
        <v>52</v>
      </c>
      <c r="AJ40" s="9" t="s">
        <v>947</v>
      </c>
      <c r="AK40" s="9" t="s">
        <v>5696</v>
      </c>
      <c r="AL40" s="21">
        <v>1657</v>
      </c>
      <c r="AM40" s="21">
        <v>15</v>
      </c>
      <c r="AN40" s="21">
        <v>2</v>
      </c>
      <c r="AO40" s="10" t="s">
        <v>1515</v>
      </c>
      <c r="AP40" s="9" t="s">
        <v>65</v>
      </c>
      <c r="AQ40" s="10" t="s">
        <v>65</v>
      </c>
      <c r="AR40" s="9" t="s">
        <v>1516</v>
      </c>
      <c r="AS40" s="22" t="s">
        <v>5697</v>
      </c>
      <c r="AT40" s="22" t="s">
        <v>5698</v>
      </c>
    </row>
    <row r="41" ht="24" customHeight="1" spans="1:46">
      <c r="A41" s="9" t="str">
        <f>_xlfn.DISPIMG("ID_A59C66EB378142738B31545BCB7BD240",1)</f>
        <v>=DISPIMG("ID_A59C66EB378142738B31545BCB7BD240",1)</v>
      </c>
      <c r="B41" s="10" t="s">
        <v>5699</v>
      </c>
      <c r="C41" s="10" t="s">
        <v>5700</v>
      </c>
      <c r="D41" s="10" t="s">
        <v>5701</v>
      </c>
      <c r="E41" s="10" t="s">
        <v>5702</v>
      </c>
      <c r="F41" s="10" t="s">
        <v>5703</v>
      </c>
      <c r="G41" s="10" t="s">
        <v>5272</v>
      </c>
      <c r="H41" s="10" t="s">
        <v>5704</v>
      </c>
      <c r="I41" s="10" t="s">
        <v>5705</v>
      </c>
      <c r="J41" s="9" t="s">
        <v>934</v>
      </c>
      <c r="K41" s="10" t="s">
        <v>5275</v>
      </c>
      <c r="L41" s="10" t="s">
        <v>851</v>
      </c>
      <c r="M41" s="11">
        <v>10283</v>
      </c>
      <c r="N41" s="12" t="s">
        <v>5276</v>
      </c>
      <c r="O41" s="13" t="s">
        <v>1305</v>
      </c>
      <c r="P41" s="13" t="s">
        <v>2986</v>
      </c>
      <c r="Q41" s="13" t="s">
        <v>5336</v>
      </c>
      <c r="R41" s="13" t="s">
        <v>3170</v>
      </c>
      <c r="S41" s="13" t="s">
        <v>5278</v>
      </c>
      <c r="T41" s="13" t="s">
        <v>3174</v>
      </c>
      <c r="U41" s="14" t="s">
        <v>6343</v>
      </c>
      <c r="V41" s="14" t="s">
        <v>2821</v>
      </c>
      <c r="W41" s="14" t="s">
        <v>2865</v>
      </c>
      <c r="X41" s="14" t="s">
        <v>2823</v>
      </c>
      <c r="Y41" s="15">
        <v>1</v>
      </c>
      <c r="Z41" s="11">
        <v>1741</v>
      </c>
      <c r="AA41" s="11">
        <v>139262.6</v>
      </c>
      <c r="AB41" s="16">
        <v>79.99</v>
      </c>
      <c r="AC41" s="17">
        <v>0.6397</v>
      </c>
      <c r="AD41" s="16">
        <v>16.82</v>
      </c>
      <c r="AE41" s="18">
        <v>4.5</v>
      </c>
      <c r="AF41" s="11">
        <v>2997</v>
      </c>
      <c r="AG41" s="19">
        <v>0.0144</v>
      </c>
      <c r="AH41" s="11">
        <v>25</v>
      </c>
      <c r="AI41" s="11">
        <v>45</v>
      </c>
      <c r="AJ41" s="9" t="s">
        <v>854</v>
      </c>
      <c r="AK41" s="9" t="s">
        <v>3460</v>
      </c>
      <c r="AL41" s="21">
        <v>1191</v>
      </c>
      <c r="AM41" s="21">
        <v>6</v>
      </c>
      <c r="AN41" s="21">
        <v>17</v>
      </c>
      <c r="AO41" s="10" t="s">
        <v>1515</v>
      </c>
      <c r="AP41" s="9" t="s">
        <v>65</v>
      </c>
      <c r="AQ41" s="10" t="s">
        <v>65</v>
      </c>
      <c r="AR41" s="9" t="s">
        <v>1516</v>
      </c>
      <c r="AS41" s="22" t="s">
        <v>5706</v>
      </c>
      <c r="AT41" s="22" t="s">
        <v>5707</v>
      </c>
    </row>
    <row r="42" ht="24" customHeight="1" spans="1:46">
      <c r="A42" s="9" t="str">
        <f>_xlfn.DISPIMG("ID_A668F071062243849F704A4570976652",1)</f>
        <v>=DISPIMG("ID_A668F071062243849F704A4570976652",1)</v>
      </c>
      <c r="B42" s="10" t="s">
        <v>5708</v>
      </c>
      <c r="C42" s="10" t="s">
        <v>5708</v>
      </c>
      <c r="D42" s="10" t="s">
        <v>65</v>
      </c>
      <c r="E42" s="10" t="s">
        <v>5709</v>
      </c>
      <c r="F42" s="10" t="s">
        <v>5710</v>
      </c>
      <c r="G42" s="10" t="s">
        <v>3854</v>
      </c>
      <c r="H42" s="10" t="s">
        <v>5711</v>
      </c>
      <c r="I42" s="10" t="s">
        <v>5712</v>
      </c>
      <c r="J42" s="9" t="s">
        <v>974</v>
      </c>
      <c r="K42" s="10" t="s">
        <v>5275</v>
      </c>
      <c r="L42" s="10" t="s">
        <v>851</v>
      </c>
      <c r="M42" s="11">
        <v>10288</v>
      </c>
      <c r="N42" s="12" t="s">
        <v>5276</v>
      </c>
      <c r="O42" s="13" t="s">
        <v>3648</v>
      </c>
      <c r="P42" s="13" t="s">
        <v>2809</v>
      </c>
      <c r="Q42" s="13" t="s">
        <v>5381</v>
      </c>
      <c r="R42" s="13" t="s">
        <v>3170</v>
      </c>
      <c r="S42" s="13" t="s">
        <v>5278</v>
      </c>
      <c r="T42" s="13" t="s">
        <v>3174</v>
      </c>
      <c r="U42" s="14" t="s">
        <v>5713</v>
      </c>
      <c r="V42" s="14" t="s">
        <v>2831</v>
      </c>
      <c r="W42" s="14" t="s">
        <v>2993</v>
      </c>
      <c r="X42" s="14" t="s">
        <v>2940</v>
      </c>
      <c r="Y42" s="15">
        <v>1</v>
      </c>
      <c r="Z42" s="11">
        <v>766</v>
      </c>
      <c r="AA42" s="11">
        <v>76592.336</v>
      </c>
      <c r="AB42" s="16">
        <v>99.99</v>
      </c>
      <c r="AC42" s="17">
        <v>0.6578</v>
      </c>
      <c r="AD42" s="16">
        <v>19.22</v>
      </c>
      <c r="AE42" s="18">
        <v>4</v>
      </c>
      <c r="AF42" s="11">
        <v>280</v>
      </c>
      <c r="AG42" s="19">
        <v>0.017</v>
      </c>
      <c r="AH42" s="11">
        <v>13</v>
      </c>
      <c r="AI42" s="11">
        <v>46</v>
      </c>
      <c r="AJ42" s="9" t="s">
        <v>947</v>
      </c>
      <c r="AK42" s="9" t="s">
        <v>5714</v>
      </c>
      <c r="AL42" s="21">
        <v>636</v>
      </c>
      <c r="AM42" s="21">
        <v>1</v>
      </c>
      <c r="AN42" s="21">
        <v>10</v>
      </c>
      <c r="AO42" s="10" t="s">
        <v>1515</v>
      </c>
      <c r="AP42" s="9" t="s">
        <v>65</v>
      </c>
      <c r="AQ42" s="10" t="s">
        <v>65</v>
      </c>
      <c r="AR42" s="9" t="s">
        <v>1516</v>
      </c>
      <c r="AS42" s="22" t="s">
        <v>5715</v>
      </c>
      <c r="AT42" s="22" t="s">
        <v>5716</v>
      </c>
    </row>
    <row r="43" ht="24" customHeight="1" spans="1:46">
      <c r="A43" s="9" t="str">
        <f>_xlfn.DISPIMG("ID_24452B07DC6D4C80BF208F5FB4A10E16",1)</f>
        <v>=DISPIMG("ID_24452B07DC6D4C80BF208F5FB4A10E16",1)</v>
      </c>
      <c r="B43" s="10" t="s">
        <v>5717</v>
      </c>
      <c r="C43" s="10" t="s">
        <v>5717</v>
      </c>
      <c r="D43" s="10" t="s">
        <v>65</v>
      </c>
      <c r="E43" s="10" t="s">
        <v>5718</v>
      </c>
      <c r="F43" s="10" t="s">
        <v>5719</v>
      </c>
      <c r="G43" s="10" t="s">
        <v>1323</v>
      </c>
      <c r="H43" s="10" t="s">
        <v>5720</v>
      </c>
      <c r="I43" s="10" t="s">
        <v>5721</v>
      </c>
      <c r="J43" s="9" t="s">
        <v>974</v>
      </c>
      <c r="K43" s="10" t="s">
        <v>5275</v>
      </c>
      <c r="L43" s="10" t="s">
        <v>1323</v>
      </c>
      <c r="M43" s="11">
        <v>219</v>
      </c>
      <c r="N43" s="12" t="s">
        <v>5276</v>
      </c>
      <c r="O43" s="13" t="s">
        <v>1266</v>
      </c>
      <c r="P43" s="13" t="s">
        <v>2986</v>
      </c>
      <c r="Q43" s="13" t="s">
        <v>5277</v>
      </c>
      <c r="R43" s="13" t="s">
        <v>3170</v>
      </c>
      <c r="S43" s="13" t="s">
        <v>5278</v>
      </c>
      <c r="T43" s="13" t="s">
        <v>3174</v>
      </c>
      <c r="U43" s="14" t="s">
        <v>6342</v>
      </c>
      <c r="V43" s="14" t="s">
        <v>2821</v>
      </c>
      <c r="W43" s="14" t="s">
        <v>2930</v>
      </c>
      <c r="X43" s="14" t="s">
        <v>2884</v>
      </c>
      <c r="Y43" s="15">
        <v>1</v>
      </c>
      <c r="Z43" s="24">
        <v>13749</v>
      </c>
      <c r="AA43" s="24">
        <f>Z43*AB43</f>
        <v>508575.51</v>
      </c>
      <c r="AB43" s="25">
        <v>36.99</v>
      </c>
      <c r="AC43" s="26">
        <v>0</v>
      </c>
      <c r="AD43" s="27"/>
      <c r="AE43" s="18">
        <v>4.2</v>
      </c>
      <c r="AF43" s="11">
        <v>358</v>
      </c>
      <c r="AG43" s="19">
        <v>0</v>
      </c>
      <c r="AH43" s="20"/>
      <c r="AI43" s="11">
        <v>13</v>
      </c>
      <c r="AJ43" s="9" t="s">
        <v>947</v>
      </c>
      <c r="AK43" s="9" t="s">
        <v>5722</v>
      </c>
      <c r="AL43" s="21">
        <v>1099</v>
      </c>
      <c r="AM43" s="21">
        <v>1</v>
      </c>
      <c r="AN43" s="21">
        <v>1</v>
      </c>
      <c r="AO43" s="10" t="s">
        <v>5723</v>
      </c>
      <c r="AP43" s="9" t="s">
        <v>1110</v>
      </c>
      <c r="AQ43" s="10" t="s">
        <v>5724</v>
      </c>
      <c r="AR43" s="9" t="s">
        <v>997</v>
      </c>
      <c r="AS43" s="22" t="s">
        <v>5725</v>
      </c>
      <c r="AT43" s="22" t="s">
        <v>5726</v>
      </c>
    </row>
    <row r="44" ht="24" customHeight="1" spans="1:46">
      <c r="A44" s="9" t="str">
        <f>_xlfn.DISPIMG("ID_23424A20E7B94BBAAD3EAE9899D45FE9",1)</f>
        <v>=DISPIMG("ID_23424A20E7B94BBAAD3EAE9899D45FE9",1)</v>
      </c>
      <c r="B44" s="10" t="s">
        <v>5727</v>
      </c>
      <c r="C44" s="10" t="s">
        <v>5728</v>
      </c>
      <c r="D44" s="10" t="s">
        <v>3864</v>
      </c>
      <c r="E44" s="10" t="s">
        <v>5729</v>
      </c>
      <c r="F44" s="10" t="s">
        <v>5730</v>
      </c>
      <c r="G44" s="10" t="s">
        <v>5731</v>
      </c>
      <c r="H44" s="10" t="s">
        <v>5732</v>
      </c>
      <c r="I44" s="10" t="s">
        <v>5733</v>
      </c>
      <c r="J44" s="9" t="s">
        <v>1384</v>
      </c>
      <c r="K44" s="10" t="s">
        <v>5275</v>
      </c>
      <c r="L44" s="10" t="s">
        <v>5607</v>
      </c>
      <c r="M44" s="11">
        <v>3992</v>
      </c>
      <c r="N44" s="12" t="s">
        <v>5276</v>
      </c>
      <c r="O44" s="13" t="s">
        <v>1212</v>
      </c>
      <c r="P44" s="13" t="s">
        <v>3005</v>
      </c>
      <c r="Q44" s="13" t="s">
        <v>5277</v>
      </c>
      <c r="R44" s="13" t="s">
        <v>3170</v>
      </c>
      <c r="S44" s="13" t="s">
        <v>5278</v>
      </c>
      <c r="T44" s="13" t="s">
        <v>3174</v>
      </c>
      <c r="U44" s="14" t="s">
        <v>6341</v>
      </c>
      <c r="V44" s="14" t="s">
        <v>2883</v>
      </c>
      <c r="W44" s="14" t="s">
        <v>2865</v>
      </c>
      <c r="X44" s="14" t="s">
        <v>2979</v>
      </c>
      <c r="Y44" s="15">
        <v>1</v>
      </c>
      <c r="Z44" s="11">
        <v>11548</v>
      </c>
      <c r="AA44" s="11">
        <v>544372.7</v>
      </c>
      <c r="AB44" s="16">
        <v>47.14</v>
      </c>
      <c r="AC44" s="17">
        <v>0.658</v>
      </c>
      <c r="AD44" s="16">
        <v>7.91</v>
      </c>
      <c r="AE44" s="18">
        <v>4.4</v>
      </c>
      <c r="AF44" s="11">
        <v>83</v>
      </c>
      <c r="AG44" s="19">
        <v>0.0016</v>
      </c>
      <c r="AH44" s="11">
        <v>18</v>
      </c>
      <c r="AI44" s="11">
        <v>4</v>
      </c>
      <c r="AJ44" s="9" t="s">
        <v>1098</v>
      </c>
      <c r="AK44" s="9" t="s">
        <v>1965</v>
      </c>
      <c r="AL44" s="21">
        <v>186</v>
      </c>
      <c r="AM44" s="21">
        <v>4</v>
      </c>
      <c r="AN44" s="21">
        <v>9</v>
      </c>
      <c r="AO44" s="10" t="s">
        <v>1515</v>
      </c>
      <c r="AP44" s="9" t="s">
        <v>65</v>
      </c>
      <c r="AQ44" s="10" t="s">
        <v>65</v>
      </c>
      <c r="AR44" s="9" t="s">
        <v>1516</v>
      </c>
      <c r="AS44" s="22" t="s">
        <v>5610</v>
      </c>
      <c r="AT44" s="22" t="s">
        <v>5734</v>
      </c>
    </row>
    <row r="45" ht="24" customHeight="1" spans="1:46">
      <c r="A45" s="9" t="str">
        <f>_xlfn.DISPIMG("ID_769DC7F0202346C8923CB494CC3B5B88",1)</f>
        <v>=DISPIMG("ID_769DC7F0202346C8923CB494CC3B5B88",1)</v>
      </c>
      <c r="B45" s="10" t="s">
        <v>5735</v>
      </c>
      <c r="C45" s="10" t="s">
        <v>5735</v>
      </c>
      <c r="D45" s="10" t="s">
        <v>65</v>
      </c>
      <c r="E45" s="10" t="s">
        <v>5736</v>
      </c>
      <c r="F45" s="10" t="s">
        <v>5737</v>
      </c>
      <c r="G45" s="10" t="s">
        <v>5738</v>
      </c>
      <c r="H45" s="10" t="s">
        <v>5739</v>
      </c>
      <c r="I45" s="10" t="s">
        <v>5740</v>
      </c>
      <c r="J45" s="9" t="s">
        <v>1042</v>
      </c>
      <c r="K45" s="10" t="s">
        <v>5275</v>
      </c>
      <c r="L45" s="10" t="s">
        <v>851</v>
      </c>
      <c r="M45" s="11">
        <v>12391</v>
      </c>
      <c r="N45" s="12" t="s">
        <v>5276</v>
      </c>
      <c r="O45" s="13" t="s">
        <v>3694</v>
      </c>
      <c r="P45" s="13" t="s">
        <v>3005</v>
      </c>
      <c r="Q45" s="13" t="s">
        <v>5277</v>
      </c>
      <c r="R45" s="13" t="s">
        <v>3170</v>
      </c>
      <c r="S45" s="13" t="s">
        <v>5278</v>
      </c>
      <c r="T45" s="13" t="s">
        <v>3174</v>
      </c>
      <c r="U45" s="14" t="s">
        <v>6342</v>
      </c>
      <c r="V45" s="14" t="s">
        <v>2917</v>
      </c>
      <c r="W45" s="14" t="s">
        <v>2933</v>
      </c>
      <c r="X45" s="14" t="s">
        <v>2934</v>
      </c>
      <c r="Y45" s="15">
        <v>1</v>
      </c>
      <c r="Z45" s="11">
        <v>448</v>
      </c>
      <c r="AA45" s="11">
        <v>15223.04</v>
      </c>
      <c r="AB45" s="16">
        <v>33.98</v>
      </c>
      <c r="AC45" s="17">
        <v>0.6172</v>
      </c>
      <c r="AD45" s="16">
        <v>7.91</v>
      </c>
      <c r="AE45" s="18">
        <v>4.9</v>
      </c>
      <c r="AF45" s="11">
        <v>11</v>
      </c>
      <c r="AG45" s="19">
        <v>0</v>
      </c>
      <c r="AH45" s="11">
        <v>0</v>
      </c>
      <c r="AI45" s="20"/>
      <c r="AJ45" s="9" t="s">
        <v>65</v>
      </c>
      <c r="AK45" s="9" t="s">
        <v>5741</v>
      </c>
      <c r="AL45" s="21">
        <v>102</v>
      </c>
      <c r="AM45" s="21">
        <v>1</v>
      </c>
      <c r="AN45" s="21">
        <v>2</v>
      </c>
      <c r="AO45" s="10" t="s">
        <v>5742</v>
      </c>
      <c r="AP45" s="9" t="s">
        <v>1401</v>
      </c>
      <c r="AQ45" s="10" t="s">
        <v>5743</v>
      </c>
      <c r="AR45" s="9" t="s">
        <v>997</v>
      </c>
      <c r="AS45" s="22" t="s">
        <v>5744</v>
      </c>
      <c r="AT45" s="22" t="s">
        <v>5745</v>
      </c>
    </row>
    <row r="46" ht="24" customHeight="1" spans="1:46">
      <c r="A46" s="9" t="str">
        <f>_xlfn.DISPIMG("ID_429C7596921D4BCA8601D28C60AFE12F",1)</f>
        <v>=DISPIMG("ID_429C7596921D4BCA8601D28C60AFE12F",1)</v>
      </c>
      <c r="B46" s="10" t="s">
        <v>5746</v>
      </c>
      <c r="C46" s="10" t="s">
        <v>5747</v>
      </c>
      <c r="D46" s="10" t="s">
        <v>3196</v>
      </c>
      <c r="E46" s="10" t="s">
        <v>5748</v>
      </c>
      <c r="F46" s="10" t="s">
        <v>5749</v>
      </c>
      <c r="G46" s="10" t="s">
        <v>5750</v>
      </c>
      <c r="H46" s="10" t="s">
        <v>5751</v>
      </c>
      <c r="I46" s="10" t="s">
        <v>5752</v>
      </c>
      <c r="J46" s="9" t="s">
        <v>934</v>
      </c>
      <c r="K46" s="10" t="s">
        <v>5275</v>
      </c>
      <c r="L46" s="10" t="s">
        <v>851</v>
      </c>
      <c r="M46" s="11">
        <v>12595</v>
      </c>
      <c r="N46" s="12" t="s">
        <v>5276</v>
      </c>
      <c r="O46" s="13" t="s">
        <v>3718</v>
      </c>
      <c r="P46" s="13" t="s">
        <v>2809</v>
      </c>
      <c r="Q46" s="13" t="s">
        <v>5619</v>
      </c>
      <c r="R46" s="13" t="s">
        <v>3170</v>
      </c>
      <c r="S46" s="13" t="s">
        <v>5278</v>
      </c>
      <c r="T46" s="13" t="s">
        <v>3174</v>
      </c>
      <c r="U46" s="14" t="s">
        <v>5383</v>
      </c>
      <c r="V46" s="14" t="s">
        <v>2867</v>
      </c>
      <c r="W46" s="14" t="s">
        <v>2865</v>
      </c>
      <c r="X46" s="14" t="s">
        <v>2940</v>
      </c>
      <c r="Y46" s="15">
        <v>1</v>
      </c>
      <c r="Z46" s="11">
        <v>746</v>
      </c>
      <c r="AA46" s="11">
        <v>126805.08</v>
      </c>
      <c r="AB46" s="16">
        <v>169.98</v>
      </c>
      <c r="AC46" s="17">
        <v>0.4691</v>
      </c>
      <c r="AD46" s="16">
        <v>64.75</v>
      </c>
      <c r="AE46" s="18">
        <v>4.5</v>
      </c>
      <c r="AF46" s="11">
        <v>258</v>
      </c>
      <c r="AG46" s="19">
        <v>0.0268</v>
      </c>
      <c r="AH46" s="11">
        <v>20</v>
      </c>
      <c r="AI46" s="11">
        <v>29</v>
      </c>
      <c r="AJ46" s="9" t="s">
        <v>947</v>
      </c>
      <c r="AK46" s="9" t="s">
        <v>5753</v>
      </c>
      <c r="AL46" s="21">
        <v>405</v>
      </c>
      <c r="AM46" s="21">
        <v>3</v>
      </c>
      <c r="AN46" s="21">
        <v>1</v>
      </c>
      <c r="AO46" s="10" t="s">
        <v>5750</v>
      </c>
      <c r="AP46" s="9" t="s">
        <v>1288</v>
      </c>
      <c r="AQ46" s="10" t="s">
        <v>5754</v>
      </c>
      <c r="AR46" s="9" t="s">
        <v>2728</v>
      </c>
      <c r="AS46" s="22" t="s">
        <v>5755</v>
      </c>
      <c r="AT46" s="22" t="s">
        <v>5756</v>
      </c>
    </row>
    <row r="47" ht="24" customHeight="1" spans="1:46">
      <c r="A47" s="9" t="str">
        <f>_xlfn.DISPIMG("ID_C5C4587EE2674D1DAD85ADE941342DD7",1)</f>
        <v>=DISPIMG("ID_C5C4587EE2674D1DAD85ADE941342DD7",1)</v>
      </c>
      <c r="B47" s="10" t="s">
        <v>5757</v>
      </c>
      <c r="C47" s="10" t="s">
        <v>5758</v>
      </c>
      <c r="D47" s="10" t="s">
        <v>5759</v>
      </c>
      <c r="E47" s="10" t="s">
        <v>5760</v>
      </c>
      <c r="F47" s="10" t="s">
        <v>5761</v>
      </c>
      <c r="G47" s="10" t="s">
        <v>5414</v>
      </c>
      <c r="H47" s="10" t="s">
        <v>5762</v>
      </c>
      <c r="I47" s="10" t="s">
        <v>5763</v>
      </c>
      <c r="J47" s="9" t="s">
        <v>934</v>
      </c>
      <c r="K47" s="10" t="s">
        <v>5275</v>
      </c>
      <c r="L47" s="10" t="s">
        <v>851</v>
      </c>
      <c r="M47" s="11">
        <v>14000</v>
      </c>
      <c r="N47" s="12" t="s">
        <v>5276</v>
      </c>
      <c r="O47" s="13" t="s">
        <v>1317</v>
      </c>
      <c r="P47" s="13" t="s">
        <v>2852</v>
      </c>
      <c r="Q47" s="13" t="s">
        <v>5694</v>
      </c>
      <c r="R47" s="13" t="s">
        <v>3170</v>
      </c>
      <c r="S47" s="13" t="s">
        <v>5278</v>
      </c>
      <c r="T47" s="13" t="s">
        <v>3174</v>
      </c>
      <c r="U47" s="14" t="s">
        <v>5764</v>
      </c>
      <c r="V47" s="14" t="s">
        <v>2821</v>
      </c>
      <c r="W47" s="14" t="s">
        <v>2822</v>
      </c>
      <c r="X47" s="14" t="s">
        <v>2823</v>
      </c>
      <c r="Y47" s="15">
        <v>1</v>
      </c>
      <c r="Z47" s="11">
        <v>1330</v>
      </c>
      <c r="AA47" s="11">
        <v>297933.28</v>
      </c>
      <c r="AB47" s="16">
        <v>224.01</v>
      </c>
      <c r="AC47" s="17">
        <v>0.5188</v>
      </c>
      <c r="AD47" s="16">
        <v>74.2</v>
      </c>
      <c r="AE47" s="18">
        <v>4.6</v>
      </c>
      <c r="AF47" s="11">
        <v>5449</v>
      </c>
      <c r="AG47" s="19">
        <v>0.0188</v>
      </c>
      <c r="AH47" s="11">
        <v>25</v>
      </c>
      <c r="AI47" s="11">
        <v>542</v>
      </c>
      <c r="AJ47" s="9" t="s">
        <v>854</v>
      </c>
      <c r="AK47" s="9" t="s">
        <v>5765</v>
      </c>
      <c r="AL47" s="21">
        <v>3050</v>
      </c>
      <c r="AM47" s="21">
        <v>4</v>
      </c>
      <c r="AN47" s="21">
        <v>5</v>
      </c>
      <c r="AO47" s="10" t="s">
        <v>1515</v>
      </c>
      <c r="AP47" s="9" t="s">
        <v>65</v>
      </c>
      <c r="AQ47" s="10" t="s">
        <v>65</v>
      </c>
      <c r="AR47" s="9" t="s">
        <v>1516</v>
      </c>
      <c r="AS47" s="22" t="s">
        <v>5766</v>
      </c>
      <c r="AT47" s="22" t="s">
        <v>5767</v>
      </c>
    </row>
    <row r="48" ht="24" customHeight="1" spans="1:46">
      <c r="A48" s="9" t="str">
        <f>_xlfn.DISPIMG("ID_A98B4F147413421C818AF8C974437F63",1)</f>
        <v>=DISPIMG("ID_A98B4F147413421C818AF8C974437F63",1)</v>
      </c>
      <c r="B48" s="10" t="s">
        <v>5768</v>
      </c>
      <c r="C48" s="10" t="s">
        <v>5768</v>
      </c>
      <c r="D48" s="10" t="s">
        <v>65</v>
      </c>
      <c r="E48" s="10" t="s">
        <v>5769</v>
      </c>
      <c r="F48" s="10" t="s">
        <v>5770</v>
      </c>
      <c r="G48" s="10" t="s">
        <v>5750</v>
      </c>
      <c r="H48" s="10" t="s">
        <v>5771</v>
      </c>
      <c r="I48" s="10" t="s">
        <v>5772</v>
      </c>
      <c r="J48" s="9" t="s">
        <v>974</v>
      </c>
      <c r="K48" s="10" t="s">
        <v>5275</v>
      </c>
      <c r="L48" s="10" t="s">
        <v>851</v>
      </c>
      <c r="M48" s="11">
        <v>14321</v>
      </c>
      <c r="N48" s="12" t="s">
        <v>5276</v>
      </c>
      <c r="O48" s="13" t="s">
        <v>1367</v>
      </c>
      <c r="P48" s="13" t="s">
        <v>2809</v>
      </c>
      <c r="Q48" s="13" t="s">
        <v>5694</v>
      </c>
      <c r="R48" s="13" t="s">
        <v>3170</v>
      </c>
      <c r="S48" s="13" t="s">
        <v>5278</v>
      </c>
      <c r="T48" s="13" t="s">
        <v>3174</v>
      </c>
      <c r="U48" s="14" t="s">
        <v>5492</v>
      </c>
      <c r="V48" s="14" t="s">
        <v>2867</v>
      </c>
      <c r="W48" s="14" t="s">
        <v>2865</v>
      </c>
      <c r="X48" s="14" t="s">
        <v>2979</v>
      </c>
      <c r="Y48" s="15">
        <v>1</v>
      </c>
      <c r="Z48" s="11">
        <v>638</v>
      </c>
      <c r="AA48" s="11">
        <v>70173.62</v>
      </c>
      <c r="AB48" s="16">
        <v>109.99</v>
      </c>
      <c r="AC48" s="17">
        <v>0.85</v>
      </c>
      <c r="AD48" s="27"/>
      <c r="AE48" s="18">
        <v>4.3</v>
      </c>
      <c r="AF48" s="11">
        <v>78</v>
      </c>
      <c r="AG48" s="19">
        <v>0.0063</v>
      </c>
      <c r="AH48" s="11">
        <v>4</v>
      </c>
      <c r="AI48" s="11">
        <v>15</v>
      </c>
      <c r="AJ48" s="9" t="s">
        <v>1098</v>
      </c>
      <c r="AK48" s="9" t="s">
        <v>5773</v>
      </c>
      <c r="AL48" s="21">
        <v>400</v>
      </c>
      <c r="AM48" s="21">
        <v>1</v>
      </c>
      <c r="AN48" s="21">
        <v>1</v>
      </c>
      <c r="AO48" s="10" t="s">
        <v>5750</v>
      </c>
      <c r="AP48" s="9" t="s">
        <v>1288</v>
      </c>
      <c r="AQ48" s="10" t="s">
        <v>5754</v>
      </c>
      <c r="AR48" s="9" t="s">
        <v>2728</v>
      </c>
      <c r="AS48" s="28"/>
      <c r="AT48" s="22" t="s">
        <v>5774</v>
      </c>
    </row>
    <row r="49" ht="24" customHeight="1" spans="1:46">
      <c r="A49" s="9" t="str">
        <f>_xlfn.DISPIMG("ID_D8AC3FF434CF453BA6AC166E06A29100",1)</f>
        <v>=DISPIMG("ID_D8AC3FF434CF453BA6AC166E06A29100",1)</v>
      </c>
      <c r="B49" s="10" t="s">
        <v>5775</v>
      </c>
      <c r="C49" s="10" t="s">
        <v>5776</v>
      </c>
      <c r="D49" s="10" t="s">
        <v>5269</v>
      </c>
      <c r="E49" s="10" t="s">
        <v>5777</v>
      </c>
      <c r="F49" s="10" t="s">
        <v>5778</v>
      </c>
      <c r="G49" s="10" t="s">
        <v>5272</v>
      </c>
      <c r="H49" s="10" t="s">
        <v>5779</v>
      </c>
      <c r="I49" s="10" t="s">
        <v>5780</v>
      </c>
      <c r="J49" s="9" t="s">
        <v>934</v>
      </c>
      <c r="K49" s="10" t="s">
        <v>5275</v>
      </c>
      <c r="L49" s="10" t="s">
        <v>851</v>
      </c>
      <c r="M49" s="11">
        <v>15677</v>
      </c>
      <c r="N49" s="12" t="s">
        <v>5276</v>
      </c>
      <c r="O49" s="13" t="s">
        <v>1349</v>
      </c>
      <c r="P49" s="13" t="s">
        <v>2986</v>
      </c>
      <c r="Q49" s="13" t="s">
        <v>5781</v>
      </c>
      <c r="R49" s="13" t="s">
        <v>3170</v>
      </c>
      <c r="S49" s="13" t="s">
        <v>5278</v>
      </c>
      <c r="T49" s="13" t="s">
        <v>3174</v>
      </c>
      <c r="U49" s="14" t="s">
        <v>5713</v>
      </c>
      <c r="V49" s="14" t="s">
        <v>2821</v>
      </c>
      <c r="W49" s="14" t="s">
        <v>2930</v>
      </c>
      <c r="X49" s="14" t="s">
        <v>2823</v>
      </c>
      <c r="Y49" s="15">
        <v>1</v>
      </c>
      <c r="Z49" s="11">
        <v>1328</v>
      </c>
      <c r="AA49" s="11">
        <v>132786.72</v>
      </c>
      <c r="AB49" s="16">
        <v>99.99</v>
      </c>
      <c r="AC49" s="17">
        <v>0.6361</v>
      </c>
      <c r="AD49" s="16">
        <v>21.39</v>
      </c>
      <c r="AE49" s="18">
        <v>4.2</v>
      </c>
      <c r="AF49" s="11">
        <v>1043</v>
      </c>
      <c r="AG49" s="19">
        <v>0.012</v>
      </c>
      <c r="AH49" s="11">
        <v>16</v>
      </c>
      <c r="AI49" s="11">
        <v>42</v>
      </c>
      <c r="AJ49" s="9" t="s">
        <v>876</v>
      </c>
      <c r="AK49" s="9" t="s">
        <v>3460</v>
      </c>
      <c r="AL49" s="21">
        <v>1191</v>
      </c>
      <c r="AM49" s="21">
        <v>2</v>
      </c>
      <c r="AN49" s="21">
        <v>14</v>
      </c>
      <c r="AO49" s="10" t="s">
        <v>1515</v>
      </c>
      <c r="AP49" s="9" t="s">
        <v>65</v>
      </c>
      <c r="AQ49" s="10" t="s">
        <v>65</v>
      </c>
      <c r="AR49" s="9" t="s">
        <v>1516</v>
      </c>
      <c r="AS49" s="22" t="s">
        <v>5782</v>
      </c>
      <c r="AT49" s="22" t="s">
        <v>5783</v>
      </c>
    </row>
    <row r="50" ht="24" customHeight="1" spans="1:46">
      <c r="A50" s="9" t="str">
        <f>_xlfn.DISPIMG("ID_47815B4B8E97431D8FB6B6F3A3D8D791",1)</f>
        <v>=DISPIMG("ID_47815B4B8E97431D8FB6B6F3A3D8D791",1)</v>
      </c>
      <c r="B50" s="10" t="s">
        <v>5784</v>
      </c>
      <c r="C50" s="10" t="s">
        <v>5785</v>
      </c>
      <c r="D50" s="10" t="s">
        <v>5786</v>
      </c>
      <c r="E50" s="10" t="s">
        <v>5787</v>
      </c>
      <c r="F50" s="10" t="s">
        <v>5788</v>
      </c>
      <c r="G50" s="10" t="s">
        <v>5789</v>
      </c>
      <c r="H50" s="10" t="s">
        <v>5790</v>
      </c>
      <c r="I50" s="10" t="s">
        <v>5791</v>
      </c>
      <c r="J50" s="9" t="s">
        <v>934</v>
      </c>
      <c r="K50" s="10" t="s">
        <v>5275</v>
      </c>
      <c r="L50" s="10" t="s">
        <v>5300</v>
      </c>
      <c r="M50" s="11">
        <v>6733</v>
      </c>
      <c r="N50" s="12" t="s">
        <v>5322</v>
      </c>
      <c r="O50" s="13" t="s">
        <v>5792</v>
      </c>
      <c r="P50" s="13" t="s">
        <v>2986</v>
      </c>
      <c r="Q50" s="13" t="s">
        <v>5277</v>
      </c>
      <c r="R50" s="13" t="s">
        <v>3170</v>
      </c>
      <c r="S50" s="13" t="s">
        <v>5278</v>
      </c>
      <c r="T50" s="13" t="s">
        <v>3174</v>
      </c>
      <c r="U50" s="14" t="s">
        <v>6343</v>
      </c>
      <c r="V50" s="14" t="s">
        <v>2917</v>
      </c>
      <c r="W50" s="14" t="s">
        <v>2930</v>
      </c>
      <c r="X50" s="14" t="s">
        <v>2823</v>
      </c>
      <c r="Y50" s="15">
        <v>1</v>
      </c>
      <c r="Z50" s="11">
        <v>472</v>
      </c>
      <c r="AA50" s="11">
        <v>32091.28</v>
      </c>
      <c r="AB50" s="16">
        <v>67.99</v>
      </c>
      <c r="AC50" s="17">
        <v>0.7337</v>
      </c>
      <c r="AD50" s="16">
        <v>7.91</v>
      </c>
      <c r="AE50" s="18">
        <v>4.1</v>
      </c>
      <c r="AF50" s="11">
        <v>2623</v>
      </c>
      <c r="AG50" s="19">
        <v>0.0403</v>
      </c>
      <c r="AH50" s="11">
        <v>19</v>
      </c>
      <c r="AI50" s="20"/>
      <c r="AJ50" s="9" t="s">
        <v>1098</v>
      </c>
      <c r="AK50" s="9" t="s">
        <v>5793</v>
      </c>
      <c r="AL50" s="21">
        <v>38</v>
      </c>
      <c r="AM50" s="21">
        <v>1</v>
      </c>
      <c r="AN50" s="21">
        <v>1</v>
      </c>
      <c r="AO50" s="10" t="s">
        <v>5794</v>
      </c>
      <c r="AP50" s="9" t="s">
        <v>65</v>
      </c>
      <c r="AQ50" s="10" t="s">
        <v>65</v>
      </c>
      <c r="AR50" s="9" t="s">
        <v>997</v>
      </c>
      <c r="AS50" s="22" t="s">
        <v>5795</v>
      </c>
      <c r="AT50" s="22" t="s">
        <v>5796</v>
      </c>
    </row>
    <row r="51" ht="24" customHeight="1" spans="1:46">
      <c r="A51" s="9" t="str">
        <f>_xlfn.DISPIMG("ID_84D370C6EA21497C87E2D25580460178",1)</f>
        <v>=DISPIMG("ID_84D370C6EA21497C87E2D25580460178",1)</v>
      </c>
      <c r="B51" s="10" t="s">
        <v>5797</v>
      </c>
      <c r="C51" s="10" t="s">
        <v>5798</v>
      </c>
      <c r="D51" s="10" t="s">
        <v>3196</v>
      </c>
      <c r="E51" s="10" t="s">
        <v>5799</v>
      </c>
      <c r="F51" s="10" t="s">
        <v>5800</v>
      </c>
      <c r="G51" s="10" t="s">
        <v>5801</v>
      </c>
      <c r="H51" s="10" t="s">
        <v>5802</v>
      </c>
      <c r="I51" s="10" t="s">
        <v>5803</v>
      </c>
      <c r="J51" s="9" t="s">
        <v>974</v>
      </c>
      <c r="K51" s="10" t="s">
        <v>5275</v>
      </c>
      <c r="L51" s="10" t="s">
        <v>851</v>
      </c>
      <c r="M51" s="11">
        <v>17604</v>
      </c>
      <c r="N51" s="12" t="s">
        <v>5276</v>
      </c>
      <c r="O51" s="13" t="s">
        <v>3776</v>
      </c>
      <c r="P51" s="13" t="s">
        <v>2809</v>
      </c>
      <c r="Q51" s="13" t="s">
        <v>5619</v>
      </c>
      <c r="R51" s="13" t="s">
        <v>3170</v>
      </c>
      <c r="S51" s="13" t="s">
        <v>1003</v>
      </c>
      <c r="T51" s="13" t="s">
        <v>3174</v>
      </c>
      <c r="U51" s="14" t="s">
        <v>5383</v>
      </c>
      <c r="V51" s="14" t="s">
        <v>2821</v>
      </c>
      <c r="W51" s="14" t="s">
        <v>2822</v>
      </c>
      <c r="X51" s="14" t="s">
        <v>2884</v>
      </c>
      <c r="Y51" s="15">
        <v>1</v>
      </c>
      <c r="Z51" s="11">
        <v>969</v>
      </c>
      <c r="AA51" s="11">
        <v>164720.31</v>
      </c>
      <c r="AB51" s="16">
        <v>169.99</v>
      </c>
      <c r="AC51" s="17">
        <v>0.5151</v>
      </c>
      <c r="AD51" s="16">
        <v>56.93</v>
      </c>
      <c r="AE51" s="18">
        <v>4.7</v>
      </c>
      <c r="AF51" s="11">
        <v>448</v>
      </c>
      <c r="AG51" s="19">
        <v>0.0134</v>
      </c>
      <c r="AH51" s="11">
        <v>13</v>
      </c>
      <c r="AI51" s="11">
        <v>38</v>
      </c>
      <c r="AJ51" s="9" t="s">
        <v>1098</v>
      </c>
      <c r="AK51" s="9" t="s">
        <v>5804</v>
      </c>
      <c r="AL51" s="21">
        <v>1393</v>
      </c>
      <c r="AM51" s="21">
        <v>3</v>
      </c>
      <c r="AN51" s="21">
        <v>1</v>
      </c>
      <c r="AO51" s="10" t="s">
        <v>5805</v>
      </c>
      <c r="AP51" s="9" t="s">
        <v>1288</v>
      </c>
      <c r="AQ51" s="10" t="s">
        <v>5806</v>
      </c>
      <c r="AR51" s="9" t="s">
        <v>2728</v>
      </c>
      <c r="AS51" s="22" t="s">
        <v>5807</v>
      </c>
      <c r="AT51" s="22" t="s">
        <v>5808</v>
      </c>
    </row>
    <row r="52" ht="24" customHeight="1" spans="1:46">
      <c r="A52" s="9" t="str">
        <f>_xlfn.DISPIMG("ID_BC1A732E1B994DBE9F7330E5CCE3C401",1)</f>
        <v>=DISPIMG("ID_BC1A732E1B994DBE9F7330E5CCE3C401",1)</v>
      </c>
      <c r="B52" s="10" t="s">
        <v>5809</v>
      </c>
      <c r="C52" s="10" t="s">
        <v>5810</v>
      </c>
      <c r="D52" s="10" t="s">
        <v>4144</v>
      </c>
      <c r="E52" s="10" t="s">
        <v>5811</v>
      </c>
      <c r="F52" s="10" t="s">
        <v>5812</v>
      </c>
      <c r="G52" s="10" t="s">
        <v>3199</v>
      </c>
      <c r="H52" s="10" t="s">
        <v>5813</v>
      </c>
      <c r="I52" s="10" t="s">
        <v>5814</v>
      </c>
      <c r="J52" s="9" t="s">
        <v>934</v>
      </c>
      <c r="K52" s="10" t="s">
        <v>5275</v>
      </c>
      <c r="L52" s="10" t="s">
        <v>851</v>
      </c>
      <c r="M52" s="11">
        <v>18199</v>
      </c>
      <c r="N52" s="12" t="s">
        <v>5276</v>
      </c>
      <c r="O52" s="13" t="s">
        <v>3789</v>
      </c>
      <c r="P52" s="13" t="s">
        <v>2824</v>
      </c>
      <c r="Q52" s="13" t="s">
        <v>5619</v>
      </c>
      <c r="R52" s="13" t="s">
        <v>3170</v>
      </c>
      <c r="S52" s="13" t="s">
        <v>1003</v>
      </c>
      <c r="T52" s="13" t="s">
        <v>5815</v>
      </c>
      <c r="U52" s="14" t="s">
        <v>5620</v>
      </c>
      <c r="V52" s="14" t="s">
        <v>2821</v>
      </c>
      <c r="W52" s="14" t="s">
        <v>2865</v>
      </c>
      <c r="X52" s="14" t="s">
        <v>2823</v>
      </c>
      <c r="Y52" s="15">
        <v>1</v>
      </c>
      <c r="Z52" s="11">
        <v>446</v>
      </c>
      <c r="AA52" s="11">
        <v>86078</v>
      </c>
      <c r="AB52" s="16">
        <v>193</v>
      </c>
      <c r="AC52" s="17">
        <v>0.5445</v>
      </c>
      <c r="AD52" s="16">
        <v>58.96</v>
      </c>
      <c r="AE52" s="18">
        <v>4.5</v>
      </c>
      <c r="AF52" s="11">
        <v>1706</v>
      </c>
      <c r="AG52" s="19">
        <v>0.0269</v>
      </c>
      <c r="AH52" s="11">
        <v>12</v>
      </c>
      <c r="AI52" s="11">
        <v>127</v>
      </c>
      <c r="AJ52" s="9" t="s">
        <v>876</v>
      </c>
      <c r="AK52" s="9" t="s">
        <v>5632</v>
      </c>
      <c r="AL52" s="21">
        <v>2454</v>
      </c>
      <c r="AM52" s="21">
        <v>3</v>
      </c>
      <c r="AN52" s="21">
        <v>2</v>
      </c>
      <c r="AO52" s="10" t="s">
        <v>1515</v>
      </c>
      <c r="AP52" s="9" t="s">
        <v>65</v>
      </c>
      <c r="AQ52" s="10" t="s">
        <v>65</v>
      </c>
      <c r="AR52" s="9" t="s">
        <v>1516</v>
      </c>
      <c r="AS52" s="22" t="s">
        <v>5755</v>
      </c>
      <c r="AT52" s="22" t="s">
        <v>5816</v>
      </c>
    </row>
    <row r="53" ht="24" customHeight="1" spans="1:46">
      <c r="A53" s="9" t="str">
        <f>_xlfn.DISPIMG("ID_81EB173F04F4474CB8176057EE4D3F7E",1)</f>
        <v>=DISPIMG("ID_81EB173F04F4474CB8176057EE4D3F7E",1)</v>
      </c>
      <c r="B53" s="10" t="s">
        <v>5817</v>
      </c>
      <c r="C53" s="10" t="s">
        <v>5818</v>
      </c>
      <c r="D53" s="10" t="s">
        <v>5269</v>
      </c>
      <c r="E53" s="10" t="s">
        <v>5819</v>
      </c>
      <c r="F53" s="10" t="s">
        <v>5820</v>
      </c>
      <c r="G53" s="10" t="s">
        <v>5604</v>
      </c>
      <c r="H53" s="10" t="s">
        <v>5821</v>
      </c>
      <c r="I53" s="10" t="s">
        <v>5822</v>
      </c>
      <c r="J53" s="9" t="s">
        <v>934</v>
      </c>
      <c r="K53" s="10" t="s">
        <v>5275</v>
      </c>
      <c r="L53" s="10" t="s">
        <v>5607</v>
      </c>
      <c r="M53" s="11">
        <v>5715</v>
      </c>
      <c r="N53" s="12" t="s">
        <v>5276</v>
      </c>
      <c r="O53" s="13" t="s">
        <v>1398</v>
      </c>
      <c r="P53" s="13" t="s">
        <v>2986</v>
      </c>
      <c r="Q53" s="13" t="s">
        <v>5289</v>
      </c>
      <c r="R53" s="13" t="s">
        <v>3170</v>
      </c>
      <c r="S53" s="13" t="s">
        <v>5278</v>
      </c>
      <c r="T53" s="13" t="s">
        <v>3174</v>
      </c>
      <c r="U53" s="14" t="s">
        <v>6341</v>
      </c>
      <c r="V53" s="14" t="s">
        <v>2917</v>
      </c>
      <c r="W53" s="14" t="s">
        <v>2865</v>
      </c>
      <c r="X53" s="14" t="s">
        <v>2979</v>
      </c>
      <c r="Y53" s="15">
        <v>1</v>
      </c>
      <c r="Z53" s="11">
        <v>5267</v>
      </c>
      <c r="AA53" s="11">
        <v>250603.88</v>
      </c>
      <c r="AB53" s="16">
        <v>47.58</v>
      </c>
      <c r="AC53" s="17">
        <v>0.5551</v>
      </c>
      <c r="AD53" s="16">
        <v>14.03</v>
      </c>
      <c r="AE53" s="18">
        <v>4.3</v>
      </c>
      <c r="AF53" s="11">
        <v>52</v>
      </c>
      <c r="AG53" s="19">
        <v>0.0011</v>
      </c>
      <c r="AH53" s="11">
        <v>6</v>
      </c>
      <c r="AI53" s="20"/>
      <c r="AJ53" s="9" t="s">
        <v>65</v>
      </c>
      <c r="AK53" s="9" t="s">
        <v>2473</v>
      </c>
      <c r="AL53" s="21">
        <v>130</v>
      </c>
      <c r="AM53" s="21">
        <v>2</v>
      </c>
      <c r="AN53" s="21">
        <v>2</v>
      </c>
      <c r="AO53" s="10" t="s">
        <v>1515</v>
      </c>
      <c r="AP53" s="9" t="s">
        <v>65</v>
      </c>
      <c r="AQ53" s="10" t="s">
        <v>65</v>
      </c>
      <c r="AR53" s="9" t="s">
        <v>1516</v>
      </c>
      <c r="AS53" s="22" t="s">
        <v>5823</v>
      </c>
      <c r="AT53" s="22" t="s">
        <v>5824</v>
      </c>
    </row>
    <row r="54" ht="24" customHeight="1" spans="1:46">
      <c r="A54" s="9" t="str">
        <f>_xlfn.DISPIMG("ID_31DB35F134E04573A8BFD3968D4D632C",1)</f>
        <v>=DISPIMG("ID_31DB35F134E04573A8BFD3968D4D632C",1)</v>
      </c>
      <c r="B54" s="10" t="s">
        <v>5825</v>
      </c>
      <c r="C54" s="10" t="s">
        <v>5826</v>
      </c>
      <c r="D54" s="10" t="s">
        <v>4144</v>
      </c>
      <c r="E54" s="10" t="s">
        <v>5827</v>
      </c>
      <c r="F54" s="10" t="s">
        <v>5828</v>
      </c>
      <c r="G54" s="10" t="s">
        <v>5829</v>
      </c>
      <c r="H54" s="10" t="s">
        <v>5830</v>
      </c>
      <c r="I54" s="10" t="s">
        <v>5831</v>
      </c>
      <c r="J54" s="9" t="s">
        <v>974</v>
      </c>
      <c r="K54" s="10" t="s">
        <v>5275</v>
      </c>
      <c r="L54" s="10" t="s">
        <v>851</v>
      </c>
      <c r="M54" s="11">
        <v>19224</v>
      </c>
      <c r="N54" s="12" t="s">
        <v>5276</v>
      </c>
      <c r="O54" s="13" t="s">
        <v>1285</v>
      </c>
      <c r="P54" s="13" t="s">
        <v>2824</v>
      </c>
      <c r="Q54" s="13" t="s">
        <v>5277</v>
      </c>
      <c r="R54" s="13" t="s">
        <v>3170</v>
      </c>
      <c r="S54" s="13" t="s">
        <v>5278</v>
      </c>
      <c r="T54" s="13" t="s">
        <v>3174</v>
      </c>
      <c r="U54" s="14" t="s">
        <v>6341</v>
      </c>
      <c r="V54" s="14" t="s">
        <v>2917</v>
      </c>
      <c r="W54" s="14" t="s">
        <v>2865</v>
      </c>
      <c r="X54" s="14" t="s">
        <v>2940</v>
      </c>
      <c r="Y54" s="15">
        <v>1</v>
      </c>
      <c r="Z54" s="11">
        <v>713</v>
      </c>
      <c r="AA54" s="11">
        <v>32077.871</v>
      </c>
      <c r="AB54" s="16">
        <v>44.99</v>
      </c>
      <c r="AC54" s="17">
        <v>0.6673</v>
      </c>
      <c r="AD54" s="16">
        <v>8.22</v>
      </c>
      <c r="AE54" s="18">
        <v>4.4</v>
      </c>
      <c r="AF54" s="11">
        <v>165</v>
      </c>
      <c r="AG54" s="19">
        <v>0.0771</v>
      </c>
      <c r="AH54" s="11">
        <v>55</v>
      </c>
      <c r="AI54" s="20"/>
      <c r="AJ54" s="9" t="s">
        <v>65</v>
      </c>
      <c r="AK54" s="9" t="s">
        <v>5832</v>
      </c>
      <c r="AL54" s="21">
        <v>88</v>
      </c>
      <c r="AM54" s="21">
        <v>5</v>
      </c>
      <c r="AN54" s="21">
        <v>1</v>
      </c>
      <c r="AO54" s="10" t="s">
        <v>5833</v>
      </c>
      <c r="AP54" s="9" t="s">
        <v>5834</v>
      </c>
      <c r="AQ54" s="10" t="s">
        <v>5835</v>
      </c>
      <c r="AR54" s="9" t="s">
        <v>997</v>
      </c>
      <c r="AS54" s="22" t="s">
        <v>5610</v>
      </c>
      <c r="AT54" s="22" t="s">
        <v>5836</v>
      </c>
    </row>
    <row r="55" ht="24" customHeight="1" spans="1:46">
      <c r="A55" s="9" t="str">
        <f>_xlfn.DISPIMG("ID_951D411C75964C27A6CF9F8E0DE6354A",1)</f>
        <v>=DISPIMG("ID_951D411C75964C27A6CF9F8E0DE6354A",1)</v>
      </c>
      <c r="B55" s="10" t="s">
        <v>5837</v>
      </c>
      <c r="C55" s="10" t="s">
        <v>5838</v>
      </c>
      <c r="D55" s="10" t="s">
        <v>5839</v>
      </c>
      <c r="E55" s="10" t="s">
        <v>5840</v>
      </c>
      <c r="F55" s="10" t="s">
        <v>5841</v>
      </c>
      <c r="G55" s="10" t="s">
        <v>5842</v>
      </c>
      <c r="H55" s="10" t="s">
        <v>5843</v>
      </c>
      <c r="I55" s="10" t="s">
        <v>5844</v>
      </c>
      <c r="J55" s="9" t="s">
        <v>974</v>
      </c>
      <c r="K55" s="10" t="s">
        <v>5845</v>
      </c>
      <c r="L55" s="10" t="s">
        <v>5846</v>
      </c>
      <c r="M55" s="11">
        <v>1975</v>
      </c>
      <c r="N55" s="12" t="s">
        <v>5847</v>
      </c>
      <c r="O55" s="13" t="s">
        <v>5848</v>
      </c>
      <c r="P55" s="13" t="s">
        <v>2986</v>
      </c>
      <c r="Q55" s="13" t="s">
        <v>5524</v>
      </c>
      <c r="R55" s="13" t="s">
        <v>5849</v>
      </c>
      <c r="S55" s="13" t="s">
        <v>5278</v>
      </c>
      <c r="T55" s="13" t="s">
        <v>3174</v>
      </c>
      <c r="U55" s="14" t="s">
        <v>5620</v>
      </c>
      <c r="V55" s="14" t="s">
        <v>2867</v>
      </c>
      <c r="W55" s="14" t="s">
        <v>2930</v>
      </c>
      <c r="X55" s="14" t="s">
        <v>2940</v>
      </c>
      <c r="Y55" s="15">
        <v>1</v>
      </c>
      <c r="Z55" s="24">
        <v>478</v>
      </c>
      <c r="AA55" s="24">
        <f>Z55*AB55</f>
        <v>95595.22</v>
      </c>
      <c r="AB55" s="25">
        <v>199.99</v>
      </c>
      <c r="AC55" s="17">
        <v>0</v>
      </c>
      <c r="AD55" s="27"/>
      <c r="AE55" s="18">
        <v>4.1</v>
      </c>
      <c r="AF55" s="11">
        <v>143</v>
      </c>
      <c r="AG55" s="19">
        <v>0</v>
      </c>
      <c r="AH55" s="11">
        <v>-68</v>
      </c>
      <c r="AI55" s="11">
        <v>24</v>
      </c>
      <c r="AJ55" s="9" t="s">
        <v>876</v>
      </c>
      <c r="AK55" s="9" t="s">
        <v>5850</v>
      </c>
      <c r="AL55" s="21">
        <v>447</v>
      </c>
      <c r="AM55" s="21">
        <v>4</v>
      </c>
      <c r="AN55" s="21">
        <v>1</v>
      </c>
      <c r="AO55" s="10" t="s">
        <v>5842</v>
      </c>
      <c r="AP55" s="9" t="s">
        <v>65</v>
      </c>
      <c r="AQ55" s="10" t="s">
        <v>65</v>
      </c>
      <c r="AR55" s="9" t="s">
        <v>997</v>
      </c>
      <c r="AS55" s="22" t="s">
        <v>5851</v>
      </c>
      <c r="AT55" s="22" t="s">
        <v>5852</v>
      </c>
    </row>
    <row r="56" ht="24" customHeight="1" spans="1:46">
      <c r="A56" s="9" t="str">
        <f>_xlfn.DISPIMG("ID_03442B6F452B47C19EECBABF6726F99E",1)</f>
        <v>=DISPIMG("ID_03442B6F452B47C19EECBABF6726F99E",1)</v>
      </c>
      <c r="B56" s="10" t="s">
        <v>5853</v>
      </c>
      <c r="C56" s="10" t="s">
        <v>5854</v>
      </c>
      <c r="D56" s="10" t="s">
        <v>5855</v>
      </c>
      <c r="E56" s="10" t="s">
        <v>5856</v>
      </c>
      <c r="F56" s="10" t="s">
        <v>5857</v>
      </c>
      <c r="G56" s="10" t="s">
        <v>1511</v>
      </c>
      <c r="H56" s="10" t="s">
        <v>5858</v>
      </c>
      <c r="I56" s="10" t="s">
        <v>5859</v>
      </c>
      <c r="J56" s="9" t="s">
        <v>934</v>
      </c>
      <c r="K56" s="10" t="s">
        <v>5275</v>
      </c>
      <c r="L56" s="10" t="s">
        <v>851</v>
      </c>
      <c r="M56" s="11">
        <v>20510</v>
      </c>
      <c r="N56" s="12" t="s">
        <v>5276</v>
      </c>
      <c r="O56" s="13" t="s">
        <v>3857</v>
      </c>
      <c r="P56" s="13" t="s">
        <v>2809</v>
      </c>
      <c r="Q56" s="13" t="s">
        <v>5631</v>
      </c>
      <c r="R56" s="13" t="s">
        <v>3170</v>
      </c>
      <c r="S56" s="13" t="s">
        <v>5278</v>
      </c>
      <c r="T56" s="13" t="s">
        <v>5371</v>
      </c>
      <c r="U56" s="14" t="s">
        <v>5492</v>
      </c>
      <c r="V56" s="14" t="s">
        <v>2831</v>
      </c>
      <c r="W56" s="14" t="s">
        <v>2865</v>
      </c>
      <c r="X56" s="14" t="s">
        <v>2940</v>
      </c>
      <c r="Y56" s="15">
        <v>1</v>
      </c>
      <c r="Z56" s="11">
        <v>396</v>
      </c>
      <c r="AA56" s="11">
        <v>46728</v>
      </c>
      <c r="AB56" s="16">
        <v>118</v>
      </c>
      <c r="AC56" s="17">
        <v>0.4365</v>
      </c>
      <c r="AD56" s="16">
        <v>48.79</v>
      </c>
      <c r="AE56" s="18">
        <v>4.5</v>
      </c>
      <c r="AF56" s="11">
        <v>166</v>
      </c>
      <c r="AG56" s="19">
        <v>0.048</v>
      </c>
      <c r="AH56" s="11">
        <v>19</v>
      </c>
      <c r="AI56" s="11">
        <v>25</v>
      </c>
      <c r="AJ56" s="9" t="s">
        <v>876</v>
      </c>
      <c r="AK56" s="9" t="s">
        <v>5860</v>
      </c>
      <c r="AL56" s="21">
        <v>547</v>
      </c>
      <c r="AM56" s="21">
        <v>3</v>
      </c>
      <c r="AN56" s="21">
        <v>6</v>
      </c>
      <c r="AO56" s="10" t="s">
        <v>1515</v>
      </c>
      <c r="AP56" s="9" t="s">
        <v>65</v>
      </c>
      <c r="AQ56" s="10" t="s">
        <v>65</v>
      </c>
      <c r="AR56" s="9" t="s">
        <v>1516</v>
      </c>
      <c r="AS56" s="22" t="s">
        <v>5861</v>
      </c>
      <c r="AT56" s="22" t="s">
        <v>5862</v>
      </c>
    </row>
    <row r="57" ht="24" customHeight="1" spans="1:46">
      <c r="A57" s="9" t="str">
        <f>_xlfn.DISPIMG("ID_B34D74B16C7741D8A4C79D2BFB4C53DC",1)</f>
        <v>=DISPIMG("ID_B34D74B16C7741D8A4C79D2BFB4C53DC",1)</v>
      </c>
      <c r="B57" s="10" t="s">
        <v>5863</v>
      </c>
      <c r="C57" s="10" t="s">
        <v>5864</v>
      </c>
      <c r="D57" s="10" t="s">
        <v>5614</v>
      </c>
      <c r="E57" s="10" t="s">
        <v>5865</v>
      </c>
      <c r="F57" s="10" t="s">
        <v>5866</v>
      </c>
      <c r="G57" s="10" t="s">
        <v>5867</v>
      </c>
      <c r="H57" s="10" t="s">
        <v>5868</v>
      </c>
      <c r="I57" s="10" t="s">
        <v>5869</v>
      </c>
      <c r="J57" s="9" t="s">
        <v>934</v>
      </c>
      <c r="K57" s="10" t="s">
        <v>5275</v>
      </c>
      <c r="L57" s="10" t="s">
        <v>851</v>
      </c>
      <c r="M57" s="11">
        <v>21154</v>
      </c>
      <c r="N57" s="12" t="s">
        <v>5276</v>
      </c>
      <c r="O57" s="13" t="s">
        <v>1462</v>
      </c>
      <c r="P57" s="13" t="s">
        <v>2809</v>
      </c>
      <c r="Q57" s="13" t="s">
        <v>5870</v>
      </c>
      <c r="R57" s="13" t="s">
        <v>3170</v>
      </c>
      <c r="S57" s="13" t="s">
        <v>5278</v>
      </c>
      <c r="T57" s="13" t="s">
        <v>3174</v>
      </c>
      <c r="U57" s="14" t="s">
        <v>5473</v>
      </c>
      <c r="V57" s="14" t="s">
        <v>2821</v>
      </c>
      <c r="W57" s="14" t="s">
        <v>2865</v>
      </c>
      <c r="X57" s="14" t="s">
        <v>2823</v>
      </c>
      <c r="Y57" s="15">
        <v>1</v>
      </c>
      <c r="Z57" s="11">
        <v>384</v>
      </c>
      <c r="AA57" s="11">
        <v>109820.16</v>
      </c>
      <c r="AB57" s="16">
        <v>285.99</v>
      </c>
      <c r="AC57" s="17">
        <v>0.5808</v>
      </c>
      <c r="AD57" s="16">
        <v>76.98</v>
      </c>
      <c r="AE57" s="18">
        <v>4.5</v>
      </c>
      <c r="AF57" s="11">
        <v>1132</v>
      </c>
      <c r="AG57" s="19">
        <v>0.0625</v>
      </c>
      <c r="AH57" s="11">
        <v>24</v>
      </c>
      <c r="AI57" s="11">
        <v>139</v>
      </c>
      <c r="AJ57" s="9" t="s">
        <v>947</v>
      </c>
      <c r="AK57" s="9" t="s">
        <v>5871</v>
      </c>
      <c r="AL57" s="21">
        <v>1281</v>
      </c>
      <c r="AM57" s="21">
        <v>7</v>
      </c>
      <c r="AN57" s="21">
        <v>11</v>
      </c>
      <c r="AO57" s="10" t="s">
        <v>1515</v>
      </c>
      <c r="AP57" s="9" t="s">
        <v>65</v>
      </c>
      <c r="AQ57" s="10" t="s">
        <v>65</v>
      </c>
      <c r="AR57" s="9" t="s">
        <v>1516</v>
      </c>
      <c r="AS57" s="22" t="s">
        <v>5872</v>
      </c>
      <c r="AT57" s="22" t="s">
        <v>5873</v>
      </c>
    </row>
    <row r="58" ht="24" customHeight="1" spans="1:46">
      <c r="A58" s="9" t="str">
        <f>_xlfn.DISPIMG("ID_5F0EB52D11F749A681A96ACAF55DD3C9",1)</f>
        <v>=DISPIMG("ID_5F0EB52D11F749A681A96ACAF55DD3C9",1)</v>
      </c>
      <c r="B58" s="10" t="s">
        <v>5874</v>
      </c>
      <c r="C58" s="10" t="s">
        <v>5875</v>
      </c>
      <c r="D58" s="10" t="s">
        <v>5876</v>
      </c>
      <c r="E58" s="10" t="s">
        <v>5877</v>
      </c>
      <c r="F58" s="10" t="s">
        <v>5878</v>
      </c>
      <c r="G58" s="10" t="s">
        <v>5879</v>
      </c>
      <c r="H58" s="10" t="s">
        <v>5880</v>
      </c>
      <c r="I58" s="10" t="s">
        <v>5881</v>
      </c>
      <c r="J58" s="9" t="s">
        <v>934</v>
      </c>
      <c r="K58" s="10" t="s">
        <v>5275</v>
      </c>
      <c r="L58" s="10" t="s">
        <v>851</v>
      </c>
      <c r="M58" s="11">
        <v>26469</v>
      </c>
      <c r="N58" s="12" t="s">
        <v>5276</v>
      </c>
      <c r="O58" s="13" t="s">
        <v>1871</v>
      </c>
      <c r="P58" s="13" t="s">
        <v>2809</v>
      </c>
      <c r="Q58" s="13" t="s">
        <v>5882</v>
      </c>
      <c r="R58" s="13" t="s">
        <v>3170</v>
      </c>
      <c r="S58" s="13" t="s">
        <v>1003</v>
      </c>
      <c r="T58" s="13" t="s">
        <v>5883</v>
      </c>
      <c r="U58" s="14" t="s">
        <v>5620</v>
      </c>
      <c r="V58" s="14" t="s">
        <v>2831</v>
      </c>
      <c r="W58" s="14" t="s">
        <v>2865</v>
      </c>
      <c r="X58" s="14" t="s">
        <v>2823</v>
      </c>
      <c r="Y58" s="15">
        <v>1</v>
      </c>
      <c r="Z58" s="11">
        <v>1003</v>
      </c>
      <c r="AA58" s="11">
        <v>191573</v>
      </c>
      <c r="AB58" s="16">
        <v>191</v>
      </c>
      <c r="AC58" s="17">
        <v>0.5268</v>
      </c>
      <c r="AD58" s="16">
        <v>61.73</v>
      </c>
      <c r="AE58" s="18">
        <v>4.4</v>
      </c>
      <c r="AF58" s="11">
        <v>1325</v>
      </c>
      <c r="AG58" s="19">
        <v>0.0389</v>
      </c>
      <c r="AH58" s="11">
        <v>39</v>
      </c>
      <c r="AI58" s="11">
        <v>105</v>
      </c>
      <c r="AJ58" s="9" t="s">
        <v>876</v>
      </c>
      <c r="AK58" s="9" t="s">
        <v>5884</v>
      </c>
      <c r="AL58" s="21">
        <v>647</v>
      </c>
      <c r="AM58" s="21">
        <v>10</v>
      </c>
      <c r="AN58" s="21">
        <v>7</v>
      </c>
      <c r="AO58" s="10" t="s">
        <v>1515</v>
      </c>
      <c r="AP58" s="9" t="s">
        <v>65</v>
      </c>
      <c r="AQ58" s="10" t="s">
        <v>65</v>
      </c>
      <c r="AR58" s="9" t="s">
        <v>1516</v>
      </c>
      <c r="AS58" s="22" t="s">
        <v>5885</v>
      </c>
      <c r="AT58" s="22" t="s">
        <v>5886</v>
      </c>
    </row>
    <row r="59" ht="24" customHeight="1" spans="1:46">
      <c r="A59" s="9" t="str">
        <f>_xlfn.DISPIMG("ID_AB3A14E56A244E5C8FD85999F4A0DAB8",1)</f>
        <v>=DISPIMG("ID_AB3A14E56A244E5C8FD85999F4A0DAB8",1)</v>
      </c>
      <c r="B59" s="10" t="s">
        <v>5887</v>
      </c>
      <c r="C59" s="10" t="s">
        <v>5887</v>
      </c>
      <c r="D59" s="10" t="s">
        <v>65</v>
      </c>
      <c r="E59" s="10" t="s">
        <v>5888</v>
      </c>
      <c r="F59" s="10" t="s">
        <v>5889</v>
      </c>
      <c r="G59" s="10" t="s">
        <v>5890</v>
      </c>
      <c r="H59" s="10" t="s">
        <v>5891</v>
      </c>
      <c r="I59" s="10" t="s">
        <v>5892</v>
      </c>
      <c r="J59" s="9" t="s">
        <v>974</v>
      </c>
      <c r="K59" s="10" t="s">
        <v>5275</v>
      </c>
      <c r="L59" s="10" t="s">
        <v>851</v>
      </c>
      <c r="M59" s="11">
        <v>26522</v>
      </c>
      <c r="N59" s="12" t="s">
        <v>5276</v>
      </c>
      <c r="O59" s="13" t="s">
        <v>1674</v>
      </c>
      <c r="P59" s="13" t="s">
        <v>2986</v>
      </c>
      <c r="Q59" s="13" t="s">
        <v>5289</v>
      </c>
      <c r="R59" s="13" t="s">
        <v>3170</v>
      </c>
      <c r="S59" s="13" t="s">
        <v>5278</v>
      </c>
      <c r="T59" s="13" t="s">
        <v>3174</v>
      </c>
      <c r="U59" s="14" t="s">
        <v>6343</v>
      </c>
      <c r="V59" s="14" t="s">
        <v>2917</v>
      </c>
      <c r="W59" s="14" t="s">
        <v>5893</v>
      </c>
      <c r="X59" s="14" t="s">
        <v>2934</v>
      </c>
      <c r="Y59" s="15">
        <v>1</v>
      </c>
      <c r="Z59" s="11">
        <v>590</v>
      </c>
      <c r="AA59" s="11">
        <v>41282.3</v>
      </c>
      <c r="AB59" s="16">
        <v>69.97</v>
      </c>
      <c r="AC59" s="17">
        <v>0.6608</v>
      </c>
      <c r="AD59" s="16">
        <v>13.24</v>
      </c>
      <c r="AE59" s="18">
        <v>3</v>
      </c>
      <c r="AF59" s="11">
        <v>2</v>
      </c>
      <c r="AG59" s="19">
        <v>0.0017</v>
      </c>
      <c r="AH59" s="11">
        <v>1</v>
      </c>
      <c r="AI59" s="20"/>
      <c r="AJ59" s="9" t="s">
        <v>65</v>
      </c>
      <c r="AK59" s="9" t="s">
        <v>5894</v>
      </c>
      <c r="AL59" s="21">
        <v>40</v>
      </c>
      <c r="AM59" s="21">
        <v>1</v>
      </c>
      <c r="AN59" s="21">
        <v>1</v>
      </c>
      <c r="AO59" s="10" t="s">
        <v>5895</v>
      </c>
      <c r="AP59" s="9" t="s">
        <v>1288</v>
      </c>
      <c r="AQ59" s="10" t="s">
        <v>5896</v>
      </c>
      <c r="AR59" s="9" t="s">
        <v>2728</v>
      </c>
      <c r="AS59" s="22" t="s">
        <v>5897</v>
      </c>
      <c r="AT59" s="22" t="s">
        <v>5898</v>
      </c>
    </row>
    <row r="60" ht="24" customHeight="1" spans="1:46">
      <c r="A60" s="9" t="str">
        <f>_xlfn.DISPIMG("ID_3359035A0EB4486C8E0C99C324D9369E",1)</f>
        <v>=DISPIMG("ID_3359035A0EB4486C8E0C99C324D9369E",1)</v>
      </c>
      <c r="B60" s="10" t="s">
        <v>5899</v>
      </c>
      <c r="C60" s="10" t="s">
        <v>5900</v>
      </c>
      <c r="D60" s="10" t="s">
        <v>3196</v>
      </c>
      <c r="E60" s="10" t="s">
        <v>5901</v>
      </c>
      <c r="F60" s="10" t="s">
        <v>5902</v>
      </c>
      <c r="G60" s="10" t="s">
        <v>5789</v>
      </c>
      <c r="H60" s="10" t="s">
        <v>5903</v>
      </c>
      <c r="I60" s="10" t="s">
        <v>5904</v>
      </c>
      <c r="J60" s="9" t="s">
        <v>974</v>
      </c>
      <c r="K60" s="10" t="s">
        <v>5845</v>
      </c>
      <c r="L60" s="10" t="s">
        <v>851</v>
      </c>
      <c r="M60" s="11">
        <v>27331</v>
      </c>
      <c r="N60" s="12" t="s">
        <v>5276</v>
      </c>
      <c r="O60" s="13" t="s">
        <v>1472</v>
      </c>
      <c r="P60" s="13" t="s">
        <v>2809</v>
      </c>
      <c r="Q60" s="13" t="s">
        <v>5289</v>
      </c>
      <c r="R60" s="13" t="s">
        <v>3170</v>
      </c>
      <c r="S60" s="13" t="s">
        <v>5278</v>
      </c>
      <c r="T60" s="13" t="s">
        <v>5371</v>
      </c>
      <c r="U60" s="14" t="s">
        <v>6343</v>
      </c>
      <c r="V60" s="14" t="s">
        <v>2867</v>
      </c>
      <c r="W60" s="14" t="s">
        <v>2865</v>
      </c>
      <c r="X60" s="14" t="s">
        <v>2940</v>
      </c>
      <c r="Y60" s="15">
        <v>1</v>
      </c>
      <c r="Z60" s="11">
        <v>907</v>
      </c>
      <c r="AA60" s="11">
        <v>63480.93</v>
      </c>
      <c r="AB60" s="16">
        <v>69.99</v>
      </c>
      <c r="AC60" s="17">
        <v>0.6423</v>
      </c>
      <c r="AD60" s="16">
        <v>14.54</v>
      </c>
      <c r="AE60" s="18">
        <v>4.3</v>
      </c>
      <c r="AF60" s="11">
        <v>231</v>
      </c>
      <c r="AG60" s="19">
        <v>0.0143</v>
      </c>
      <c r="AH60" s="11">
        <v>13</v>
      </c>
      <c r="AI60" s="11">
        <v>3</v>
      </c>
      <c r="AJ60" s="9" t="s">
        <v>947</v>
      </c>
      <c r="AK60" s="9" t="s">
        <v>5905</v>
      </c>
      <c r="AL60" s="21">
        <v>446</v>
      </c>
      <c r="AM60" s="21">
        <v>3</v>
      </c>
      <c r="AN60" s="21">
        <v>2</v>
      </c>
      <c r="AO60" s="10" t="s">
        <v>5906</v>
      </c>
      <c r="AP60" s="9" t="s">
        <v>1288</v>
      </c>
      <c r="AQ60" s="10" t="s">
        <v>5907</v>
      </c>
      <c r="AR60" s="9" t="s">
        <v>997</v>
      </c>
      <c r="AS60" s="22" t="s">
        <v>4234</v>
      </c>
      <c r="AT60" s="22" t="s">
        <v>5796</v>
      </c>
    </row>
    <row r="61" ht="24" customHeight="1" spans="1:46">
      <c r="A61" s="9" t="str">
        <f>_xlfn.DISPIMG("ID_B6F6933EE62E4A53A886A471662C86DA",1)</f>
        <v>=DISPIMG("ID_B6F6933EE62E4A53A886A471662C86DA",1)</v>
      </c>
      <c r="B61" s="10" t="s">
        <v>5908</v>
      </c>
      <c r="C61" s="10" t="s">
        <v>5909</v>
      </c>
      <c r="D61" s="10" t="s">
        <v>3196</v>
      </c>
      <c r="E61" s="10" t="s">
        <v>5910</v>
      </c>
      <c r="F61" s="10" t="s">
        <v>5911</v>
      </c>
      <c r="G61" s="10" t="s">
        <v>5912</v>
      </c>
      <c r="H61" s="10" t="s">
        <v>5913</v>
      </c>
      <c r="I61" s="10" t="s">
        <v>5914</v>
      </c>
      <c r="J61" s="9" t="s">
        <v>974</v>
      </c>
      <c r="K61" s="10" t="s">
        <v>5915</v>
      </c>
      <c r="L61" s="10" t="s">
        <v>851</v>
      </c>
      <c r="M61" s="11">
        <v>30006</v>
      </c>
      <c r="N61" s="12" t="s">
        <v>5276</v>
      </c>
      <c r="O61" s="13" t="s">
        <v>1553</v>
      </c>
      <c r="P61" s="13" t="s">
        <v>2809</v>
      </c>
      <c r="Q61" s="13" t="s">
        <v>5631</v>
      </c>
      <c r="R61" s="13" t="s">
        <v>3170</v>
      </c>
      <c r="S61" s="13" t="s">
        <v>1003</v>
      </c>
      <c r="T61" s="13" t="s">
        <v>5359</v>
      </c>
      <c r="U61" s="14" t="s">
        <v>5713</v>
      </c>
      <c r="V61" s="14" t="s">
        <v>2883</v>
      </c>
      <c r="W61" s="14" t="s">
        <v>2865</v>
      </c>
      <c r="X61" s="14" t="s">
        <v>2979</v>
      </c>
      <c r="Y61" s="15">
        <v>1</v>
      </c>
      <c r="Z61" s="11">
        <v>55</v>
      </c>
      <c r="AA61" s="11">
        <v>5499.4497</v>
      </c>
      <c r="AB61" s="16">
        <v>99.99</v>
      </c>
      <c r="AC61" s="17">
        <v>0.5656</v>
      </c>
      <c r="AD61" s="16">
        <v>28.44</v>
      </c>
      <c r="AE61" s="18">
        <v>4.5</v>
      </c>
      <c r="AF61" s="11">
        <v>95</v>
      </c>
      <c r="AG61" s="19">
        <v>0.2</v>
      </c>
      <c r="AH61" s="11">
        <v>11</v>
      </c>
      <c r="AI61" s="11">
        <v>13</v>
      </c>
      <c r="AJ61" s="9" t="s">
        <v>947</v>
      </c>
      <c r="AK61" s="9" t="s">
        <v>5916</v>
      </c>
      <c r="AL61" s="21">
        <v>248</v>
      </c>
      <c r="AM61" s="21">
        <v>1</v>
      </c>
      <c r="AN61" s="21">
        <v>1</v>
      </c>
      <c r="AO61" s="10" t="s">
        <v>5917</v>
      </c>
      <c r="AP61" s="9" t="s">
        <v>1288</v>
      </c>
      <c r="AQ61" s="10" t="s">
        <v>5918</v>
      </c>
      <c r="AR61" s="9" t="s">
        <v>2728</v>
      </c>
      <c r="AS61" s="22" t="s">
        <v>5919</v>
      </c>
      <c r="AT61" s="22" t="s">
        <v>5920</v>
      </c>
    </row>
    <row r="62" ht="24" customHeight="1" spans="1:46">
      <c r="A62" s="9" t="str">
        <f>_xlfn.DISPIMG("ID_A3DDCA6D77094E39B18E031C5634CB19",1)</f>
        <v>=DISPIMG("ID_A3DDCA6D77094E39B18E031C5634CB19",1)</v>
      </c>
      <c r="B62" s="10" t="s">
        <v>5921</v>
      </c>
      <c r="C62" s="10" t="s">
        <v>5922</v>
      </c>
      <c r="D62" s="10" t="s">
        <v>2250</v>
      </c>
      <c r="E62" s="10" t="s">
        <v>5923</v>
      </c>
      <c r="F62" s="10" t="s">
        <v>5924</v>
      </c>
      <c r="G62" s="10" t="s">
        <v>5925</v>
      </c>
      <c r="H62" s="10" t="s">
        <v>5926</v>
      </c>
      <c r="I62" s="10" t="s">
        <v>5927</v>
      </c>
      <c r="J62" s="9" t="s">
        <v>934</v>
      </c>
      <c r="K62" s="10" t="s">
        <v>5275</v>
      </c>
      <c r="L62" s="10" t="s">
        <v>851</v>
      </c>
      <c r="M62" s="11">
        <v>31157</v>
      </c>
      <c r="N62" s="12" t="s">
        <v>5276</v>
      </c>
      <c r="O62" s="13" t="s">
        <v>5928</v>
      </c>
      <c r="P62" s="13" t="s">
        <v>2852</v>
      </c>
      <c r="Q62" s="13" t="s">
        <v>5619</v>
      </c>
      <c r="R62" s="13" t="s">
        <v>3170</v>
      </c>
      <c r="S62" s="13" t="s">
        <v>1003</v>
      </c>
      <c r="T62" s="13" t="s">
        <v>3174</v>
      </c>
      <c r="U62" s="14" t="s">
        <v>5929</v>
      </c>
      <c r="V62" s="14" t="s">
        <v>2831</v>
      </c>
      <c r="W62" s="14" t="s">
        <v>2865</v>
      </c>
      <c r="X62" s="14" t="s">
        <v>2940</v>
      </c>
      <c r="Y62" s="15">
        <v>1</v>
      </c>
      <c r="Z62" s="11">
        <v>409</v>
      </c>
      <c r="AA62" s="11">
        <v>85885.914</v>
      </c>
      <c r="AB62" s="16">
        <v>209.99</v>
      </c>
      <c r="AC62" s="17">
        <v>0.85</v>
      </c>
      <c r="AD62" s="27"/>
      <c r="AE62" s="18">
        <v>4.3</v>
      </c>
      <c r="AF62" s="11">
        <v>299</v>
      </c>
      <c r="AG62" s="19">
        <v>0.0513</v>
      </c>
      <c r="AH62" s="11">
        <v>21</v>
      </c>
      <c r="AI62" s="11">
        <v>58</v>
      </c>
      <c r="AJ62" s="9" t="s">
        <v>876</v>
      </c>
      <c r="AK62" s="9" t="s">
        <v>5449</v>
      </c>
      <c r="AL62" s="21">
        <v>673</v>
      </c>
      <c r="AM62" s="21">
        <v>2</v>
      </c>
      <c r="AN62" s="21">
        <v>1</v>
      </c>
      <c r="AO62" s="10" t="s">
        <v>5930</v>
      </c>
      <c r="AP62" s="9" t="s">
        <v>65</v>
      </c>
      <c r="AQ62" s="10" t="s">
        <v>65</v>
      </c>
      <c r="AR62" s="9" t="s">
        <v>2728</v>
      </c>
      <c r="AS62" s="28"/>
      <c r="AT62" s="22" t="s">
        <v>5931</v>
      </c>
    </row>
    <row r="63" ht="24" customHeight="1" spans="1:46">
      <c r="A63" s="9" t="str">
        <f>_xlfn.DISPIMG("ID_EF65D598EDAF4C17857943433C0BF136",1)</f>
        <v>=DISPIMG("ID_EF65D598EDAF4C17857943433C0BF136",1)</v>
      </c>
      <c r="B63" s="10" t="s">
        <v>5932</v>
      </c>
      <c r="C63" s="10" t="s">
        <v>5933</v>
      </c>
      <c r="D63" s="10" t="s">
        <v>5269</v>
      </c>
      <c r="E63" s="10" t="s">
        <v>5934</v>
      </c>
      <c r="F63" s="10" t="s">
        <v>5935</v>
      </c>
      <c r="G63" s="10" t="s">
        <v>5604</v>
      </c>
      <c r="H63" s="10" t="s">
        <v>5936</v>
      </c>
      <c r="I63" s="10" t="s">
        <v>5937</v>
      </c>
      <c r="J63" s="9" t="s">
        <v>1634</v>
      </c>
      <c r="K63" s="10" t="s">
        <v>5275</v>
      </c>
      <c r="L63" s="10" t="s">
        <v>5607</v>
      </c>
      <c r="M63" s="11">
        <v>8173</v>
      </c>
      <c r="N63" s="12" t="s">
        <v>5276</v>
      </c>
      <c r="O63" s="13" t="s">
        <v>3980</v>
      </c>
      <c r="P63" s="13" t="s">
        <v>2986</v>
      </c>
      <c r="Q63" s="13" t="s">
        <v>5289</v>
      </c>
      <c r="R63" s="13" t="s">
        <v>5438</v>
      </c>
      <c r="S63" s="13" t="s">
        <v>1003</v>
      </c>
      <c r="T63" s="13" t="s">
        <v>3174</v>
      </c>
      <c r="U63" s="14" t="s">
        <v>6343</v>
      </c>
      <c r="V63" s="14" t="s">
        <v>2917</v>
      </c>
      <c r="W63" s="14" t="s">
        <v>2930</v>
      </c>
      <c r="X63" s="14" t="s">
        <v>2979</v>
      </c>
      <c r="Y63" s="15">
        <v>1</v>
      </c>
      <c r="Z63" s="11">
        <v>5138</v>
      </c>
      <c r="AA63" s="11">
        <v>322666.4</v>
      </c>
      <c r="AB63" s="16">
        <v>62.5</v>
      </c>
      <c r="AC63" s="17">
        <v>0.6266</v>
      </c>
      <c r="AD63" s="16">
        <v>14.03</v>
      </c>
      <c r="AE63" s="18">
        <v>4.1</v>
      </c>
      <c r="AF63" s="11">
        <v>90</v>
      </c>
      <c r="AG63" s="19">
        <v>0.0035</v>
      </c>
      <c r="AH63" s="11">
        <v>18</v>
      </c>
      <c r="AI63" s="11">
        <v>6</v>
      </c>
      <c r="AJ63" s="9" t="s">
        <v>1267</v>
      </c>
      <c r="AK63" s="9" t="s">
        <v>3671</v>
      </c>
      <c r="AL63" s="21">
        <v>155</v>
      </c>
      <c r="AM63" s="21">
        <v>3</v>
      </c>
      <c r="AN63" s="21">
        <v>8</v>
      </c>
      <c r="AO63" s="10" t="s">
        <v>1515</v>
      </c>
      <c r="AP63" s="9" t="s">
        <v>65</v>
      </c>
      <c r="AQ63" s="10" t="s">
        <v>65</v>
      </c>
      <c r="AR63" s="9" t="s">
        <v>1516</v>
      </c>
      <c r="AS63" s="22" t="s">
        <v>5938</v>
      </c>
      <c r="AT63" s="22" t="s">
        <v>5939</v>
      </c>
    </row>
    <row r="64" ht="24" customHeight="1" spans="1:46">
      <c r="A64" s="9" t="str">
        <f>_xlfn.DISPIMG("ID_11FD34BFC63147058C904E2FB9871FEF",1)</f>
        <v>=DISPIMG("ID_11FD34BFC63147058C904E2FB9871FEF",1)</v>
      </c>
      <c r="B64" s="10" t="s">
        <v>5940</v>
      </c>
      <c r="C64" s="10" t="s">
        <v>5940</v>
      </c>
      <c r="D64" s="10" t="s">
        <v>65</v>
      </c>
      <c r="E64" s="10" t="s">
        <v>5941</v>
      </c>
      <c r="F64" s="10" t="s">
        <v>5942</v>
      </c>
      <c r="G64" s="10" t="s">
        <v>5943</v>
      </c>
      <c r="H64" s="10" t="s">
        <v>5944</v>
      </c>
      <c r="I64" s="10" t="s">
        <v>5945</v>
      </c>
      <c r="J64" s="9" t="s">
        <v>65</v>
      </c>
      <c r="K64" s="10" t="s">
        <v>5275</v>
      </c>
      <c r="L64" s="10" t="s">
        <v>851</v>
      </c>
      <c r="M64" s="11">
        <v>32138</v>
      </c>
      <c r="N64" s="12" t="s">
        <v>5276</v>
      </c>
      <c r="O64" s="13" t="s">
        <v>1578</v>
      </c>
      <c r="P64" s="13" t="s">
        <v>2852</v>
      </c>
      <c r="Q64" s="13" t="s">
        <v>5277</v>
      </c>
      <c r="R64" s="13" t="s">
        <v>3170</v>
      </c>
      <c r="S64" s="13" t="s">
        <v>5278</v>
      </c>
      <c r="T64" s="13" t="s">
        <v>2896</v>
      </c>
      <c r="U64" s="14" t="s">
        <v>6341</v>
      </c>
      <c r="V64" s="14" t="s">
        <v>2917</v>
      </c>
      <c r="W64" s="14" t="s">
        <v>2822</v>
      </c>
      <c r="X64" s="14" t="s">
        <v>2979</v>
      </c>
      <c r="Y64" s="15">
        <v>1</v>
      </c>
      <c r="Z64" s="11">
        <v>72</v>
      </c>
      <c r="AA64" s="11">
        <v>3599.28</v>
      </c>
      <c r="AB64" s="16">
        <v>49.99</v>
      </c>
      <c r="AC64" s="17">
        <v>0.6982</v>
      </c>
      <c r="AD64" s="16">
        <v>7.59</v>
      </c>
      <c r="AE64" s="29"/>
      <c r="AF64" s="20"/>
      <c r="AG64" s="19">
        <v>0</v>
      </c>
      <c r="AH64" s="20"/>
      <c r="AI64" s="20"/>
      <c r="AJ64" s="9" t="s">
        <v>65</v>
      </c>
      <c r="AK64" s="9" t="s">
        <v>5946</v>
      </c>
      <c r="AL64" s="21">
        <v>15</v>
      </c>
      <c r="AM64" s="21">
        <v>1</v>
      </c>
      <c r="AN64" s="21">
        <v>1</v>
      </c>
      <c r="AO64" s="10" t="s">
        <v>1515</v>
      </c>
      <c r="AP64" s="9" t="s">
        <v>65</v>
      </c>
      <c r="AQ64" s="10" t="s">
        <v>65</v>
      </c>
      <c r="AR64" s="9" t="s">
        <v>1516</v>
      </c>
      <c r="AS64" s="22" t="s">
        <v>5361</v>
      </c>
      <c r="AT64" s="22" t="s">
        <v>5947</v>
      </c>
    </row>
    <row r="65" ht="24" customHeight="1" spans="1:46">
      <c r="A65" s="9" t="str">
        <f>_xlfn.DISPIMG("ID_9DF9CEB498FB418992E800BFCF5AD6D3",1)</f>
        <v>=DISPIMG("ID_9DF9CEB498FB418992E800BFCF5AD6D3",1)</v>
      </c>
      <c r="B65" s="10" t="s">
        <v>5948</v>
      </c>
      <c r="C65" s="10" t="s">
        <v>5949</v>
      </c>
      <c r="D65" s="10" t="s">
        <v>5950</v>
      </c>
      <c r="E65" s="10" t="s">
        <v>5951</v>
      </c>
      <c r="F65" s="10" t="s">
        <v>5952</v>
      </c>
      <c r="G65" s="10" t="s">
        <v>5319</v>
      </c>
      <c r="H65" s="10" t="s">
        <v>5953</v>
      </c>
      <c r="I65" s="10" t="s">
        <v>5954</v>
      </c>
      <c r="J65" s="9" t="s">
        <v>934</v>
      </c>
      <c r="K65" s="10" t="s">
        <v>5275</v>
      </c>
      <c r="L65" s="10" t="s">
        <v>5300</v>
      </c>
      <c r="M65" s="11">
        <v>13598</v>
      </c>
      <c r="N65" s="12" t="s">
        <v>5322</v>
      </c>
      <c r="O65" s="13" t="s">
        <v>5955</v>
      </c>
      <c r="P65" s="13" t="s">
        <v>2809</v>
      </c>
      <c r="Q65" s="13" t="s">
        <v>5336</v>
      </c>
      <c r="R65" s="13" t="s">
        <v>3170</v>
      </c>
      <c r="S65" s="13" t="s">
        <v>5278</v>
      </c>
      <c r="T65" s="13" t="s">
        <v>3174</v>
      </c>
      <c r="U65" s="14" t="s">
        <v>5713</v>
      </c>
      <c r="V65" s="14" t="s">
        <v>2831</v>
      </c>
      <c r="W65" s="14" t="s">
        <v>2930</v>
      </c>
      <c r="X65" s="14" t="s">
        <v>2823</v>
      </c>
      <c r="Y65" s="15">
        <v>1</v>
      </c>
      <c r="Z65" s="11">
        <v>423</v>
      </c>
      <c r="AA65" s="11">
        <v>35950.77</v>
      </c>
      <c r="AB65" s="16">
        <v>84.99</v>
      </c>
      <c r="AC65" s="17">
        <v>0.638</v>
      </c>
      <c r="AD65" s="16">
        <v>18.02</v>
      </c>
      <c r="AE65" s="18">
        <v>4.1</v>
      </c>
      <c r="AF65" s="11">
        <v>1183</v>
      </c>
      <c r="AG65" s="19">
        <v>0</v>
      </c>
      <c r="AH65" s="11">
        <v>0</v>
      </c>
      <c r="AI65" s="11">
        <v>45</v>
      </c>
      <c r="AJ65" s="9" t="s">
        <v>876</v>
      </c>
      <c r="AK65" s="9" t="s">
        <v>5956</v>
      </c>
      <c r="AL65" s="21">
        <v>651</v>
      </c>
      <c r="AM65" s="21">
        <v>2</v>
      </c>
      <c r="AN65" s="21">
        <v>2</v>
      </c>
      <c r="AO65" s="10" t="s">
        <v>5325</v>
      </c>
      <c r="AP65" s="9" t="s">
        <v>1110</v>
      </c>
      <c r="AQ65" s="10" t="s">
        <v>5326</v>
      </c>
      <c r="AR65" s="9" t="s">
        <v>997</v>
      </c>
      <c r="AS65" s="22" t="s">
        <v>5957</v>
      </c>
      <c r="AT65" s="22" t="s">
        <v>5958</v>
      </c>
    </row>
    <row r="66" ht="24" customHeight="1" spans="1:46">
      <c r="A66" s="9" t="str">
        <f>_xlfn.DISPIMG("ID_F8BE4921899840688F15C3F81A5DF87E",1)</f>
        <v>=DISPIMG("ID_F8BE4921899840688F15C3F81A5DF87E",1)</v>
      </c>
      <c r="B66" s="10" t="s">
        <v>5959</v>
      </c>
      <c r="C66" s="10" t="s">
        <v>5960</v>
      </c>
      <c r="D66" s="10" t="s">
        <v>5961</v>
      </c>
      <c r="E66" s="10" t="s">
        <v>5962</v>
      </c>
      <c r="F66" s="10" t="s">
        <v>5963</v>
      </c>
      <c r="G66" s="10" t="s">
        <v>5964</v>
      </c>
      <c r="H66" s="10" t="s">
        <v>5965</v>
      </c>
      <c r="I66" s="10" t="s">
        <v>5966</v>
      </c>
      <c r="J66" s="9" t="s">
        <v>934</v>
      </c>
      <c r="K66" s="10" t="s">
        <v>5275</v>
      </c>
      <c r="L66" s="10" t="s">
        <v>5846</v>
      </c>
      <c r="M66" s="11">
        <v>2851</v>
      </c>
      <c r="N66" s="12" t="s">
        <v>5967</v>
      </c>
      <c r="O66" s="13" t="s">
        <v>5968</v>
      </c>
      <c r="P66" s="13" t="s">
        <v>3005</v>
      </c>
      <c r="Q66" s="13" t="s">
        <v>5336</v>
      </c>
      <c r="R66" s="13" t="s">
        <v>3170</v>
      </c>
      <c r="S66" s="13" t="s">
        <v>5278</v>
      </c>
      <c r="T66" s="13" t="s">
        <v>3174</v>
      </c>
      <c r="U66" s="14" t="s">
        <v>6343</v>
      </c>
      <c r="V66" s="14" t="s">
        <v>2821</v>
      </c>
      <c r="W66" s="14" t="s">
        <v>2865</v>
      </c>
      <c r="X66" s="14" t="s">
        <v>2911</v>
      </c>
      <c r="Y66" s="15">
        <v>1</v>
      </c>
      <c r="Z66" s="24">
        <v>273</v>
      </c>
      <c r="AA66" s="24">
        <f>Z66*AB66</f>
        <v>21826.35</v>
      </c>
      <c r="AB66" s="25">
        <v>79.95</v>
      </c>
      <c r="AC66" s="17">
        <v>0</v>
      </c>
      <c r="AD66" s="27"/>
      <c r="AE66" s="18">
        <v>4.3</v>
      </c>
      <c r="AF66" s="11">
        <v>705</v>
      </c>
      <c r="AG66" s="19">
        <v>0</v>
      </c>
      <c r="AH66" s="11">
        <v>2</v>
      </c>
      <c r="AI66" s="11">
        <v>43</v>
      </c>
      <c r="AJ66" s="9" t="s">
        <v>947</v>
      </c>
      <c r="AK66" s="9" t="s">
        <v>5969</v>
      </c>
      <c r="AL66" s="21">
        <v>1282</v>
      </c>
      <c r="AM66" s="21">
        <v>2</v>
      </c>
      <c r="AN66" s="21">
        <v>2</v>
      </c>
      <c r="AO66" s="10" t="s">
        <v>5970</v>
      </c>
      <c r="AP66" s="9" t="s">
        <v>65</v>
      </c>
      <c r="AQ66" s="10" t="s">
        <v>65</v>
      </c>
      <c r="AR66" s="9" t="s">
        <v>997</v>
      </c>
      <c r="AS66" s="22" t="s">
        <v>5971</v>
      </c>
      <c r="AT66" s="22" t="s">
        <v>5972</v>
      </c>
    </row>
    <row r="67" ht="24" customHeight="1" spans="1:46">
      <c r="A67" s="9" t="str">
        <f>_xlfn.DISPIMG("ID_17677B52920E4B909A41A0EFEB078404",1)</f>
        <v>=DISPIMG("ID_17677B52920E4B909A41A0EFEB078404",1)</v>
      </c>
      <c r="B67" s="10" t="s">
        <v>5973</v>
      </c>
      <c r="C67" s="10" t="s">
        <v>5974</v>
      </c>
      <c r="D67" s="10" t="s">
        <v>3196</v>
      </c>
      <c r="E67" s="10" t="s">
        <v>5975</v>
      </c>
      <c r="F67" s="10" t="s">
        <v>5976</v>
      </c>
      <c r="G67" s="10" t="s">
        <v>5977</v>
      </c>
      <c r="H67" s="10" t="s">
        <v>5978</v>
      </c>
      <c r="I67" s="10" t="s">
        <v>5979</v>
      </c>
      <c r="J67" s="9" t="s">
        <v>974</v>
      </c>
      <c r="K67" s="10" t="s">
        <v>5275</v>
      </c>
      <c r="L67" s="10" t="s">
        <v>851</v>
      </c>
      <c r="M67" s="11">
        <v>33732</v>
      </c>
      <c r="N67" s="12" t="s">
        <v>5276</v>
      </c>
      <c r="O67" s="13" t="s">
        <v>1524</v>
      </c>
      <c r="P67" s="13" t="s">
        <v>2809</v>
      </c>
      <c r="Q67" s="13" t="s">
        <v>5336</v>
      </c>
      <c r="R67" s="13" t="s">
        <v>3170</v>
      </c>
      <c r="S67" s="13" t="s">
        <v>5278</v>
      </c>
      <c r="T67" s="13" t="s">
        <v>3174</v>
      </c>
      <c r="U67" s="14" t="s">
        <v>6341</v>
      </c>
      <c r="V67" s="14" t="s">
        <v>2900</v>
      </c>
      <c r="W67" s="14" t="s">
        <v>2993</v>
      </c>
      <c r="X67" s="14" t="s">
        <v>2884</v>
      </c>
      <c r="Y67" s="15">
        <v>1</v>
      </c>
      <c r="Z67" s="11">
        <v>408</v>
      </c>
      <c r="AA67" s="11">
        <v>22027.92</v>
      </c>
      <c r="AB67" s="16">
        <v>53.99</v>
      </c>
      <c r="AC67" s="17">
        <v>0.531</v>
      </c>
      <c r="AD67" s="16">
        <v>17.22</v>
      </c>
      <c r="AE67" s="18">
        <v>4</v>
      </c>
      <c r="AF67" s="11">
        <v>439</v>
      </c>
      <c r="AG67" s="19">
        <v>0.0466</v>
      </c>
      <c r="AH67" s="11">
        <v>19</v>
      </c>
      <c r="AI67" s="11">
        <v>11</v>
      </c>
      <c r="AJ67" s="9" t="s">
        <v>947</v>
      </c>
      <c r="AK67" s="9" t="s">
        <v>5980</v>
      </c>
      <c r="AL67" s="21">
        <v>732</v>
      </c>
      <c r="AM67" s="21">
        <v>3</v>
      </c>
      <c r="AN67" s="21">
        <v>12</v>
      </c>
      <c r="AO67" s="10" t="s">
        <v>1515</v>
      </c>
      <c r="AP67" s="9" t="s">
        <v>65</v>
      </c>
      <c r="AQ67" s="10" t="s">
        <v>65</v>
      </c>
      <c r="AR67" s="9" t="s">
        <v>1516</v>
      </c>
      <c r="AS67" s="22" t="s">
        <v>5981</v>
      </c>
      <c r="AT67" s="22" t="s">
        <v>5982</v>
      </c>
    </row>
    <row r="68" ht="24" customHeight="1" spans="1:46">
      <c r="A68" s="9" t="str">
        <f>_xlfn.DISPIMG("ID_13A80C1178744CF29D918BDB01BA63E7",1)</f>
        <v>=DISPIMG("ID_13A80C1178744CF29D918BDB01BA63E7",1)</v>
      </c>
      <c r="B68" s="10" t="s">
        <v>5983</v>
      </c>
      <c r="C68" s="10" t="s">
        <v>5984</v>
      </c>
      <c r="D68" s="10" t="s">
        <v>5985</v>
      </c>
      <c r="E68" s="10" t="s">
        <v>5986</v>
      </c>
      <c r="F68" s="10" t="s">
        <v>5987</v>
      </c>
      <c r="G68" s="10" t="s">
        <v>3854</v>
      </c>
      <c r="H68" s="10" t="s">
        <v>5988</v>
      </c>
      <c r="I68" s="10" t="s">
        <v>5989</v>
      </c>
      <c r="J68" s="9" t="s">
        <v>934</v>
      </c>
      <c r="K68" s="10" t="s">
        <v>5275</v>
      </c>
      <c r="L68" s="10" t="s">
        <v>851</v>
      </c>
      <c r="M68" s="11">
        <v>35392</v>
      </c>
      <c r="N68" s="12" t="s">
        <v>5276</v>
      </c>
      <c r="O68" s="13" t="s">
        <v>1491</v>
      </c>
      <c r="P68" s="13" t="s">
        <v>2809</v>
      </c>
      <c r="Q68" s="13" t="s">
        <v>5619</v>
      </c>
      <c r="R68" s="13" t="s">
        <v>3170</v>
      </c>
      <c r="S68" s="13" t="s">
        <v>1003</v>
      </c>
      <c r="T68" s="13" t="s">
        <v>3174</v>
      </c>
      <c r="U68" s="14" t="s">
        <v>5383</v>
      </c>
      <c r="V68" s="14" t="s">
        <v>2821</v>
      </c>
      <c r="W68" s="14" t="s">
        <v>2865</v>
      </c>
      <c r="X68" s="14" t="s">
        <v>2823</v>
      </c>
      <c r="Y68" s="15">
        <v>1</v>
      </c>
      <c r="Z68" s="11">
        <v>335</v>
      </c>
      <c r="AA68" s="11">
        <v>56615</v>
      </c>
      <c r="AB68" s="16">
        <v>169</v>
      </c>
      <c r="AC68" s="17">
        <v>0.5039</v>
      </c>
      <c r="AD68" s="16">
        <v>58.5</v>
      </c>
      <c r="AE68" s="18">
        <v>4.3</v>
      </c>
      <c r="AF68" s="11">
        <v>1368</v>
      </c>
      <c r="AG68" s="19">
        <v>0.0806</v>
      </c>
      <c r="AH68" s="11">
        <v>27</v>
      </c>
      <c r="AI68" s="11">
        <v>74</v>
      </c>
      <c r="AJ68" s="9" t="s">
        <v>947</v>
      </c>
      <c r="AK68" s="9" t="s">
        <v>5990</v>
      </c>
      <c r="AL68" s="21">
        <v>1417</v>
      </c>
      <c r="AM68" s="21">
        <v>6</v>
      </c>
      <c r="AN68" s="21">
        <v>8</v>
      </c>
      <c r="AO68" s="10" t="s">
        <v>1515</v>
      </c>
      <c r="AP68" s="9" t="s">
        <v>65</v>
      </c>
      <c r="AQ68" s="10" t="s">
        <v>65</v>
      </c>
      <c r="AR68" s="9" t="s">
        <v>1516</v>
      </c>
      <c r="AS68" s="22" t="s">
        <v>5991</v>
      </c>
      <c r="AT68" s="22" t="s">
        <v>5992</v>
      </c>
    </row>
    <row r="69" ht="24" customHeight="1" spans="1:46">
      <c r="A69" s="9" t="str">
        <f>_xlfn.DISPIMG("ID_CFBCF60568A54DB0BB543CEC31D52218",1)</f>
        <v>=DISPIMG("ID_CFBCF60568A54DB0BB543CEC31D52218",1)</v>
      </c>
      <c r="B69" s="10" t="s">
        <v>5993</v>
      </c>
      <c r="C69" s="10" t="s">
        <v>5994</v>
      </c>
      <c r="D69" s="10" t="s">
        <v>2250</v>
      </c>
      <c r="E69" s="10" t="s">
        <v>5995</v>
      </c>
      <c r="F69" s="10" t="s">
        <v>5996</v>
      </c>
      <c r="G69" s="10" t="s">
        <v>1511</v>
      </c>
      <c r="H69" s="10" t="s">
        <v>5997</v>
      </c>
      <c r="I69" s="10" t="s">
        <v>5998</v>
      </c>
      <c r="J69" s="9" t="s">
        <v>934</v>
      </c>
      <c r="K69" s="10" t="s">
        <v>5275</v>
      </c>
      <c r="L69" s="10" t="s">
        <v>851</v>
      </c>
      <c r="M69" s="11">
        <v>35596</v>
      </c>
      <c r="N69" s="12" t="s">
        <v>5276</v>
      </c>
      <c r="O69" s="13" t="s">
        <v>1682</v>
      </c>
      <c r="P69" s="13" t="s">
        <v>2852</v>
      </c>
      <c r="Q69" s="13" t="s">
        <v>5882</v>
      </c>
      <c r="R69" s="13" t="s">
        <v>3170</v>
      </c>
      <c r="S69" s="13" t="s">
        <v>1003</v>
      </c>
      <c r="T69" s="13" t="s">
        <v>3174</v>
      </c>
      <c r="U69" s="14" t="s">
        <v>5620</v>
      </c>
      <c r="V69" s="14" t="s">
        <v>2867</v>
      </c>
      <c r="W69" s="14" t="s">
        <v>2865</v>
      </c>
      <c r="X69" s="14" t="s">
        <v>2979</v>
      </c>
      <c r="Y69" s="15">
        <v>1</v>
      </c>
      <c r="Z69" s="11">
        <v>325</v>
      </c>
      <c r="AA69" s="11">
        <v>64675</v>
      </c>
      <c r="AB69" s="16">
        <v>199</v>
      </c>
      <c r="AC69" s="17">
        <v>0.5236</v>
      </c>
      <c r="AD69" s="16">
        <v>64.96</v>
      </c>
      <c r="AE69" s="18">
        <v>4.5</v>
      </c>
      <c r="AF69" s="11">
        <v>75</v>
      </c>
      <c r="AG69" s="19">
        <v>0.0215</v>
      </c>
      <c r="AH69" s="11">
        <v>7</v>
      </c>
      <c r="AI69" s="11">
        <v>7</v>
      </c>
      <c r="AJ69" s="9" t="s">
        <v>854</v>
      </c>
      <c r="AK69" s="9" t="s">
        <v>5999</v>
      </c>
      <c r="AL69" s="21">
        <v>467</v>
      </c>
      <c r="AM69" s="21">
        <v>1</v>
      </c>
      <c r="AN69" s="21">
        <v>1</v>
      </c>
      <c r="AO69" s="10" t="s">
        <v>867</v>
      </c>
      <c r="AP69" s="9" t="s">
        <v>65</v>
      </c>
      <c r="AQ69" s="10" t="s">
        <v>65</v>
      </c>
      <c r="AR69" s="9" t="s">
        <v>856</v>
      </c>
      <c r="AS69" s="22" t="s">
        <v>6000</v>
      </c>
      <c r="AT69" s="22" t="s">
        <v>6001</v>
      </c>
    </row>
    <row r="70" ht="24" customHeight="1" spans="1:46">
      <c r="A70" s="9" t="str">
        <f>_xlfn.DISPIMG("ID_3A4664C99AFD4734985F7B07EDFAB71E",1)</f>
        <v>=DISPIMG("ID_3A4664C99AFD4734985F7B07EDFAB71E",1)</v>
      </c>
      <c r="B70" s="10" t="s">
        <v>6002</v>
      </c>
      <c r="C70" s="10" t="s">
        <v>6003</v>
      </c>
      <c r="D70" s="10" t="s">
        <v>2250</v>
      </c>
      <c r="E70" s="10" t="s">
        <v>6004</v>
      </c>
      <c r="F70" s="10" t="s">
        <v>6005</v>
      </c>
      <c r="G70" s="10" t="s">
        <v>6006</v>
      </c>
      <c r="H70" s="10" t="s">
        <v>6007</v>
      </c>
      <c r="I70" s="10" t="s">
        <v>6008</v>
      </c>
      <c r="J70" s="9" t="s">
        <v>934</v>
      </c>
      <c r="K70" s="10" t="s">
        <v>5275</v>
      </c>
      <c r="L70" s="10" t="s">
        <v>851</v>
      </c>
      <c r="M70" s="11">
        <v>36006</v>
      </c>
      <c r="N70" s="12" t="s">
        <v>5276</v>
      </c>
      <c r="O70" s="13" t="s">
        <v>1482</v>
      </c>
      <c r="P70" s="13" t="s">
        <v>2852</v>
      </c>
      <c r="Q70" s="13" t="s">
        <v>5619</v>
      </c>
      <c r="R70" s="13" t="s">
        <v>3170</v>
      </c>
      <c r="S70" s="13" t="s">
        <v>1003</v>
      </c>
      <c r="T70" s="13" t="s">
        <v>3174</v>
      </c>
      <c r="U70" s="14" t="s">
        <v>5620</v>
      </c>
      <c r="V70" s="14" t="s">
        <v>2821</v>
      </c>
      <c r="W70" s="14" t="s">
        <v>2822</v>
      </c>
      <c r="X70" s="14" t="s">
        <v>2823</v>
      </c>
      <c r="Y70" s="15">
        <v>1</v>
      </c>
      <c r="Z70" s="11">
        <v>291</v>
      </c>
      <c r="AA70" s="11">
        <v>58197.09</v>
      </c>
      <c r="AB70" s="16">
        <v>199.99</v>
      </c>
      <c r="AC70" s="17">
        <v>0.4743</v>
      </c>
      <c r="AD70" s="16">
        <v>75.13</v>
      </c>
      <c r="AE70" s="18">
        <v>4.6</v>
      </c>
      <c r="AF70" s="11">
        <v>3682</v>
      </c>
      <c r="AG70" s="19">
        <v>0</v>
      </c>
      <c r="AH70" s="11">
        <v>304</v>
      </c>
      <c r="AI70" s="11">
        <v>259</v>
      </c>
      <c r="AJ70" s="9" t="s">
        <v>947</v>
      </c>
      <c r="AK70" s="9" t="s">
        <v>6009</v>
      </c>
      <c r="AL70" s="21">
        <v>1205</v>
      </c>
      <c r="AM70" s="21">
        <v>2</v>
      </c>
      <c r="AN70" s="21">
        <v>1</v>
      </c>
      <c r="AO70" s="10" t="s">
        <v>6010</v>
      </c>
      <c r="AP70" s="9" t="s">
        <v>1288</v>
      </c>
      <c r="AQ70" s="10" t="s">
        <v>6011</v>
      </c>
      <c r="AR70" s="9" t="s">
        <v>2728</v>
      </c>
      <c r="AS70" s="22" t="s">
        <v>6012</v>
      </c>
      <c r="AT70" s="22" t="s">
        <v>6013</v>
      </c>
    </row>
    <row r="71" ht="24" customHeight="1" spans="1:46">
      <c r="A71" s="9" t="str">
        <f>_xlfn.DISPIMG("ID_A411735AAE274F559A3D9F9B06D6D461",1)</f>
        <v>=DISPIMG("ID_A411735AAE274F559A3D9F9B06D6D461",1)</v>
      </c>
      <c r="B71" s="10" t="s">
        <v>6014</v>
      </c>
      <c r="C71" s="10" t="s">
        <v>6015</v>
      </c>
      <c r="D71" s="10" t="s">
        <v>3196</v>
      </c>
      <c r="E71" s="10" t="s">
        <v>6016</v>
      </c>
      <c r="F71" s="10" t="s">
        <v>6017</v>
      </c>
      <c r="G71" s="10" t="s">
        <v>6018</v>
      </c>
      <c r="H71" s="10" t="s">
        <v>6019</v>
      </c>
      <c r="I71" s="10" t="s">
        <v>6020</v>
      </c>
      <c r="J71" s="9" t="s">
        <v>934</v>
      </c>
      <c r="K71" s="10" t="s">
        <v>5275</v>
      </c>
      <c r="L71" s="10" t="s">
        <v>5300</v>
      </c>
      <c r="M71" s="11">
        <v>15347</v>
      </c>
      <c r="N71" s="12" t="s">
        <v>5301</v>
      </c>
      <c r="O71" s="13" t="s">
        <v>6021</v>
      </c>
      <c r="P71" s="13" t="s">
        <v>2809</v>
      </c>
      <c r="Q71" s="13" t="s">
        <v>5289</v>
      </c>
      <c r="R71" s="13" t="s">
        <v>3170</v>
      </c>
      <c r="S71" s="13" t="s">
        <v>5278</v>
      </c>
      <c r="T71" s="13" t="s">
        <v>3174</v>
      </c>
      <c r="U71" s="14" t="s">
        <v>6341</v>
      </c>
      <c r="V71" s="14" t="s">
        <v>2831</v>
      </c>
      <c r="W71" s="14" t="s">
        <v>2930</v>
      </c>
      <c r="X71" s="14" t="s">
        <v>2823</v>
      </c>
      <c r="Y71" s="15">
        <v>1</v>
      </c>
      <c r="Z71" s="11">
        <v>822</v>
      </c>
      <c r="AA71" s="11">
        <v>44379.78</v>
      </c>
      <c r="AB71" s="16">
        <v>53.99</v>
      </c>
      <c r="AC71" s="17">
        <v>0.6861</v>
      </c>
      <c r="AD71" s="16">
        <v>8.85</v>
      </c>
      <c r="AE71" s="18">
        <v>4.2</v>
      </c>
      <c r="AF71" s="11">
        <v>1601</v>
      </c>
      <c r="AG71" s="19">
        <v>0.0268</v>
      </c>
      <c r="AH71" s="11">
        <v>22</v>
      </c>
      <c r="AI71" s="11">
        <v>54</v>
      </c>
      <c r="AJ71" s="9" t="s">
        <v>854</v>
      </c>
      <c r="AK71" s="9" t="s">
        <v>6022</v>
      </c>
      <c r="AL71" s="21">
        <v>713</v>
      </c>
      <c r="AM71" s="21">
        <v>1</v>
      </c>
      <c r="AN71" s="21">
        <v>11</v>
      </c>
      <c r="AO71" s="10" t="s">
        <v>6023</v>
      </c>
      <c r="AP71" s="9" t="s">
        <v>65</v>
      </c>
      <c r="AQ71" s="10" t="s">
        <v>65</v>
      </c>
      <c r="AR71" s="9" t="s">
        <v>997</v>
      </c>
      <c r="AS71" s="22" t="s">
        <v>6024</v>
      </c>
      <c r="AT71" s="22" t="s">
        <v>6025</v>
      </c>
    </row>
    <row r="72" ht="24" customHeight="1" spans="1:46">
      <c r="A72" s="9" t="str">
        <f>_xlfn.DISPIMG("ID_3C96FF7158924CD782FADA57DAD68D8C",1)</f>
        <v>=DISPIMG("ID_3C96FF7158924CD782FADA57DAD68D8C",1)</v>
      </c>
      <c r="B72" s="10" t="s">
        <v>6026</v>
      </c>
      <c r="C72" s="10" t="s">
        <v>6027</v>
      </c>
      <c r="D72" s="10" t="s">
        <v>3440</v>
      </c>
      <c r="E72" s="10" t="s">
        <v>6028</v>
      </c>
      <c r="F72" s="10" t="s">
        <v>6029</v>
      </c>
      <c r="G72" s="10" t="s">
        <v>6030</v>
      </c>
      <c r="H72" s="10" t="s">
        <v>6031</v>
      </c>
      <c r="I72" s="10" t="s">
        <v>6032</v>
      </c>
      <c r="J72" s="9" t="s">
        <v>934</v>
      </c>
      <c r="K72" s="10" t="s">
        <v>5275</v>
      </c>
      <c r="L72" s="10" t="s">
        <v>851</v>
      </c>
      <c r="M72" s="11">
        <v>36385</v>
      </c>
      <c r="N72" s="12" t="s">
        <v>5276</v>
      </c>
      <c r="O72" s="13" t="s">
        <v>1607</v>
      </c>
      <c r="P72" s="13" t="s">
        <v>6033</v>
      </c>
      <c r="Q72" s="13" t="s">
        <v>6034</v>
      </c>
      <c r="R72" s="13" t="s">
        <v>5438</v>
      </c>
      <c r="S72" s="13" t="s">
        <v>5278</v>
      </c>
      <c r="T72" s="13" t="s">
        <v>3174</v>
      </c>
      <c r="U72" s="14" t="s">
        <v>5574</v>
      </c>
      <c r="V72" s="14" t="s">
        <v>2900</v>
      </c>
      <c r="W72" s="14" t="s">
        <v>2865</v>
      </c>
      <c r="X72" s="14" t="s">
        <v>2940</v>
      </c>
      <c r="Y72" s="15">
        <v>1</v>
      </c>
      <c r="Z72" s="11">
        <v>509</v>
      </c>
      <c r="AA72" s="11">
        <v>76324.55</v>
      </c>
      <c r="AB72" s="16">
        <v>149.95</v>
      </c>
      <c r="AC72" s="17">
        <v>0.7458</v>
      </c>
      <c r="AD72" s="16">
        <v>15.62</v>
      </c>
      <c r="AE72" s="18">
        <v>4.5</v>
      </c>
      <c r="AF72" s="11">
        <v>182</v>
      </c>
      <c r="AG72" s="19">
        <v>0</v>
      </c>
      <c r="AH72" s="11">
        <v>0</v>
      </c>
      <c r="AI72" s="11">
        <v>19</v>
      </c>
      <c r="AJ72" s="9" t="s">
        <v>947</v>
      </c>
      <c r="AK72" s="9" t="s">
        <v>6035</v>
      </c>
      <c r="AL72" s="21">
        <v>858</v>
      </c>
      <c r="AM72" s="21">
        <v>1</v>
      </c>
      <c r="AN72" s="21">
        <v>1</v>
      </c>
      <c r="AO72" s="10" t="s">
        <v>6030</v>
      </c>
      <c r="AP72" s="9" t="s">
        <v>1288</v>
      </c>
      <c r="AQ72" s="10" t="s">
        <v>6036</v>
      </c>
      <c r="AR72" s="9" t="s">
        <v>997</v>
      </c>
      <c r="AS72" s="22" t="s">
        <v>6037</v>
      </c>
      <c r="AT72" s="22" t="s">
        <v>6038</v>
      </c>
    </row>
    <row r="73" ht="24" customHeight="1" spans="1:46">
      <c r="A73" s="9" t="str">
        <f>_xlfn.DISPIMG("ID_F88C559211A444AF8BFF529472BB673E",1)</f>
        <v>=DISPIMG("ID_F88C559211A444AF8BFF529472BB673E",1)</v>
      </c>
      <c r="B73" s="10" t="s">
        <v>6039</v>
      </c>
      <c r="C73" s="10" t="s">
        <v>6039</v>
      </c>
      <c r="D73" s="10" t="s">
        <v>65</v>
      </c>
      <c r="E73" s="10" t="s">
        <v>6040</v>
      </c>
      <c r="F73" s="10" t="s">
        <v>6041</v>
      </c>
      <c r="G73" s="10" t="s">
        <v>5319</v>
      </c>
      <c r="H73" s="10" t="s">
        <v>6042</v>
      </c>
      <c r="I73" s="10" t="s">
        <v>6043</v>
      </c>
      <c r="J73" s="9" t="s">
        <v>1384</v>
      </c>
      <c r="K73" s="10" t="s">
        <v>5275</v>
      </c>
      <c r="L73" s="10" t="s">
        <v>5300</v>
      </c>
      <c r="M73" s="11">
        <v>15775</v>
      </c>
      <c r="N73" s="12" t="s">
        <v>5322</v>
      </c>
      <c r="O73" s="13" t="s">
        <v>6044</v>
      </c>
      <c r="P73" s="13" t="s">
        <v>2986</v>
      </c>
      <c r="Q73" s="13" t="s">
        <v>5289</v>
      </c>
      <c r="R73" s="13" t="s">
        <v>5438</v>
      </c>
      <c r="S73" s="13" t="s">
        <v>5278</v>
      </c>
      <c r="T73" s="13" t="s">
        <v>3174</v>
      </c>
      <c r="U73" s="14" t="s">
        <v>6341</v>
      </c>
      <c r="V73" s="14" t="s">
        <v>2917</v>
      </c>
      <c r="W73" s="14" t="s">
        <v>2930</v>
      </c>
      <c r="X73" s="14" t="s">
        <v>2940</v>
      </c>
      <c r="Y73" s="15">
        <v>1</v>
      </c>
      <c r="Z73" s="11">
        <v>414</v>
      </c>
      <c r="AA73" s="11">
        <v>23593.861</v>
      </c>
      <c r="AB73" s="16">
        <v>56.99</v>
      </c>
      <c r="AC73" s="17">
        <v>0.7001</v>
      </c>
      <c r="AD73" s="16">
        <v>8.54</v>
      </c>
      <c r="AE73" s="18">
        <v>4.1</v>
      </c>
      <c r="AF73" s="11">
        <v>203</v>
      </c>
      <c r="AG73" s="19">
        <v>0.0242</v>
      </c>
      <c r="AH73" s="11">
        <v>10</v>
      </c>
      <c r="AI73" s="11">
        <v>3</v>
      </c>
      <c r="AJ73" s="9" t="s">
        <v>1267</v>
      </c>
      <c r="AK73" s="9" t="s">
        <v>6045</v>
      </c>
      <c r="AL73" s="21">
        <v>170</v>
      </c>
      <c r="AM73" s="21">
        <v>1</v>
      </c>
      <c r="AN73" s="21">
        <v>6</v>
      </c>
      <c r="AO73" s="10" t="s">
        <v>5325</v>
      </c>
      <c r="AP73" s="9" t="s">
        <v>1110</v>
      </c>
      <c r="AQ73" s="10" t="s">
        <v>5326</v>
      </c>
      <c r="AR73" s="9" t="s">
        <v>997</v>
      </c>
      <c r="AS73" s="22" t="s">
        <v>6046</v>
      </c>
      <c r="AT73" s="22" t="s">
        <v>5547</v>
      </c>
    </row>
    <row r="74" ht="24" customHeight="1" spans="1:46">
      <c r="A74" s="9" t="str">
        <f>_xlfn.DISPIMG("ID_FAC842F155214B01BC78151359A73E29",1)</f>
        <v>=DISPIMG("ID_FAC842F155214B01BC78151359A73E29",1)</v>
      </c>
      <c r="B74" s="10" t="s">
        <v>6047</v>
      </c>
      <c r="C74" s="10" t="s">
        <v>6048</v>
      </c>
      <c r="D74" s="10" t="s">
        <v>3196</v>
      </c>
      <c r="E74" s="10" t="s">
        <v>6049</v>
      </c>
      <c r="F74" s="10" t="s">
        <v>6050</v>
      </c>
      <c r="G74" s="10" t="s">
        <v>5867</v>
      </c>
      <c r="H74" s="10" t="s">
        <v>6051</v>
      </c>
      <c r="I74" s="10" t="s">
        <v>6052</v>
      </c>
      <c r="J74" s="9" t="s">
        <v>974</v>
      </c>
      <c r="K74" s="10" t="s">
        <v>5275</v>
      </c>
      <c r="L74" s="10" t="s">
        <v>851</v>
      </c>
      <c r="M74" s="11">
        <v>38582</v>
      </c>
      <c r="N74" s="12" t="s">
        <v>5276</v>
      </c>
      <c r="O74" s="13" t="s">
        <v>4073</v>
      </c>
      <c r="P74" s="13" t="s">
        <v>2809</v>
      </c>
      <c r="Q74" s="13" t="s">
        <v>6053</v>
      </c>
      <c r="R74" s="13" t="s">
        <v>3170</v>
      </c>
      <c r="S74" s="13" t="s">
        <v>1003</v>
      </c>
      <c r="T74" s="13" t="s">
        <v>5359</v>
      </c>
      <c r="U74" s="14" t="s">
        <v>5929</v>
      </c>
      <c r="V74" s="14" t="s">
        <v>2821</v>
      </c>
      <c r="W74" s="14" t="s">
        <v>2865</v>
      </c>
      <c r="X74" s="14" t="s">
        <v>2979</v>
      </c>
      <c r="Y74" s="15">
        <v>1</v>
      </c>
      <c r="Z74" s="11">
        <v>129</v>
      </c>
      <c r="AA74" s="11">
        <v>25923.842</v>
      </c>
      <c r="AB74" s="16">
        <v>200.96</v>
      </c>
      <c r="AC74" s="17">
        <v>0</v>
      </c>
      <c r="AD74" s="27"/>
      <c r="AE74" s="18">
        <v>4.3</v>
      </c>
      <c r="AF74" s="11">
        <v>51</v>
      </c>
      <c r="AG74" s="19">
        <v>0.0078</v>
      </c>
      <c r="AH74" s="11">
        <v>1</v>
      </c>
      <c r="AI74" s="11">
        <v>9</v>
      </c>
      <c r="AJ74" s="9" t="s">
        <v>854</v>
      </c>
      <c r="AK74" s="9" t="s">
        <v>6054</v>
      </c>
      <c r="AL74" s="21">
        <v>1287</v>
      </c>
      <c r="AM74" s="21">
        <v>3</v>
      </c>
      <c r="AN74" s="21">
        <v>2</v>
      </c>
      <c r="AO74" s="10" t="s">
        <v>1515</v>
      </c>
      <c r="AP74" s="9" t="s">
        <v>65</v>
      </c>
      <c r="AQ74" s="10" t="s">
        <v>65</v>
      </c>
      <c r="AR74" s="9" t="s">
        <v>1516</v>
      </c>
      <c r="AS74" s="22" t="s">
        <v>6055</v>
      </c>
      <c r="AT74" s="22" t="s">
        <v>6056</v>
      </c>
    </row>
    <row r="75" ht="24" customHeight="1" spans="1:46">
      <c r="A75" s="9" t="str">
        <f>_xlfn.DISPIMG("ID_A1F3A6E3379E4798BE2BD0D6CFD40473",1)</f>
        <v>=DISPIMG("ID_A1F3A6E3379E4798BE2BD0D6CFD40473",1)</v>
      </c>
      <c r="B75" s="10" t="s">
        <v>6057</v>
      </c>
      <c r="C75" s="10" t="s">
        <v>6058</v>
      </c>
      <c r="D75" s="10" t="s">
        <v>6059</v>
      </c>
      <c r="E75" s="10" t="s">
        <v>6060</v>
      </c>
      <c r="F75" s="10" t="s">
        <v>6061</v>
      </c>
      <c r="G75" s="10" t="s">
        <v>5319</v>
      </c>
      <c r="H75" s="10" t="s">
        <v>6062</v>
      </c>
      <c r="I75" s="10" t="s">
        <v>6063</v>
      </c>
      <c r="J75" s="9" t="s">
        <v>974</v>
      </c>
      <c r="K75" s="10" t="s">
        <v>5275</v>
      </c>
      <c r="L75" s="10" t="s">
        <v>5300</v>
      </c>
      <c r="M75" s="11">
        <v>16954</v>
      </c>
      <c r="N75" s="12" t="s">
        <v>5322</v>
      </c>
      <c r="O75" s="13" t="s">
        <v>6064</v>
      </c>
      <c r="P75" s="13" t="s">
        <v>2986</v>
      </c>
      <c r="Q75" s="13" t="s">
        <v>5336</v>
      </c>
      <c r="R75" s="13" t="s">
        <v>3170</v>
      </c>
      <c r="S75" s="13" t="s">
        <v>5278</v>
      </c>
      <c r="T75" s="13" t="s">
        <v>3174</v>
      </c>
      <c r="U75" s="14" t="s">
        <v>6343</v>
      </c>
      <c r="V75" s="14" t="s">
        <v>2831</v>
      </c>
      <c r="W75" s="14" t="s">
        <v>2930</v>
      </c>
      <c r="X75" s="14" t="s">
        <v>2868</v>
      </c>
      <c r="Y75" s="15">
        <v>1</v>
      </c>
      <c r="Z75" s="11">
        <v>683</v>
      </c>
      <c r="AA75" s="11">
        <v>54633.168</v>
      </c>
      <c r="AB75" s="16">
        <v>79.99</v>
      </c>
      <c r="AC75" s="17">
        <v>0.6147</v>
      </c>
      <c r="AD75" s="16">
        <v>18.82</v>
      </c>
      <c r="AE75" s="18">
        <v>4.2</v>
      </c>
      <c r="AF75" s="11">
        <v>970</v>
      </c>
      <c r="AG75" s="19">
        <v>0.8023</v>
      </c>
      <c r="AH75" s="11">
        <v>548</v>
      </c>
      <c r="AI75" s="11">
        <v>18</v>
      </c>
      <c r="AJ75" s="9" t="s">
        <v>876</v>
      </c>
      <c r="AK75" s="9" t="s">
        <v>5956</v>
      </c>
      <c r="AL75" s="21">
        <v>651</v>
      </c>
      <c r="AM75" s="21">
        <v>2</v>
      </c>
      <c r="AN75" s="21">
        <v>1</v>
      </c>
      <c r="AO75" s="10" t="s">
        <v>5325</v>
      </c>
      <c r="AP75" s="9" t="s">
        <v>1110</v>
      </c>
      <c r="AQ75" s="10" t="s">
        <v>5326</v>
      </c>
      <c r="AR75" s="9" t="s">
        <v>997</v>
      </c>
      <c r="AS75" s="22" t="s">
        <v>6065</v>
      </c>
      <c r="AT75" s="22" t="s">
        <v>6066</v>
      </c>
    </row>
    <row r="76" ht="24" customHeight="1" spans="1:46">
      <c r="A76" s="9" t="str">
        <f>_xlfn.DISPIMG("ID_10683E0177C742228F913260A971A554",1)</f>
        <v>=DISPIMG("ID_10683E0177C742228F913260A971A554",1)</v>
      </c>
      <c r="B76" s="10" t="s">
        <v>6067</v>
      </c>
      <c r="C76" s="10" t="s">
        <v>6067</v>
      </c>
      <c r="D76" s="10" t="s">
        <v>65</v>
      </c>
      <c r="E76" s="10" t="s">
        <v>6068</v>
      </c>
      <c r="F76" s="10" t="s">
        <v>6069</v>
      </c>
      <c r="G76" s="10" t="s">
        <v>5653</v>
      </c>
      <c r="H76" s="10" t="s">
        <v>6070</v>
      </c>
      <c r="I76" s="10" t="s">
        <v>6071</v>
      </c>
      <c r="J76" s="9" t="s">
        <v>1634</v>
      </c>
      <c r="K76" s="10" t="s">
        <v>5275</v>
      </c>
      <c r="L76" s="10" t="s">
        <v>851</v>
      </c>
      <c r="M76" s="11">
        <v>41484</v>
      </c>
      <c r="N76" s="12" t="s">
        <v>5276</v>
      </c>
      <c r="O76" s="13" t="s">
        <v>4094</v>
      </c>
      <c r="P76" s="13" t="s">
        <v>2963</v>
      </c>
      <c r="Q76" s="13" t="s">
        <v>5277</v>
      </c>
      <c r="R76" s="13" t="s">
        <v>3170</v>
      </c>
      <c r="S76" s="13" t="s">
        <v>5278</v>
      </c>
      <c r="T76" s="13" t="s">
        <v>3174</v>
      </c>
      <c r="U76" s="14" t="s">
        <v>6342</v>
      </c>
      <c r="V76" s="14" t="s">
        <v>2917</v>
      </c>
      <c r="W76" s="14" t="s">
        <v>2865</v>
      </c>
      <c r="X76" s="14" t="s">
        <v>2940</v>
      </c>
      <c r="Y76" s="15">
        <v>1</v>
      </c>
      <c r="Z76" s="11">
        <v>1055</v>
      </c>
      <c r="AA76" s="11">
        <v>42189.453</v>
      </c>
      <c r="AB76" s="16">
        <v>39.99</v>
      </c>
      <c r="AC76" s="17">
        <v>0.6522</v>
      </c>
      <c r="AD76" s="16">
        <v>7.91</v>
      </c>
      <c r="AE76" s="18">
        <v>4.4</v>
      </c>
      <c r="AF76" s="11">
        <v>214</v>
      </c>
      <c r="AG76" s="19">
        <v>0.0114</v>
      </c>
      <c r="AH76" s="11">
        <v>12</v>
      </c>
      <c r="AI76" s="20"/>
      <c r="AJ76" s="9" t="s">
        <v>65</v>
      </c>
      <c r="AK76" s="9" t="s">
        <v>6072</v>
      </c>
      <c r="AL76" s="21">
        <v>26</v>
      </c>
      <c r="AM76" s="21">
        <v>1</v>
      </c>
      <c r="AN76" s="21">
        <v>1</v>
      </c>
      <c r="AO76" s="10" t="s">
        <v>6073</v>
      </c>
      <c r="AP76" s="9" t="s">
        <v>1110</v>
      </c>
      <c r="AQ76" s="10" t="s">
        <v>6074</v>
      </c>
      <c r="AR76" s="9" t="s">
        <v>856</v>
      </c>
      <c r="AS76" s="22" t="s">
        <v>3206</v>
      </c>
      <c r="AT76" s="22" t="s">
        <v>6075</v>
      </c>
    </row>
    <row r="77" ht="24" customHeight="1" spans="1:46">
      <c r="A77" s="9" t="str">
        <f>_xlfn.DISPIMG("ID_16B1C0A61ECF479AB924CC54119345D8",1)</f>
        <v>=DISPIMG("ID_16B1C0A61ECF479AB924CC54119345D8",1)</v>
      </c>
      <c r="B77" s="10" t="s">
        <v>6076</v>
      </c>
      <c r="C77" s="10" t="s">
        <v>6077</v>
      </c>
      <c r="D77" s="10" t="s">
        <v>6078</v>
      </c>
      <c r="E77" s="10" t="s">
        <v>6079</v>
      </c>
      <c r="F77" s="10" t="s">
        <v>6080</v>
      </c>
      <c r="G77" s="10" t="s">
        <v>5789</v>
      </c>
      <c r="H77" s="10" t="s">
        <v>6081</v>
      </c>
      <c r="I77" s="10" t="s">
        <v>6082</v>
      </c>
      <c r="J77" s="9" t="s">
        <v>974</v>
      </c>
      <c r="K77" s="10" t="s">
        <v>5275</v>
      </c>
      <c r="L77" s="10" t="s">
        <v>851</v>
      </c>
      <c r="M77" s="11">
        <v>42910</v>
      </c>
      <c r="N77" s="12" t="s">
        <v>5276</v>
      </c>
      <c r="O77" s="13" t="s">
        <v>4105</v>
      </c>
      <c r="P77" s="13" t="s">
        <v>2809</v>
      </c>
      <c r="Q77" s="13" t="s">
        <v>6083</v>
      </c>
      <c r="R77" s="13" t="s">
        <v>5438</v>
      </c>
      <c r="S77" s="13" t="s">
        <v>5278</v>
      </c>
      <c r="T77" s="13" t="s">
        <v>3174</v>
      </c>
      <c r="U77" s="14" t="s">
        <v>6343</v>
      </c>
      <c r="V77" s="14" t="s">
        <v>2851</v>
      </c>
      <c r="W77" s="14" t="s">
        <v>2930</v>
      </c>
      <c r="X77" s="14" t="s">
        <v>2911</v>
      </c>
      <c r="Y77" s="15">
        <v>1</v>
      </c>
      <c r="Z77" s="11">
        <v>795</v>
      </c>
      <c r="AA77" s="11">
        <v>55642.047</v>
      </c>
      <c r="AB77" s="16">
        <v>68.99</v>
      </c>
      <c r="AC77" s="17">
        <v>0.6211</v>
      </c>
      <c r="AD77" s="16">
        <v>16.02</v>
      </c>
      <c r="AE77" s="18">
        <v>4.2</v>
      </c>
      <c r="AF77" s="11">
        <v>597</v>
      </c>
      <c r="AG77" s="19">
        <v>0.0025</v>
      </c>
      <c r="AH77" s="11">
        <v>2</v>
      </c>
      <c r="AI77" s="11">
        <v>30</v>
      </c>
      <c r="AJ77" s="9" t="s">
        <v>854</v>
      </c>
      <c r="AK77" s="9" t="s">
        <v>6084</v>
      </c>
      <c r="AL77" s="21">
        <v>913</v>
      </c>
      <c r="AM77" s="21">
        <v>1</v>
      </c>
      <c r="AN77" s="21">
        <v>2</v>
      </c>
      <c r="AO77" s="10" t="s">
        <v>6085</v>
      </c>
      <c r="AP77" s="9" t="s">
        <v>1288</v>
      </c>
      <c r="AQ77" s="10" t="s">
        <v>6086</v>
      </c>
      <c r="AR77" s="9" t="s">
        <v>997</v>
      </c>
      <c r="AS77" s="22" t="s">
        <v>6087</v>
      </c>
      <c r="AT77" s="22" t="s">
        <v>5796</v>
      </c>
    </row>
    <row r="78" ht="24" customHeight="1" spans="1:46">
      <c r="A78" s="9" t="str">
        <f>_xlfn.DISPIMG("ID_6713ABF4616041CF80AA4289A0AD21EE",1)</f>
        <v>=DISPIMG("ID_6713ABF4616041CF80AA4289A0AD21EE",1)</v>
      </c>
      <c r="B78" s="10" t="s">
        <v>6088</v>
      </c>
      <c r="C78" s="10" t="s">
        <v>6088</v>
      </c>
      <c r="D78" s="10" t="s">
        <v>65</v>
      </c>
      <c r="E78" s="10" t="s">
        <v>6089</v>
      </c>
      <c r="F78" s="10" t="s">
        <v>6090</v>
      </c>
      <c r="G78" s="10" t="s">
        <v>6091</v>
      </c>
      <c r="H78" s="10" t="s">
        <v>6092</v>
      </c>
      <c r="I78" s="10" t="s">
        <v>6093</v>
      </c>
      <c r="J78" s="9" t="s">
        <v>934</v>
      </c>
      <c r="K78" s="10" t="s">
        <v>5275</v>
      </c>
      <c r="L78" s="10" t="s">
        <v>851</v>
      </c>
      <c r="M78" s="11">
        <v>43270</v>
      </c>
      <c r="N78" s="12" t="s">
        <v>5276</v>
      </c>
      <c r="O78" s="13" t="s">
        <v>1562</v>
      </c>
      <c r="P78" s="13" t="s">
        <v>2986</v>
      </c>
      <c r="Q78" s="13" t="s">
        <v>5336</v>
      </c>
      <c r="R78" s="13" t="s">
        <v>5438</v>
      </c>
      <c r="S78" s="13" t="s">
        <v>5278</v>
      </c>
      <c r="T78" s="13" t="s">
        <v>5371</v>
      </c>
      <c r="U78" s="14" t="s">
        <v>5713</v>
      </c>
      <c r="V78" s="14" t="s">
        <v>2883</v>
      </c>
      <c r="W78" s="14" t="s">
        <v>2865</v>
      </c>
      <c r="X78" s="14" t="s">
        <v>2934</v>
      </c>
      <c r="Y78" s="15">
        <v>1</v>
      </c>
      <c r="Z78" s="11">
        <v>199</v>
      </c>
      <c r="AA78" s="11">
        <v>19898.01</v>
      </c>
      <c r="AB78" s="16">
        <v>99.99</v>
      </c>
      <c r="AC78" s="17">
        <v>0.6858</v>
      </c>
      <c r="AD78" s="16">
        <v>16.42</v>
      </c>
      <c r="AE78" s="18">
        <v>4.5</v>
      </c>
      <c r="AF78" s="11">
        <v>27</v>
      </c>
      <c r="AG78" s="19">
        <v>0.0151</v>
      </c>
      <c r="AH78" s="11">
        <v>3</v>
      </c>
      <c r="AI78" s="20"/>
      <c r="AJ78" s="9" t="s">
        <v>1267</v>
      </c>
      <c r="AK78" s="9" t="s">
        <v>6094</v>
      </c>
      <c r="AL78" s="21">
        <v>272</v>
      </c>
      <c r="AM78" s="21">
        <v>1</v>
      </c>
      <c r="AN78" s="21">
        <v>1</v>
      </c>
      <c r="AO78" s="10" t="s">
        <v>6095</v>
      </c>
      <c r="AP78" s="9" t="s">
        <v>1288</v>
      </c>
      <c r="AQ78" s="10" t="s">
        <v>6096</v>
      </c>
      <c r="AR78" s="9" t="s">
        <v>997</v>
      </c>
      <c r="AS78" s="22" t="s">
        <v>2022</v>
      </c>
      <c r="AT78" s="22" t="s">
        <v>6097</v>
      </c>
    </row>
    <row r="79" ht="24" customHeight="1" spans="1:46">
      <c r="A79" s="9" t="str">
        <f>_xlfn.DISPIMG("ID_C1439D7525314155A1AAEF75D2EA25B0",1)</f>
        <v>=DISPIMG("ID_C1439D7525314155A1AAEF75D2EA25B0",1)</v>
      </c>
      <c r="B79" s="10" t="s">
        <v>6098</v>
      </c>
      <c r="C79" s="10" t="s">
        <v>6098</v>
      </c>
      <c r="D79" s="10" t="s">
        <v>65</v>
      </c>
      <c r="E79" s="10" t="s">
        <v>6099</v>
      </c>
      <c r="F79" s="10" t="s">
        <v>6100</v>
      </c>
      <c r="G79" s="10" t="s">
        <v>6101</v>
      </c>
      <c r="H79" s="10" t="s">
        <v>6102</v>
      </c>
      <c r="I79" s="10" t="s">
        <v>6103</v>
      </c>
      <c r="J79" s="9" t="s">
        <v>974</v>
      </c>
      <c r="K79" s="10" t="s">
        <v>5275</v>
      </c>
      <c r="L79" s="10" t="s">
        <v>5300</v>
      </c>
      <c r="M79" s="11">
        <v>19707</v>
      </c>
      <c r="N79" s="12" t="s">
        <v>5322</v>
      </c>
      <c r="O79" s="13" t="s">
        <v>6104</v>
      </c>
      <c r="P79" s="13" t="s">
        <v>2986</v>
      </c>
      <c r="Q79" s="13" t="s">
        <v>5277</v>
      </c>
      <c r="R79" s="13" t="s">
        <v>5438</v>
      </c>
      <c r="S79" s="13" t="s">
        <v>5278</v>
      </c>
      <c r="T79" s="13" t="s">
        <v>3174</v>
      </c>
      <c r="U79" s="14" t="s">
        <v>6341</v>
      </c>
      <c r="V79" s="14" t="s">
        <v>2831</v>
      </c>
      <c r="W79" s="14" t="s">
        <v>2930</v>
      </c>
      <c r="X79" s="14" t="s">
        <v>2940</v>
      </c>
      <c r="Y79" s="15">
        <v>1</v>
      </c>
      <c r="Z79" s="11">
        <v>263</v>
      </c>
      <c r="AA79" s="11">
        <v>11306.37</v>
      </c>
      <c r="AB79" s="16">
        <v>42.99</v>
      </c>
      <c r="AC79" s="17">
        <v>0.5143</v>
      </c>
      <c r="AD79" s="16">
        <v>14.43</v>
      </c>
      <c r="AE79" s="18">
        <v>4.1</v>
      </c>
      <c r="AF79" s="11">
        <v>107</v>
      </c>
      <c r="AG79" s="19">
        <v>0.0038</v>
      </c>
      <c r="AH79" s="11">
        <v>1</v>
      </c>
      <c r="AI79" s="11">
        <v>13</v>
      </c>
      <c r="AJ79" s="9" t="s">
        <v>854</v>
      </c>
      <c r="AK79" s="9" t="s">
        <v>6105</v>
      </c>
      <c r="AL79" s="21">
        <v>568</v>
      </c>
      <c r="AM79" s="21">
        <v>1</v>
      </c>
      <c r="AN79" s="21">
        <v>10</v>
      </c>
      <c r="AO79" s="10" t="s">
        <v>6106</v>
      </c>
      <c r="AP79" s="9" t="s">
        <v>1288</v>
      </c>
      <c r="AQ79" s="10" t="s">
        <v>6107</v>
      </c>
      <c r="AR79" s="9" t="s">
        <v>997</v>
      </c>
      <c r="AS79" s="22" t="s">
        <v>6108</v>
      </c>
      <c r="AT79" s="22" t="s">
        <v>6109</v>
      </c>
    </row>
    <row r="80" ht="24" customHeight="1" spans="1:46">
      <c r="A80" s="9" t="str">
        <f>_xlfn.DISPIMG("ID_69F1754C84C24E4CB475EFE38F5B790E",1)</f>
        <v>=DISPIMG("ID_69F1754C84C24E4CB475EFE38F5B790E",1)</v>
      </c>
      <c r="B80" s="10" t="s">
        <v>6110</v>
      </c>
      <c r="C80" s="10" t="s">
        <v>6111</v>
      </c>
      <c r="D80" s="10" t="s">
        <v>3531</v>
      </c>
      <c r="E80" s="10" t="s">
        <v>6112</v>
      </c>
      <c r="F80" s="10" t="s">
        <v>6113</v>
      </c>
      <c r="G80" s="10" t="s">
        <v>5912</v>
      </c>
      <c r="H80" s="10" t="s">
        <v>6114</v>
      </c>
      <c r="I80" s="10" t="s">
        <v>6115</v>
      </c>
      <c r="J80" s="9" t="s">
        <v>974</v>
      </c>
      <c r="K80" s="10" t="s">
        <v>5915</v>
      </c>
      <c r="L80" s="10" t="s">
        <v>851</v>
      </c>
      <c r="M80" s="11">
        <v>45840</v>
      </c>
      <c r="N80" s="12" t="s">
        <v>5276</v>
      </c>
      <c r="O80" s="13" t="s">
        <v>2430</v>
      </c>
      <c r="P80" s="13" t="s">
        <v>2809</v>
      </c>
      <c r="Q80" s="13" t="s">
        <v>5619</v>
      </c>
      <c r="R80" s="13" t="s">
        <v>3170</v>
      </c>
      <c r="S80" s="13" t="s">
        <v>1003</v>
      </c>
      <c r="T80" s="13" t="s">
        <v>3174</v>
      </c>
      <c r="U80" s="14" t="s">
        <v>5929</v>
      </c>
      <c r="V80" s="14" t="s">
        <v>2867</v>
      </c>
      <c r="W80" s="14" t="s">
        <v>2865</v>
      </c>
      <c r="X80" s="14" t="s">
        <v>2940</v>
      </c>
      <c r="Y80" s="15">
        <v>1</v>
      </c>
      <c r="Z80" s="11">
        <v>294</v>
      </c>
      <c r="AA80" s="11">
        <v>61737.062</v>
      </c>
      <c r="AB80" s="16">
        <v>209.99</v>
      </c>
      <c r="AC80" s="17">
        <v>0.545</v>
      </c>
      <c r="AD80" s="16">
        <v>64.04</v>
      </c>
      <c r="AE80" s="18">
        <v>4.4</v>
      </c>
      <c r="AF80" s="11">
        <v>118</v>
      </c>
      <c r="AG80" s="19">
        <v>0.034</v>
      </c>
      <c r="AH80" s="11">
        <v>10</v>
      </c>
      <c r="AI80" s="11">
        <v>12</v>
      </c>
      <c r="AJ80" s="9" t="s">
        <v>947</v>
      </c>
      <c r="AK80" s="9" t="s">
        <v>6116</v>
      </c>
      <c r="AL80" s="21">
        <v>518</v>
      </c>
      <c r="AM80" s="21">
        <v>6</v>
      </c>
      <c r="AN80" s="21">
        <v>1</v>
      </c>
      <c r="AO80" s="10" t="s">
        <v>6117</v>
      </c>
      <c r="AP80" s="9" t="s">
        <v>1110</v>
      </c>
      <c r="AQ80" s="10" t="s">
        <v>6118</v>
      </c>
      <c r="AR80" s="9" t="s">
        <v>2728</v>
      </c>
      <c r="AS80" s="22" t="s">
        <v>6119</v>
      </c>
      <c r="AT80" s="22" t="s">
        <v>6120</v>
      </c>
    </row>
    <row r="81" ht="24" customHeight="1" spans="1:46">
      <c r="A81" s="9" t="str">
        <f>_xlfn.DISPIMG("ID_AF462A62724D4122841797D2178CBD4F",1)</f>
        <v>=DISPIMG("ID_AF462A62724D4122841797D2178CBD4F",1)</v>
      </c>
      <c r="B81" s="10" t="s">
        <v>6121</v>
      </c>
      <c r="C81" s="10" t="s">
        <v>6122</v>
      </c>
      <c r="D81" s="10" t="s">
        <v>6123</v>
      </c>
      <c r="E81" s="10" t="s">
        <v>6124</v>
      </c>
      <c r="F81" s="10" t="s">
        <v>6125</v>
      </c>
      <c r="G81" s="10" t="s">
        <v>6126</v>
      </c>
      <c r="H81" s="10" t="s">
        <v>6127</v>
      </c>
      <c r="I81" s="10" t="s">
        <v>6128</v>
      </c>
      <c r="J81" s="9" t="s">
        <v>974</v>
      </c>
      <c r="K81" s="10" t="s">
        <v>5275</v>
      </c>
      <c r="L81" s="10" t="s">
        <v>851</v>
      </c>
      <c r="M81" s="11">
        <v>46382</v>
      </c>
      <c r="N81" s="12" t="s">
        <v>5276</v>
      </c>
      <c r="O81" s="13" t="s">
        <v>4138</v>
      </c>
      <c r="P81" s="13" t="s">
        <v>2809</v>
      </c>
      <c r="Q81" s="13" t="s">
        <v>5573</v>
      </c>
      <c r="R81" s="13" t="s">
        <v>3170</v>
      </c>
      <c r="S81" s="13" t="s">
        <v>5278</v>
      </c>
      <c r="T81" s="13" t="s">
        <v>3174</v>
      </c>
      <c r="U81" s="14" t="s">
        <v>5574</v>
      </c>
      <c r="V81" s="14" t="s">
        <v>2851</v>
      </c>
      <c r="W81" s="14" t="s">
        <v>2993</v>
      </c>
      <c r="X81" s="14" t="s">
        <v>2823</v>
      </c>
      <c r="Y81" s="15">
        <v>1</v>
      </c>
      <c r="Z81" s="11">
        <v>300</v>
      </c>
      <c r="AA81" s="11">
        <v>44997</v>
      </c>
      <c r="AB81" s="16">
        <v>149.99</v>
      </c>
      <c r="AC81" s="17">
        <v>0.7166</v>
      </c>
      <c r="AD81" s="16">
        <v>20.01</v>
      </c>
      <c r="AE81" s="18">
        <v>3.8</v>
      </c>
      <c r="AF81" s="11">
        <v>1163</v>
      </c>
      <c r="AG81" s="19">
        <v>0.0333</v>
      </c>
      <c r="AH81" s="11">
        <v>10</v>
      </c>
      <c r="AI81" s="11">
        <v>96</v>
      </c>
      <c r="AJ81" s="9" t="s">
        <v>947</v>
      </c>
      <c r="AK81" s="9" t="s">
        <v>6129</v>
      </c>
      <c r="AL81" s="21">
        <v>977</v>
      </c>
      <c r="AM81" s="21">
        <v>2</v>
      </c>
      <c r="AN81" s="21">
        <v>7</v>
      </c>
      <c r="AO81" s="10" t="s">
        <v>6130</v>
      </c>
      <c r="AP81" s="9" t="s">
        <v>1288</v>
      </c>
      <c r="AQ81" s="10" t="s">
        <v>6131</v>
      </c>
      <c r="AR81" s="9" t="s">
        <v>997</v>
      </c>
      <c r="AS81" s="22" t="s">
        <v>6132</v>
      </c>
      <c r="AT81" s="22" t="s">
        <v>6133</v>
      </c>
    </row>
    <row r="82" ht="24" customHeight="1" spans="1:46">
      <c r="A82" s="9" t="str">
        <f>_xlfn.DISPIMG("ID_C2A7066BB38C4925825FCB5233FF1D19",1)</f>
        <v>=DISPIMG("ID_C2A7066BB38C4925825FCB5233FF1D19",1)</v>
      </c>
      <c r="B82" s="10" t="s">
        <v>6134</v>
      </c>
      <c r="C82" s="10" t="s">
        <v>6135</v>
      </c>
      <c r="D82" s="10" t="s">
        <v>2250</v>
      </c>
      <c r="E82" s="10" t="s">
        <v>6136</v>
      </c>
      <c r="F82" s="10" t="s">
        <v>6137</v>
      </c>
      <c r="G82" s="10" t="s">
        <v>6138</v>
      </c>
      <c r="H82" s="10" t="s">
        <v>6139</v>
      </c>
      <c r="I82" s="10" t="s">
        <v>6140</v>
      </c>
      <c r="J82" s="9" t="s">
        <v>1003</v>
      </c>
      <c r="K82" s="10" t="s">
        <v>5275</v>
      </c>
      <c r="L82" s="10" t="s">
        <v>851</v>
      </c>
      <c r="M82" s="11">
        <v>47182</v>
      </c>
      <c r="N82" s="12" t="s">
        <v>5276</v>
      </c>
      <c r="O82" s="13" t="s">
        <v>4149</v>
      </c>
      <c r="P82" s="13" t="s">
        <v>2852</v>
      </c>
      <c r="Q82" s="13" t="s">
        <v>5277</v>
      </c>
      <c r="R82" s="13" t="s">
        <v>5438</v>
      </c>
      <c r="S82" s="13" t="s">
        <v>5278</v>
      </c>
      <c r="T82" s="13" t="s">
        <v>3174</v>
      </c>
      <c r="U82" s="14" t="s">
        <v>6343</v>
      </c>
      <c r="V82" s="14" t="s">
        <v>2900</v>
      </c>
      <c r="W82" s="14" t="s">
        <v>2865</v>
      </c>
      <c r="X82" s="14" t="s">
        <v>2979</v>
      </c>
      <c r="Y82" s="15">
        <v>1</v>
      </c>
      <c r="Z82" s="11">
        <v>95</v>
      </c>
      <c r="AA82" s="11">
        <v>6174.05</v>
      </c>
      <c r="AB82" s="16">
        <v>64.99</v>
      </c>
      <c r="AC82" s="17">
        <v>0.7186</v>
      </c>
      <c r="AD82" s="16">
        <v>8.54</v>
      </c>
      <c r="AE82" s="18">
        <v>4.3</v>
      </c>
      <c r="AF82" s="11">
        <v>95</v>
      </c>
      <c r="AG82" s="19">
        <v>0.0105</v>
      </c>
      <c r="AH82" s="11">
        <v>1</v>
      </c>
      <c r="AI82" s="11">
        <v>3</v>
      </c>
      <c r="AJ82" s="9" t="s">
        <v>947</v>
      </c>
      <c r="AK82" s="9" t="s">
        <v>6141</v>
      </c>
      <c r="AL82" s="21">
        <v>790</v>
      </c>
      <c r="AM82" s="21">
        <v>1</v>
      </c>
      <c r="AN82" s="21">
        <v>1</v>
      </c>
      <c r="AO82" s="10" t="s">
        <v>6142</v>
      </c>
      <c r="AP82" s="9" t="s">
        <v>1110</v>
      </c>
      <c r="AQ82" s="10" t="s">
        <v>6143</v>
      </c>
      <c r="AR82" s="9" t="s">
        <v>997</v>
      </c>
      <c r="AS82" s="22" t="s">
        <v>6144</v>
      </c>
      <c r="AT82" s="22" t="s">
        <v>6145</v>
      </c>
    </row>
    <row r="83" ht="24" customHeight="1" spans="1:46">
      <c r="A83" s="9" t="str">
        <f>_xlfn.DISPIMG("ID_35D9A2171F4D495396045981EF9E1756",1)</f>
        <v>=DISPIMG("ID_35D9A2171F4D495396045981EF9E1756",1)</v>
      </c>
      <c r="B83" s="10" t="s">
        <v>6146</v>
      </c>
      <c r="C83" s="10" t="s">
        <v>6146</v>
      </c>
      <c r="D83" s="10" t="s">
        <v>65</v>
      </c>
      <c r="E83" s="10" t="s">
        <v>6147</v>
      </c>
      <c r="F83" s="10" t="s">
        <v>6148</v>
      </c>
      <c r="G83" s="10" t="s">
        <v>5738</v>
      </c>
      <c r="H83" s="10" t="s">
        <v>6149</v>
      </c>
      <c r="I83" s="10" t="s">
        <v>6150</v>
      </c>
      <c r="J83" s="9" t="s">
        <v>65</v>
      </c>
      <c r="K83" s="10" t="s">
        <v>5275</v>
      </c>
      <c r="L83" s="10" t="s">
        <v>851</v>
      </c>
      <c r="M83" s="11">
        <v>48374</v>
      </c>
      <c r="N83" s="12" t="s">
        <v>5276</v>
      </c>
      <c r="O83" s="13" t="s">
        <v>1758</v>
      </c>
      <c r="P83" s="13" t="s">
        <v>2809</v>
      </c>
      <c r="Q83" s="13" t="s">
        <v>5289</v>
      </c>
      <c r="R83" s="13" t="s">
        <v>5438</v>
      </c>
      <c r="S83" s="13" t="s">
        <v>5278</v>
      </c>
      <c r="T83" s="13" t="s">
        <v>3174</v>
      </c>
      <c r="U83" s="14" t="s">
        <v>6343</v>
      </c>
      <c r="V83" s="14" t="s">
        <v>2917</v>
      </c>
      <c r="W83" s="14" t="s">
        <v>2933</v>
      </c>
      <c r="X83" s="14" t="s">
        <v>2934</v>
      </c>
      <c r="Y83" s="15">
        <v>1</v>
      </c>
      <c r="Z83" s="11">
        <v>37</v>
      </c>
      <c r="AA83" s="11">
        <v>2589.63</v>
      </c>
      <c r="AB83" s="16">
        <v>69.99</v>
      </c>
      <c r="AC83" s="17">
        <v>0.7236</v>
      </c>
      <c r="AD83" s="16">
        <v>8.85</v>
      </c>
      <c r="AE83" s="18">
        <v>5</v>
      </c>
      <c r="AF83" s="11">
        <v>1</v>
      </c>
      <c r="AG83" s="19">
        <v>0</v>
      </c>
      <c r="AH83" s="11">
        <v>0</v>
      </c>
      <c r="AI83" s="20"/>
      <c r="AJ83" s="9" t="s">
        <v>65</v>
      </c>
      <c r="AK83" s="9" t="s">
        <v>6151</v>
      </c>
      <c r="AL83" s="21">
        <v>24</v>
      </c>
      <c r="AM83" s="21">
        <v>1</v>
      </c>
      <c r="AN83" s="21">
        <v>1</v>
      </c>
      <c r="AO83" s="10" t="s">
        <v>5742</v>
      </c>
      <c r="AP83" s="9" t="s">
        <v>65</v>
      </c>
      <c r="AQ83" s="10" t="s">
        <v>65</v>
      </c>
      <c r="AR83" s="9" t="s">
        <v>997</v>
      </c>
      <c r="AS83" s="22" t="s">
        <v>6152</v>
      </c>
      <c r="AT83" s="22" t="s">
        <v>6153</v>
      </c>
    </row>
    <row r="84" ht="24" customHeight="1" spans="1:46">
      <c r="A84" s="9" t="str">
        <f>_xlfn.DISPIMG("ID_DD4208A522B34381AD1A51C00493DDD2",1)</f>
        <v>=DISPIMG("ID_DD4208A522B34381AD1A51C00493DDD2",1)</v>
      </c>
      <c r="B84" s="10" t="s">
        <v>6154</v>
      </c>
      <c r="C84" s="10" t="s">
        <v>6155</v>
      </c>
      <c r="D84" s="10" t="s">
        <v>6156</v>
      </c>
      <c r="E84" s="10" t="s">
        <v>6157</v>
      </c>
      <c r="F84" s="10" t="s">
        <v>6158</v>
      </c>
      <c r="G84" s="10" t="s">
        <v>3854</v>
      </c>
      <c r="H84" s="10" t="s">
        <v>6159</v>
      </c>
      <c r="I84" s="10" t="s">
        <v>6160</v>
      </c>
      <c r="J84" s="9" t="s">
        <v>1003</v>
      </c>
      <c r="K84" s="10" t="s">
        <v>5275</v>
      </c>
      <c r="L84" s="10" t="s">
        <v>851</v>
      </c>
      <c r="M84" s="11">
        <v>49122</v>
      </c>
      <c r="N84" s="12" t="s">
        <v>5276</v>
      </c>
      <c r="O84" s="13" t="s">
        <v>2103</v>
      </c>
      <c r="P84" s="13" t="s">
        <v>2809</v>
      </c>
      <c r="Q84" s="13" t="s">
        <v>5694</v>
      </c>
      <c r="R84" s="13" t="s">
        <v>3170</v>
      </c>
      <c r="S84" s="13" t="s">
        <v>1003</v>
      </c>
      <c r="T84" s="13" t="s">
        <v>3174</v>
      </c>
      <c r="U84" s="14" t="s">
        <v>5683</v>
      </c>
      <c r="V84" s="14" t="s">
        <v>2821</v>
      </c>
      <c r="W84" s="14" t="s">
        <v>2865</v>
      </c>
      <c r="X84" s="14" t="s">
        <v>2823</v>
      </c>
      <c r="Y84" s="15">
        <v>1</v>
      </c>
      <c r="Z84" s="11">
        <v>1243</v>
      </c>
      <c r="AA84" s="11">
        <v>305703.44</v>
      </c>
      <c r="AB84" s="16">
        <v>245.94</v>
      </c>
      <c r="AC84" s="17">
        <v>0.5915</v>
      </c>
      <c r="AD84" s="16">
        <v>63.58</v>
      </c>
      <c r="AE84" s="18">
        <v>4.4</v>
      </c>
      <c r="AF84" s="11">
        <v>1515</v>
      </c>
      <c r="AG84" s="19">
        <v>0.0274</v>
      </c>
      <c r="AH84" s="11">
        <v>34</v>
      </c>
      <c r="AI84" s="11">
        <v>93</v>
      </c>
      <c r="AJ84" s="9" t="s">
        <v>854</v>
      </c>
      <c r="AK84" s="9" t="s">
        <v>6161</v>
      </c>
      <c r="AL84" s="21">
        <v>1177</v>
      </c>
      <c r="AM84" s="21">
        <v>5</v>
      </c>
      <c r="AN84" s="21">
        <v>4</v>
      </c>
      <c r="AO84" s="10" t="s">
        <v>1515</v>
      </c>
      <c r="AP84" s="9" t="s">
        <v>65</v>
      </c>
      <c r="AQ84" s="10" t="s">
        <v>65</v>
      </c>
      <c r="AR84" s="9" t="s">
        <v>1516</v>
      </c>
      <c r="AS84" s="22" t="s">
        <v>6162</v>
      </c>
      <c r="AT84" s="22" t="s">
        <v>6163</v>
      </c>
    </row>
    <row r="85" ht="24" customHeight="1" spans="1:46">
      <c r="A85" s="9" t="str">
        <f>_xlfn.DISPIMG("ID_7BFF93D755934359A7AEC2C7EEB00DC4",1)</f>
        <v>=DISPIMG("ID_7BFF93D755934359A7AEC2C7EEB00DC4",1)</v>
      </c>
      <c r="B85" s="10" t="s">
        <v>6164</v>
      </c>
      <c r="C85" s="10" t="s">
        <v>6164</v>
      </c>
      <c r="D85" s="10" t="s">
        <v>65</v>
      </c>
      <c r="E85" s="10" t="s">
        <v>6165</v>
      </c>
      <c r="F85" s="10" t="s">
        <v>6166</v>
      </c>
      <c r="G85" s="10" t="s">
        <v>6167</v>
      </c>
      <c r="H85" s="10" t="s">
        <v>6168</v>
      </c>
      <c r="I85" s="10" t="s">
        <v>6169</v>
      </c>
      <c r="J85" s="9" t="s">
        <v>1003</v>
      </c>
      <c r="K85" s="10" t="s">
        <v>5275</v>
      </c>
      <c r="L85" s="10" t="s">
        <v>851</v>
      </c>
      <c r="M85" s="11">
        <v>49301</v>
      </c>
      <c r="N85" s="12" t="s">
        <v>5276</v>
      </c>
      <c r="O85" s="13" t="s">
        <v>4181</v>
      </c>
      <c r="P85" s="13" t="s">
        <v>2986</v>
      </c>
      <c r="Q85" s="13" t="s">
        <v>5006</v>
      </c>
      <c r="R85" s="13" t="s">
        <v>5438</v>
      </c>
      <c r="S85" s="13" t="s">
        <v>5278</v>
      </c>
      <c r="T85" s="13" t="s">
        <v>3174</v>
      </c>
      <c r="U85" s="14" t="s">
        <v>6343</v>
      </c>
      <c r="V85" s="14" t="s">
        <v>2883</v>
      </c>
      <c r="W85" s="14" t="s">
        <v>2930</v>
      </c>
      <c r="X85" s="14" t="s">
        <v>2934</v>
      </c>
      <c r="Y85" s="15">
        <v>1</v>
      </c>
      <c r="Z85" s="11">
        <v>174</v>
      </c>
      <c r="AA85" s="11">
        <v>12178.26</v>
      </c>
      <c r="AB85" s="16">
        <v>69.99</v>
      </c>
      <c r="AC85" s="17">
        <v>0.6268</v>
      </c>
      <c r="AD85" s="16">
        <v>15.62</v>
      </c>
      <c r="AE85" s="18">
        <v>4.2</v>
      </c>
      <c r="AF85" s="11">
        <v>25</v>
      </c>
      <c r="AG85" s="19">
        <v>0.023</v>
      </c>
      <c r="AH85" s="11">
        <v>4</v>
      </c>
      <c r="AI85" s="11">
        <v>9</v>
      </c>
      <c r="AJ85" s="9" t="s">
        <v>876</v>
      </c>
      <c r="AK85" s="9" t="s">
        <v>6170</v>
      </c>
      <c r="AL85" s="21">
        <v>273</v>
      </c>
      <c r="AM85" s="21">
        <v>1</v>
      </c>
      <c r="AN85" s="21">
        <v>1</v>
      </c>
      <c r="AO85" s="10" t="s">
        <v>6171</v>
      </c>
      <c r="AP85" s="9" t="s">
        <v>1288</v>
      </c>
      <c r="AQ85" s="10" t="s">
        <v>6172</v>
      </c>
      <c r="AR85" s="9" t="s">
        <v>997</v>
      </c>
      <c r="AS85" s="22" t="s">
        <v>6173</v>
      </c>
      <c r="AT85" s="22" t="s">
        <v>6174</v>
      </c>
    </row>
    <row r="86" ht="24" customHeight="1" spans="1:46">
      <c r="A86" s="9" t="str">
        <f>_xlfn.DISPIMG("ID_27AA9C44BAA3413D8D8F89C71E2B35AF",1)</f>
        <v>=DISPIMG("ID_27AA9C44BAA3413D8D8F89C71E2B35AF",1)</v>
      </c>
      <c r="B86" s="10" t="s">
        <v>6175</v>
      </c>
      <c r="C86" s="10" t="s">
        <v>6176</v>
      </c>
      <c r="D86" s="10" t="s">
        <v>3196</v>
      </c>
      <c r="E86" s="10" t="s">
        <v>6177</v>
      </c>
      <c r="F86" s="10" t="s">
        <v>6178</v>
      </c>
      <c r="G86" s="10" t="s">
        <v>2427</v>
      </c>
      <c r="H86" s="10" t="s">
        <v>6179</v>
      </c>
      <c r="I86" s="10" t="s">
        <v>6180</v>
      </c>
      <c r="J86" s="9" t="s">
        <v>934</v>
      </c>
      <c r="K86" s="10" t="s">
        <v>5275</v>
      </c>
      <c r="L86" s="10" t="s">
        <v>851</v>
      </c>
      <c r="M86" s="11">
        <v>49550</v>
      </c>
      <c r="N86" s="12" t="s">
        <v>5276</v>
      </c>
      <c r="O86" s="13" t="s">
        <v>1730</v>
      </c>
      <c r="P86" s="13" t="s">
        <v>2809</v>
      </c>
      <c r="Q86" s="13" t="s">
        <v>5619</v>
      </c>
      <c r="R86" s="13" t="s">
        <v>3170</v>
      </c>
      <c r="S86" s="13" t="s">
        <v>1003</v>
      </c>
      <c r="T86" s="13" t="s">
        <v>2889</v>
      </c>
      <c r="U86" s="14" t="s">
        <v>6181</v>
      </c>
      <c r="V86" s="14" t="s">
        <v>2821</v>
      </c>
      <c r="W86" s="14" t="s">
        <v>2865</v>
      </c>
      <c r="X86" s="14" t="s">
        <v>2868</v>
      </c>
      <c r="Y86" s="15">
        <v>1</v>
      </c>
      <c r="Z86" s="11">
        <v>268</v>
      </c>
      <c r="AA86" s="11">
        <v>72357.32</v>
      </c>
      <c r="AB86" s="16">
        <v>269.99</v>
      </c>
      <c r="AC86" s="17">
        <v>0.7476</v>
      </c>
      <c r="AD86" s="16">
        <v>27.64</v>
      </c>
      <c r="AE86" s="18">
        <v>4.5</v>
      </c>
      <c r="AF86" s="11">
        <v>878</v>
      </c>
      <c r="AG86" s="19">
        <v>0.0373</v>
      </c>
      <c r="AH86" s="11">
        <v>10</v>
      </c>
      <c r="AI86" s="11">
        <v>209</v>
      </c>
      <c r="AJ86" s="9" t="s">
        <v>854</v>
      </c>
      <c r="AK86" s="9" t="s">
        <v>6182</v>
      </c>
      <c r="AL86" s="21">
        <v>1604</v>
      </c>
      <c r="AM86" s="21">
        <v>3</v>
      </c>
      <c r="AN86" s="21">
        <v>1</v>
      </c>
      <c r="AO86" s="10" t="s">
        <v>2432</v>
      </c>
      <c r="AP86" s="9" t="s">
        <v>1110</v>
      </c>
      <c r="AQ86" s="10" t="s">
        <v>6183</v>
      </c>
      <c r="AR86" s="9" t="s">
        <v>2728</v>
      </c>
      <c r="AS86" s="22" t="s">
        <v>6184</v>
      </c>
      <c r="AT86" s="22" t="s">
        <v>6185</v>
      </c>
    </row>
    <row r="87" ht="24" customHeight="1" spans="1:46">
      <c r="A87" s="9" t="str">
        <f>_xlfn.DISPIMG("ID_B3CD866E89AB4FA7B413332177E78E0B",1)</f>
        <v>=DISPIMG("ID_B3CD866E89AB4FA7B413332177E78E0B",1)</v>
      </c>
      <c r="B87" s="10" t="s">
        <v>6186</v>
      </c>
      <c r="C87" s="10" t="s">
        <v>6187</v>
      </c>
      <c r="D87" s="10" t="s">
        <v>6188</v>
      </c>
      <c r="E87" s="10" t="s">
        <v>6189</v>
      </c>
      <c r="F87" s="10" t="s">
        <v>6190</v>
      </c>
      <c r="G87" s="10" t="s">
        <v>3854</v>
      </c>
      <c r="H87" s="10" t="s">
        <v>6191</v>
      </c>
      <c r="I87" s="10" t="s">
        <v>6192</v>
      </c>
      <c r="J87" s="9" t="s">
        <v>934</v>
      </c>
      <c r="K87" s="10" t="s">
        <v>5275</v>
      </c>
      <c r="L87" s="10" t="s">
        <v>851</v>
      </c>
      <c r="M87" s="11">
        <v>50190</v>
      </c>
      <c r="N87" s="12" t="s">
        <v>5276</v>
      </c>
      <c r="O87" s="13" t="s">
        <v>4204</v>
      </c>
      <c r="P87" s="13" t="s">
        <v>3005</v>
      </c>
      <c r="Q87" s="13" t="s">
        <v>5619</v>
      </c>
      <c r="R87" s="13" t="s">
        <v>3170</v>
      </c>
      <c r="S87" s="13" t="s">
        <v>1003</v>
      </c>
      <c r="T87" s="13" t="s">
        <v>5815</v>
      </c>
      <c r="U87" s="14" t="s">
        <v>5683</v>
      </c>
      <c r="V87" s="14" t="s">
        <v>2821</v>
      </c>
      <c r="W87" s="14" t="s">
        <v>2865</v>
      </c>
      <c r="X87" s="14" t="s">
        <v>2911</v>
      </c>
      <c r="Y87" s="15">
        <v>1</v>
      </c>
      <c r="Z87" s="11">
        <v>412</v>
      </c>
      <c r="AA87" s="11">
        <v>100935.88</v>
      </c>
      <c r="AB87" s="16">
        <v>244.99</v>
      </c>
      <c r="AC87" s="17">
        <v>0.6058</v>
      </c>
      <c r="AD87" s="16">
        <v>60.81</v>
      </c>
      <c r="AE87" s="18">
        <v>4.5</v>
      </c>
      <c r="AF87" s="11">
        <v>703</v>
      </c>
      <c r="AG87" s="19">
        <v>0.0413</v>
      </c>
      <c r="AH87" s="11">
        <v>17</v>
      </c>
      <c r="AI87" s="11">
        <v>59</v>
      </c>
      <c r="AJ87" s="9" t="s">
        <v>854</v>
      </c>
      <c r="AK87" s="9" t="s">
        <v>6193</v>
      </c>
      <c r="AL87" s="21">
        <v>1384</v>
      </c>
      <c r="AM87" s="21">
        <v>8</v>
      </c>
      <c r="AN87" s="21">
        <v>10</v>
      </c>
      <c r="AO87" s="10" t="s">
        <v>1515</v>
      </c>
      <c r="AP87" s="9" t="s">
        <v>65</v>
      </c>
      <c r="AQ87" s="10" t="s">
        <v>65</v>
      </c>
      <c r="AR87" s="9" t="s">
        <v>1516</v>
      </c>
      <c r="AS87" s="22" t="s">
        <v>6194</v>
      </c>
      <c r="AT87" s="22" t="s">
        <v>6195</v>
      </c>
    </row>
    <row r="88" ht="24" customHeight="1" spans="1:46">
      <c r="A88" s="9" t="str">
        <f>_xlfn.DISPIMG("ID_D086CFBECADB4B6B86189B257A5D7355",1)</f>
        <v>=DISPIMG("ID_D086CFBECADB4B6B86189B257A5D7355",1)</v>
      </c>
      <c r="B88" s="10" t="s">
        <v>6196</v>
      </c>
      <c r="C88" s="10" t="s">
        <v>6196</v>
      </c>
      <c r="D88" s="10" t="s">
        <v>65</v>
      </c>
      <c r="E88" s="10" t="s">
        <v>6197</v>
      </c>
      <c r="F88" s="10" t="s">
        <v>6198</v>
      </c>
      <c r="G88" s="10" t="s">
        <v>6199</v>
      </c>
      <c r="H88" s="10" t="s">
        <v>6200</v>
      </c>
      <c r="I88" s="10" t="s">
        <v>6201</v>
      </c>
      <c r="J88" s="9" t="s">
        <v>934</v>
      </c>
      <c r="K88" s="10" t="s">
        <v>5275</v>
      </c>
      <c r="L88" s="10" t="s">
        <v>851</v>
      </c>
      <c r="M88" s="11">
        <v>51725</v>
      </c>
      <c r="N88" s="12" t="s">
        <v>5276</v>
      </c>
      <c r="O88" s="13" t="s">
        <v>1923</v>
      </c>
      <c r="P88" s="13" t="s">
        <v>2986</v>
      </c>
      <c r="Q88" s="13" t="s">
        <v>5277</v>
      </c>
      <c r="R88" s="13" t="s">
        <v>5438</v>
      </c>
      <c r="S88" s="13" t="s">
        <v>5278</v>
      </c>
      <c r="T88" s="13" t="s">
        <v>3174</v>
      </c>
      <c r="U88" s="14" t="s">
        <v>6341</v>
      </c>
      <c r="V88" s="14" t="s">
        <v>2883</v>
      </c>
      <c r="W88" s="14" t="s">
        <v>2822</v>
      </c>
      <c r="X88" s="14" t="s">
        <v>2934</v>
      </c>
      <c r="Y88" s="15">
        <v>1</v>
      </c>
      <c r="Z88" s="11">
        <v>445</v>
      </c>
      <c r="AA88" s="11">
        <v>26250.55</v>
      </c>
      <c r="AB88" s="16">
        <v>58.99</v>
      </c>
      <c r="AC88" s="17">
        <v>0.7052</v>
      </c>
      <c r="AD88" s="16">
        <v>8.54</v>
      </c>
      <c r="AE88" s="18">
        <v>4.7</v>
      </c>
      <c r="AF88" s="11">
        <v>37</v>
      </c>
      <c r="AG88" s="19">
        <v>0.0135</v>
      </c>
      <c r="AH88" s="11">
        <v>6</v>
      </c>
      <c r="AI88" s="11">
        <v>3</v>
      </c>
      <c r="AJ88" s="9" t="s">
        <v>1267</v>
      </c>
      <c r="AK88" s="9" t="s">
        <v>6202</v>
      </c>
      <c r="AL88" s="21">
        <v>281</v>
      </c>
      <c r="AM88" s="21">
        <v>1</v>
      </c>
      <c r="AN88" s="21">
        <v>1</v>
      </c>
      <c r="AO88" s="10" t="s">
        <v>6203</v>
      </c>
      <c r="AP88" s="9" t="s">
        <v>1110</v>
      </c>
      <c r="AQ88" s="10" t="s">
        <v>6204</v>
      </c>
      <c r="AR88" s="9" t="s">
        <v>997</v>
      </c>
      <c r="AS88" s="22" t="s">
        <v>6205</v>
      </c>
      <c r="AT88" s="22" t="s">
        <v>6206</v>
      </c>
    </row>
    <row r="89" ht="24" customHeight="1" spans="1:46">
      <c r="A89" s="9" t="str">
        <f>_xlfn.DISPIMG("ID_E2A89678215A4A0FB56F81CABF6054D7",1)</f>
        <v>=DISPIMG("ID_E2A89678215A4A0FB56F81CABF6054D7",1)</v>
      </c>
      <c r="B89" s="10" t="s">
        <v>6207</v>
      </c>
      <c r="C89" s="10" t="s">
        <v>6208</v>
      </c>
      <c r="D89" s="10" t="s">
        <v>3196</v>
      </c>
      <c r="E89" s="10" t="s">
        <v>6209</v>
      </c>
      <c r="F89" s="10" t="s">
        <v>6210</v>
      </c>
      <c r="G89" s="10" t="s">
        <v>5604</v>
      </c>
      <c r="H89" s="10" t="s">
        <v>6211</v>
      </c>
      <c r="I89" s="10" t="s">
        <v>6212</v>
      </c>
      <c r="J89" s="9" t="s">
        <v>974</v>
      </c>
      <c r="K89" s="10" t="s">
        <v>5275</v>
      </c>
      <c r="L89" s="10" t="s">
        <v>5607</v>
      </c>
      <c r="M89" s="11">
        <v>11697</v>
      </c>
      <c r="N89" s="12" t="s">
        <v>5276</v>
      </c>
      <c r="O89" s="13" t="s">
        <v>1905</v>
      </c>
      <c r="P89" s="13" t="s">
        <v>2809</v>
      </c>
      <c r="Q89" s="13" t="s">
        <v>5277</v>
      </c>
      <c r="R89" s="13" t="s">
        <v>5438</v>
      </c>
      <c r="S89" s="13" t="s">
        <v>5278</v>
      </c>
      <c r="T89" s="13" t="s">
        <v>3174</v>
      </c>
      <c r="U89" s="14" t="s">
        <v>6341</v>
      </c>
      <c r="V89" s="14" t="s">
        <v>2917</v>
      </c>
      <c r="W89" s="14" t="s">
        <v>2865</v>
      </c>
      <c r="X89" s="14" t="s">
        <v>2979</v>
      </c>
      <c r="Y89" s="15">
        <v>1</v>
      </c>
      <c r="Z89" s="11">
        <v>4906</v>
      </c>
      <c r="AA89" s="11">
        <v>245250.95</v>
      </c>
      <c r="AB89" s="16">
        <v>49.99</v>
      </c>
      <c r="AC89" s="17">
        <v>0.6525</v>
      </c>
      <c r="AD89" s="16">
        <v>8.54</v>
      </c>
      <c r="AE89" s="18">
        <v>4.5</v>
      </c>
      <c r="AF89" s="11">
        <v>65</v>
      </c>
      <c r="AG89" s="19">
        <v>0.0008</v>
      </c>
      <c r="AH89" s="11">
        <v>4</v>
      </c>
      <c r="AI89" s="20"/>
      <c r="AJ89" s="9" t="s">
        <v>65</v>
      </c>
      <c r="AK89" s="9" t="s">
        <v>6213</v>
      </c>
      <c r="AL89" s="21">
        <v>169</v>
      </c>
      <c r="AM89" s="21">
        <v>4</v>
      </c>
      <c r="AN89" s="21">
        <v>6</v>
      </c>
      <c r="AO89" s="10" t="s">
        <v>5609</v>
      </c>
      <c r="AP89" s="9" t="s">
        <v>65</v>
      </c>
      <c r="AQ89" s="10" t="s">
        <v>65</v>
      </c>
      <c r="AR89" s="9" t="s">
        <v>997</v>
      </c>
      <c r="AS89" s="22" t="s">
        <v>6214</v>
      </c>
      <c r="AT89" s="22" t="s">
        <v>6215</v>
      </c>
    </row>
    <row r="90" ht="24" customHeight="1" spans="1:46">
      <c r="A90" s="9" t="str">
        <f>_xlfn.DISPIMG("ID_A36FDBD4F61D407DB9E081795F133E81",1)</f>
        <v>=DISPIMG("ID_A36FDBD4F61D407DB9E081795F133E81",1)</v>
      </c>
      <c r="B90" s="10" t="s">
        <v>6216</v>
      </c>
      <c r="C90" s="10" t="s">
        <v>6216</v>
      </c>
      <c r="D90" s="10" t="s">
        <v>65</v>
      </c>
      <c r="E90" s="10" t="s">
        <v>6217</v>
      </c>
      <c r="F90" s="10" t="s">
        <v>6218</v>
      </c>
      <c r="G90" s="10" t="s">
        <v>6219</v>
      </c>
      <c r="H90" s="10" t="s">
        <v>6220</v>
      </c>
      <c r="I90" s="10" t="s">
        <v>6221</v>
      </c>
      <c r="J90" s="9" t="s">
        <v>65</v>
      </c>
      <c r="K90" s="10" t="s">
        <v>5275</v>
      </c>
      <c r="L90" s="10" t="s">
        <v>851</v>
      </c>
      <c r="M90" s="11">
        <v>54746</v>
      </c>
      <c r="N90" s="12" t="s">
        <v>5276</v>
      </c>
      <c r="O90" s="13" t="s">
        <v>6222</v>
      </c>
      <c r="P90" s="13" t="s">
        <v>2986</v>
      </c>
      <c r="Q90" s="13" t="s">
        <v>5277</v>
      </c>
      <c r="R90" s="13" t="s">
        <v>5438</v>
      </c>
      <c r="S90" s="13" t="s">
        <v>5278</v>
      </c>
      <c r="T90" s="13" t="s">
        <v>3174</v>
      </c>
      <c r="U90" s="14" t="s">
        <v>5713</v>
      </c>
      <c r="V90" s="14" t="s">
        <v>2883</v>
      </c>
      <c r="W90" s="14" t="s">
        <v>2993</v>
      </c>
      <c r="X90" s="14" t="s">
        <v>2934</v>
      </c>
      <c r="Y90" s="15">
        <v>1</v>
      </c>
      <c r="Z90" s="11">
        <v>3</v>
      </c>
      <c r="AA90" s="11">
        <v>269.97</v>
      </c>
      <c r="AB90" s="16">
        <v>89.99</v>
      </c>
      <c r="AC90" s="17">
        <v>0.703</v>
      </c>
      <c r="AD90" s="16">
        <v>13.23</v>
      </c>
      <c r="AE90" s="18">
        <v>4</v>
      </c>
      <c r="AF90" s="11">
        <v>1</v>
      </c>
      <c r="AG90" s="19">
        <v>0</v>
      </c>
      <c r="AH90" s="11">
        <v>0</v>
      </c>
      <c r="AI90" s="20"/>
      <c r="AJ90" s="9" t="s">
        <v>65</v>
      </c>
      <c r="AK90" s="9" t="s">
        <v>1167</v>
      </c>
      <c r="AL90" s="21">
        <v>189</v>
      </c>
      <c r="AM90" s="21">
        <v>1</v>
      </c>
      <c r="AN90" s="21">
        <v>1</v>
      </c>
      <c r="AO90" s="10" t="s">
        <v>6223</v>
      </c>
      <c r="AP90" s="9" t="s">
        <v>1288</v>
      </c>
      <c r="AQ90" s="10" t="s">
        <v>6224</v>
      </c>
      <c r="AR90" s="9" t="s">
        <v>997</v>
      </c>
      <c r="AS90" s="22" t="s">
        <v>1119</v>
      </c>
      <c r="AT90" s="22" t="s">
        <v>6225</v>
      </c>
    </row>
    <row r="91" ht="24" customHeight="1" spans="1:46">
      <c r="A91" s="9" t="str">
        <f>_xlfn.DISPIMG("ID_9B49BD0BD3F94DB38D65AAE8D9D3E00F",1)</f>
        <v>=DISPIMG("ID_9B49BD0BD3F94DB38D65AAE8D9D3E00F",1)</v>
      </c>
      <c r="B91" s="10" t="s">
        <v>6226</v>
      </c>
      <c r="C91" s="10" t="s">
        <v>6226</v>
      </c>
      <c r="D91" s="10" t="s">
        <v>65</v>
      </c>
      <c r="E91" s="10" t="s">
        <v>6227</v>
      </c>
      <c r="F91" s="10" t="s">
        <v>6228</v>
      </c>
      <c r="G91" s="10" t="s">
        <v>6229</v>
      </c>
      <c r="H91" s="10" t="s">
        <v>6230</v>
      </c>
      <c r="I91" s="10" t="s">
        <v>6231</v>
      </c>
      <c r="J91" s="9" t="s">
        <v>65</v>
      </c>
      <c r="K91" s="10" t="s">
        <v>5275</v>
      </c>
      <c r="L91" s="10" t="s">
        <v>851</v>
      </c>
      <c r="M91" s="11">
        <v>55201</v>
      </c>
      <c r="N91" s="12" t="s">
        <v>5276</v>
      </c>
      <c r="O91" s="13" t="s">
        <v>4262</v>
      </c>
      <c r="P91" s="13" t="s">
        <v>2809</v>
      </c>
      <c r="Q91" s="13" t="s">
        <v>5277</v>
      </c>
      <c r="R91" s="13" t="s">
        <v>3170</v>
      </c>
      <c r="S91" s="13" t="s">
        <v>5278</v>
      </c>
      <c r="T91" s="13" t="s">
        <v>3174</v>
      </c>
      <c r="U91" s="14" t="s">
        <v>6342</v>
      </c>
      <c r="V91" s="14" t="s">
        <v>2917</v>
      </c>
      <c r="W91" s="30" t="s">
        <v>2930</v>
      </c>
      <c r="X91" s="30" t="s">
        <v>2934</v>
      </c>
      <c r="Y91" s="15">
        <v>1</v>
      </c>
      <c r="Z91" s="11">
        <v>71</v>
      </c>
      <c r="AA91" s="11">
        <v>2839.29</v>
      </c>
      <c r="AB91" s="16">
        <v>39.99</v>
      </c>
      <c r="AC91" s="17">
        <v>0.6364</v>
      </c>
      <c r="AD91" s="16">
        <v>8.54</v>
      </c>
      <c r="AE91" s="29"/>
      <c r="AF91" s="20"/>
      <c r="AG91" s="19">
        <v>0</v>
      </c>
      <c r="AH91" s="20"/>
      <c r="AI91" s="20"/>
      <c r="AJ91" s="9" t="s">
        <v>65</v>
      </c>
      <c r="AK91" s="9" t="s">
        <v>6232</v>
      </c>
      <c r="AL91" s="21">
        <v>21</v>
      </c>
      <c r="AM91" s="21">
        <v>1</v>
      </c>
      <c r="AN91" s="21">
        <v>1</v>
      </c>
      <c r="AO91" s="10" t="s">
        <v>6233</v>
      </c>
      <c r="AP91" s="9" t="s">
        <v>1110</v>
      </c>
      <c r="AQ91" s="10" t="s">
        <v>6234</v>
      </c>
      <c r="AR91" s="9" t="s">
        <v>997</v>
      </c>
      <c r="AS91" s="22" t="s">
        <v>6235</v>
      </c>
      <c r="AT91" s="22" t="s">
        <v>6236</v>
      </c>
    </row>
    <row r="92" ht="24" customHeight="1" spans="1:46">
      <c r="A92" s="9" t="str">
        <f>_xlfn.DISPIMG("ID_B0623CAAA4C840F798674237B6DAFB85",1)</f>
        <v>=DISPIMG("ID_B0623CAAA4C840F798674237B6DAFB85",1)</v>
      </c>
      <c r="B92" s="10" t="s">
        <v>6237</v>
      </c>
      <c r="C92" s="10" t="s">
        <v>6238</v>
      </c>
      <c r="D92" s="10" t="s">
        <v>6239</v>
      </c>
      <c r="E92" s="10" t="s">
        <v>6240</v>
      </c>
      <c r="F92" s="10" t="s">
        <v>6241</v>
      </c>
      <c r="G92" s="10" t="s">
        <v>6242</v>
      </c>
      <c r="H92" s="10" t="s">
        <v>6243</v>
      </c>
      <c r="I92" s="10" t="s">
        <v>6244</v>
      </c>
      <c r="J92" s="9" t="s">
        <v>974</v>
      </c>
      <c r="K92" s="10" t="s">
        <v>6245</v>
      </c>
      <c r="L92" s="10" t="s">
        <v>851</v>
      </c>
      <c r="M92" s="11">
        <v>55741</v>
      </c>
      <c r="N92" s="12" t="s">
        <v>5967</v>
      </c>
      <c r="O92" s="13" t="s">
        <v>6246</v>
      </c>
      <c r="P92" s="13" t="s">
        <v>2824</v>
      </c>
      <c r="Q92" s="13" t="s">
        <v>6247</v>
      </c>
      <c r="R92" s="13" t="s">
        <v>3170</v>
      </c>
      <c r="S92" s="13" t="s">
        <v>5278</v>
      </c>
      <c r="T92" s="13" t="s">
        <v>3174</v>
      </c>
      <c r="U92" s="14" t="s">
        <v>6248</v>
      </c>
      <c r="V92" s="14" t="s">
        <v>2821</v>
      </c>
      <c r="W92" s="14" t="s">
        <v>2822</v>
      </c>
      <c r="X92" s="14" t="s">
        <v>2911</v>
      </c>
      <c r="Y92" s="15">
        <v>1</v>
      </c>
      <c r="Z92" s="11">
        <v>129</v>
      </c>
      <c r="AA92" s="11">
        <v>109521</v>
      </c>
      <c r="AB92" s="16">
        <v>849</v>
      </c>
      <c r="AC92" s="17">
        <v>0.7648</v>
      </c>
      <c r="AD92" s="16">
        <v>72.36</v>
      </c>
      <c r="AE92" s="18">
        <v>4.7</v>
      </c>
      <c r="AF92" s="11">
        <v>626</v>
      </c>
      <c r="AG92" s="19">
        <v>0.0775</v>
      </c>
      <c r="AH92" s="11">
        <v>10</v>
      </c>
      <c r="AI92" s="20"/>
      <c r="AJ92" s="9" t="s">
        <v>947</v>
      </c>
      <c r="AK92" s="9" t="s">
        <v>6249</v>
      </c>
      <c r="AL92" s="21">
        <v>1274</v>
      </c>
      <c r="AM92" s="21">
        <v>4</v>
      </c>
      <c r="AN92" s="21">
        <v>1</v>
      </c>
      <c r="AO92" s="10" t="s">
        <v>6242</v>
      </c>
      <c r="AP92" s="9" t="s">
        <v>1401</v>
      </c>
      <c r="AQ92" s="10" t="s">
        <v>6250</v>
      </c>
      <c r="AR92" s="9" t="s">
        <v>2728</v>
      </c>
      <c r="AS92" s="22" t="s">
        <v>6251</v>
      </c>
      <c r="AT92" s="22" t="s">
        <v>6252</v>
      </c>
    </row>
    <row r="93" ht="24" customHeight="1" spans="1:46">
      <c r="A93" s="9" t="str">
        <f>_xlfn.DISPIMG("ID_C4894AA45FF64839AA336C5352AF4BA2",1)</f>
        <v>=DISPIMG("ID_C4894AA45FF64839AA336C5352AF4BA2",1)</v>
      </c>
      <c r="B93" s="10" t="s">
        <v>6253</v>
      </c>
      <c r="C93" s="10" t="s">
        <v>6254</v>
      </c>
      <c r="D93" s="10" t="s">
        <v>6255</v>
      </c>
      <c r="E93" s="10" t="s">
        <v>6256</v>
      </c>
      <c r="F93" s="10" t="s">
        <v>6257</v>
      </c>
      <c r="G93" s="10" t="s">
        <v>3854</v>
      </c>
      <c r="H93" s="10" t="s">
        <v>6258</v>
      </c>
      <c r="I93" s="10" t="s">
        <v>6259</v>
      </c>
      <c r="J93" s="9" t="s">
        <v>934</v>
      </c>
      <c r="K93" s="10" t="s">
        <v>5275</v>
      </c>
      <c r="L93" s="10" t="s">
        <v>6260</v>
      </c>
      <c r="M93" s="11">
        <v>364</v>
      </c>
      <c r="N93" s="12" t="s">
        <v>6261</v>
      </c>
      <c r="O93" s="13" t="s">
        <v>6262</v>
      </c>
      <c r="P93" s="13" t="s">
        <v>2986</v>
      </c>
      <c r="Q93" s="13" t="s">
        <v>6263</v>
      </c>
      <c r="R93" s="13" t="s">
        <v>3170</v>
      </c>
      <c r="S93" s="13" t="s">
        <v>1003</v>
      </c>
      <c r="T93" s="13" t="s">
        <v>5359</v>
      </c>
      <c r="U93" s="14" t="s">
        <v>5620</v>
      </c>
      <c r="V93" s="14" t="s">
        <v>2851</v>
      </c>
      <c r="W93" s="14" t="s">
        <v>2865</v>
      </c>
      <c r="X93" s="14" t="s">
        <v>2940</v>
      </c>
      <c r="Y93" s="15">
        <v>1</v>
      </c>
      <c r="Z93" s="11">
        <v>165</v>
      </c>
      <c r="AA93" s="11">
        <v>32998.35</v>
      </c>
      <c r="AB93" s="16">
        <v>199.99</v>
      </c>
      <c r="AC93" s="17">
        <v>0.5968</v>
      </c>
      <c r="AD93" s="16">
        <v>50.64</v>
      </c>
      <c r="AE93" s="18">
        <v>4.3</v>
      </c>
      <c r="AF93" s="11">
        <v>265</v>
      </c>
      <c r="AG93" s="19">
        <v>0.0727</v>
      </c>
      <c r="AH93" s="11">
        <v>12</v>
      </c>
      <c r="AI93" s="11">
        <v>24</v>
      </c>
      <c r="AJ93" s="9" t="s">
        <v>876</v>
      </c>
      <c r="AK93" s="9" t="s">
        <v>6264</v>
      </c>
      <c r="AL93" s="21">
        <v>960</v>
      </c>
      <c r="AM93" s="21">
        <v>10</v>
      </c>
      <c r="AN93" s="21">
        <v>8</v>
      </c>
      <c r="AO93" s="10" t="s">
        <v>1515</v>
      </c>
      <c r="AP93" s="9" t="s">
        <v>65</v>
      </c>
      <c r="AQ93" s="10" t="s">
        <v>65</v>
      </c>
      <c r="AR93" s="9" t="s">
        <v>1516</v>
      </c>
      <c r="AS93" s="22" t="s">
        <v>1915</v>
      </c>
      <c r="AT93" s="22" t="s">
        <v>6265</v>
      </c>
    </row>
    <row r="94" ht="24" customHeight="1" spans="1:46">
      <c r="A94" s="9" t="str">
        <f>_xlfn.DISPIMG("ID_519D37F05FBE4E449BB06B9C61FCEFB7",1)</f>
        <v>=DISPIMG("ID_519D37F05FBE4E449BB06B9C61FCEFB7",1)</v>
      </c>
      <c r="B94" s="10" t="s">
        <v>6266</v>
      </c>
      <c r="C94" s="10" t="s">
        <v>6267</v>
      </c>
      <c r="D94" s="10" t="s">
        <v>5400</v>
      </c>
      <c r="E94" s="10" t="s">
        <v>6268</v>
      </c>
      <c r="F94" s="10" t="s">
        <v>6269</v>
      </c>
      <c r="G94" s="10" t="s">
        <v>3854</v>
      </c>
      <c r="H94" s="10" t="s">
        <v>6270</v>
      </c>
      <c r="I94" s="10" t="s">
        <v>6271</v>
      </c>
      <c r="J94" s="9" t="s">
        <v>974</v>
      </c>
      <c r="K94" s="10" t="s">
        <v>5275</v>
      </c>
      <c r="L94" s="10" t="s">
        <v>851</v>
      </c>
      <c r="M94" s="11">
        <v>56790</v>
      </c>
      <c r="N94" s="12" t="s">
        <v>5276</v>
      </c>
      <c r="O94" s="13" t="s">
        <v>2329</v>
      </c>
      <c r="P94" s="13" t="s">
        <v>2958</v>
      </c>
      <c r="Q94" s="13" t="s">
        <v>5417</v>
      </c>
      <c r="R94" s="13" t="s">
        <v>3170</v>
      </c>
      <c r="S94" s="13" t="s">
        <v>1003</v>
      </c>
      <c r="T94" s="13" t="s">
        <v>2889</v>
      </c>
      <c r="U94" s="14" t="s">
        <v>5574</v>
      </c>
      <c r="V94" s="14" t="s">
        <v>2821</v>
      </c>
      <c r="W94" s="14" t="s">
        <v>2865</v>
      </c>
      <c r="X94" s="14" t="s">
        <v>2884</v>
      </c>
      <c r="Y94" s="15">
        <v>1</v>
      </c>
      <c r="Z94" s="11">
        <v>321</v>
      </c>
      <c r="AA94" s="11">
        <v>48146.793</v>
      </c>
      <c r="AB94" s="16">
        <v>149.99</v>
      </c>
      <c r="AC94" s="17">
        <v>0.6501</v>
      </c>
      <c r="AD94" s="16">
        <v>29.99</v>
      </c>
      <c r="AE94" s="18">
        <v>4.3</v>
      </c>
      <c r="AF94" s="11">
        <v>464</v>
      </c>
      <c r="AG94" s="19">
        <v>0.0187</v>
      </c>
      <c r="AH94" s="11">
        <v>6</v>
      </c>
      <c r="AI94" s="11">
        <v>67</v>
      </c>
      <c r="AJ94" s="9" t="s">
        <v>1098</v>
      </c>
      <c r="AK94" s="9" t="s">
        <v>6193</v>
      </c>
      <c r="AL94" s="21">
        <v>1384</v>
      </c>
      <c r="AM94" s="21">
        <v>5</v>
      </c>
      <c r="AN94" s="21">
        <v>2</v>
      </c>
      <c r="AO94" s="10" t="s">
        <v>1515</v>
      </c>
      <c r="AP94" s="9" t="s">
        <v>65</v>
      </c>
      <c r="AQ94" s="10" t="s">
        <v>65</v>
      </c>
      <c r="AR94" s="9" t="s">
        <v>1516</v>
      </c>
      <c r="AS94" s="22" t="s">
        <v>6272</v>
      </c>
      <c r="AT94" s="22" t="s">
        <v>6273</v>
      </c>
    </row>
    <row r="95" ht="24" customHeight="1" spans="1:46">
      <c r="A95" s="9" t="str">
        <f>_xlfn.DISPIMG("ID_CF7236A27C46434A8397FF124B9D96EA",1)</f>
        <v>=DISPIMG("ID_CF7236A27C46434A8397FF124B9D96EA",1)</v>
      </c>
      <c r="B95" s="10" t="s">
        <v>6274</v>
      </c>
      <c r="C95" s="10" t="s">
        <v>6274</v>
      </c>
      <c r="D95" s="10" t="s">
        <v>65</v>
      </c>
      <c r="E95" s="10" t="s">
        <v>6275</v>
      </c>
      <c r="F95" s="10" t="s">
        <v>6276</v>
      </c>
      <c r="G95" s="10" t="s">
        <v>6277</v>
      </c>
      <c r="H95" s="10" t="s">
        <v>6278</v>
      </c>
      <c r="I95" s="10" t="s">
        <v>6279</v>
      </c>
      <c r="J95" s="9" t="s">
        <v>1003</v>
      </c>
      <c r="K95" s="10" t="s">
        <v>5275</v>
      </c>
      <c r="L95" s="10" t="s">
        <v>851</v>
      </c>
      <c r="M95" s="11">
        <v>57050</v>
      </c>
      <c r="N95" s="12" t="s">
        <v>5276</v>
      </c>
      <c r="O95" s="13" t="s">
        <v>1935</v>
      </c>
      <c r="P95" s="13" t="s">
        <v>2963</v>
      </c>
      <c r="Q95" s="13" t="s">
        <v>5277</v>
      </c>
      <c r="R95" s="13" t="s">
        <v>3170</v>
      </c>
      <c r="S95" s="13" t="s">
        <v>5278</v>
      </c>
      <c r="T95" s="13" t="s">
        <v>3174</v>
      </c>
      <c r="U95" s="14" t="s">
        <v>6342</v>
      </c>
      <c r="V95" s="14" t="s">
        <v>2900</v>
      </c>
      <c r="W95" s="14" t="s">
        <v>2865</v>
      </c>
      <c r="X95" s="14" t="s">
        <v>2911</v>
      </c>
      <c r="Y95" s="15">
        <v>1</v>
      </c>
      <c r="Z95" s="11">
        <v>135</v>
      </c>
      <c r="AA95" s="11">
        <v>4869.45</v>
      </c>
      <c r="AB95" s="16">
        <v>36.07</v>
      </c>
      <c r="AC95" s="17">
        <v>0.6307</v>
      </c>
      <c r="AD95" s="16">
        <v>7.91</v>
      </c>
      <c r="AE95" s="18">
        <v>4.5</v>
      </c>
      <c r="AF95" s="11">
        <v>638</v>
      </c>
      <c r="AG95" s="19">
        <v>0</v>
      </c>
      <c r="AH95" s="11">
        <v>0</v>
      </c>
      <c r="AI95" s="11">
        <v>10</v>
      </c>
      <c r="AJ95" s="9" t="s">
        <v>876</v>
      </c>
      <c r="AK95" s="9" t="s">
        <v>1625</v>
      </c>
      <c r="AL95" s="21">
        <v>775</v>
      </c>
      <c r="AM95" s="21">
        <v>1</v>
      </c>
      <c r="AN95" s="21">
        <v>4</v>
      </c>
      <c r="AO95" s="10" t="s">
        <v>6073</v>
      </c>
      <c r="AP95" s="9" t="s">
        <v>1110</v>
      </c>
      <c r="AQ95" s="10" t="s">
        <v>6074</v>
      </c>
      <c r="AR95" s="9" t="s">
        <v>997</v>
      </c>
      <c r="AS95" s="22" t="s">
        <v>5361</v>
      </c>
      <c r="AT95" s="22" t="s">
        <v>6280</v>
      </c>
    </row>
    <row r="96" ht="24" customHeight="1" spans="1:46">
      <c r="A96" s="9" t="str">
        <f>_xlfn.DISPIMG("ID_DBFD2AA8D5634870BF0DA10746DFBC8B",1)</f>
        <v>=DISPIMG("ID_DBFD2AA8D5634870BF0DA10746DFBC8B",1)</v>
      </c>
      <c r="B96" s="10" t="s">
        <v>6281</v>
      </c>
      <c r="C96" s="10" t="s">
        <v>6282</v>
      </c>
      <c r="D96" s="10" t="s">
        <v>6283</v>
      </c>
      <c r="E96" s="10" t="s">
        <v>6284</v>
      </c>
      <c r="F96" s="10" t="s">
        <v>6285</v>
      </c>
      <c r="G96" s="10" t="s">
        <v>6286</v>
      </c>
      <c r="H96" s="10" t="s">
        <v>6287</v>
      </c>
      <c r="I96" s="10" t="s">
        <v>6288</v>
      </c>
      <c r="J96" s="9" t="s">
        <v>974</v>
      </c>
      <c r="K96" s="10" t="s">
        <v>5275</v>
      </c>
      <c r="L96" s="10" t="s">
        <v>851</v>
      </c>
      <c r="M96" s="11">
        <v>57157</v>
      </c>
      <c r="N96" s="12" t="s">
        <v>5276</v>
      </c>
      <c r="O96" s="13" t="s">
        <v>2011</v>
      </c>
      <c r="P96" s="13" t="s">
        <v>2881</v>
      </c>
      <c r="Q96" s="13" t="s">
        <v>5619</v>
      </c>
      <c r="R96" s="13" t="s">
        <v>3170</v>
      </c>
      <c r="S96" s="13" t="s">
        <v>1003</v>
      </c>
      <c r="T96" s="13" t="s">
        <v>5371</v>
      </c>
      <c r="U96" s="14" t="s">
        <v>5383</v>
      </c>
      <c r="V96" s="14" t="s">
        <v>2917</v>
      </c>
      <c r="W96" s="14" t="s">
        <v>2930</v>
      </c>
      <c r="X96" s="14" t="s">
        <v>2934</v>
      </c>
      <c r="Y96" s="15">
        <v>1</v>
      </c>
      <c r="Z96" s="11">
        <v>156</v>
      </c>
      <c r="AA96" s="11">
        <v>28078.441</v>
      </c>
      <c r="AB96" s="16">
        <v>179.99</v>
      </c>
      <c r="AC96" s="17">
        <v>0.4736</v>
      </c>
      <c r="AD96" s="16">
        <v>67.74</v>
      </c>
      <c r="AE96" s="18">
        <v>4.2</v>
      </c>
      <c r="AF96" s="11">
        <v>12</v>
      </c>
      <c r="AG96" s="19">
        <v>0.0128</v>
      </c>
      <c r="AH96" s="11">
        <v>2</v>
      </c>
      <c r="AI96" s="11">
        <v>3</v>
      </c>
      <c r="AJ96" s="9" t="s">
        <v>947</v>
      </c>
      <c r="AK96" s="9" t="s">
        <v>1014</v>
      </c>
      <c r="AL96" s="21">
        <v>161</v>
      </c>
      <c r="AM96" s="21">
        <v>3</v>
      </c>
      <c r="AN96" s="21">
        <v>1</v>
      </c>
      <c r="AO96" s="10" t="s">
        <v>6289</v>
      </c>
      <c r="AP96" s="9" t="s">
        <v>1110</v>
      </c>
      <c r="AQ96" s="10" t="s">
        <v>6290</v>
      </c>
      <c r="AR96" s="9" t="s">
        <v>2728</v>
      </c>
      <c r="AS96" s="22" t="s">
        <v>6291</v>
      </c>
      <c r="AT96" s="22" t="s">
        <v>6292</v>
      </c>
    </row>
    <row r="97" ht="24" customHeight="1" spans="1:46">
      <c r="A97" s="9" t="str">
        <f>_xlfn.DISPIMG("ID_33112E0DBE04487593F4F7FABCB9A460",1)</f>
        <v>=DISPIMG("ID_33112E0DBE04487593F4F7FABCB9A460",1)</v>
      </c>
      <c r="B97" s="10" t="s">
        <v>6293</v>
      </c>
      <c r="C97" s="10" t="s">
        <v>6294</v>
      </c>
      <c r="D97" s="10" t="s">
        <v>6295</v>
      </c>
      <c r="E97" s="10" t="s">
        <v>6296</v>
      </c>
      <c r="F97" s="10" t="s">
        <v>6297</v>
      </c>
      <c r="G97" s="10" t="s">
        <v>6298</v>
      </c>
      <c r="H97" s="10" t="s">
        <v>6299</v>
      </c>
      <c r="I97" s="10" t="s">
        <v>6300</v>
      </c>
      <c r="J97" s="9" t="s">
        <v>974</v>
      </c>
      <c r="K97" s="10" t="s">
        <v>5275</v>
      </c>
      <c r="L97" s="10" t="s">
        <v>851</v>
      </c>
      <c r="M97" s="11">
        <v>58236</v>
      </c>
      <c r="N97" s="12" t="s">
        <v>5276</v>
      </c>
      <c r="O97" s="13" t="s">
        <v>2194</v>
      </c>
      <c r="P97" s="13" t="s">
        <v>2824</v>
      </c>
      <c r="Q97" s="13" t="s">
        <v>5573</v>
      </c>
      <c r="R97" s="13" t="s">
        <v>3170</v>
      </c>
      <c r="S97" s="13" t="s">
        <v>5278</v>
      </c>
      <c r="T97" s="13" t="s">
        <v>3174</v>
      </c>
      <c r="U97" s="14" t="s">
        <v>5929</v>
      </c>
      <c r="V97" s="14" t="s">
        <v>2821</v>
      </c>
      <c r="W97" s="14" t="s">
        <v>2822</v>
      </c>
      <c r="X97" s="14" t="s">
        <v>2823</v>
      </c>
      <c r="Y97" s="15">
        <v>1</v>
      </c>
      <c r="Z97" s="11">
        <v>161</v>
      </c>
      <c r="AA97" s="11">
        <v>33737.55</v>
      </c>
      <c r="AB97" s="16">
        <v>209.55</v>
      </c>
      <c r="AC97" s="17">
        <v>0.7297</v>
      </c>
      <c r="AD97" s="16">
        <v>25.2</v>
      </c>
      <c r="AE97" s="18">
        <v>4.6</v>
      </c>
      <c r="AF97" s="11">
        <v>1348</v>
      </c>
      <c r="AG97" s="19">
        <v>0.0497</v>
      </c>
      <c r="AH97" s="11">
        <v>8</v>
      </c>
      <c r="AI97" s="11">
        <v>255</v>
      </c>
      <c r="AJ97" s="9" t="s">
        <v>854</v>
      </c>
      <c r="AK97" s="9" t="s">
        <v>6301</v>
      </c>
      <c r="AL97" s="21">
        <v>2147</v>
      </c>
      <c r="AM97" s="21">
        <v>2</v>
      </c>
      <c r="AN97" s="21">
        <v>8</v>
      </c>
      <c r="AO97" s="10" t="s">
        <v>6302</v>
      </c>
      <c r="AP97" s="9" t="s">
        <v>1288</v>
      </c>
      <c r="AQ97" s="10" t="s">
        <v>6303</v>
      </c>
      <c r="AR97" s="9" t="s">
        <v>997</v>
      </c>
      <c r="AS97" s="22" t="s">
        <v>915</v>
      </c>
      <c r="AT97" s="22" t="s">
        <v>6304</v>
      </c>
    </row>
    <row r="98" ht="24" customHeight="1" spans="1:46">
      <c r="A98" s="9" t="str">
        <f>_xlfn.DISPIMG("ID_D6910A8588E64E95AF4CC045AA2E2246",1)</f>
        <v>=DISPIMG("ID_D6910A8588E64E95AF4CC045AA2E2246",1)</v>
      </c>
      <c r="B98" s="10" t="s">
        <v>6305</v>
      </c>
      <c r="C98" s="10" t="s">
        <v>6305</v>
      </c>
      <c r="D98" s="10" t="s">
        <v>65</v>
      </c>
      <c r="E98" s="10" t="s">
        <v>6306</v>
      </c>
      <c r="F98" s="10" t="s">
        <v>6307</v>
      </c>
      <c r="G98" s="10" t="s">
        <v>3854</v>
      </c>
      <c r="H98" s="10" t="s">
        <v>6308</v>
      </c>
      <c r="I98" s="10" t="s">
        <v>6309</v>
      </c>
      <c r="J98" s="9" t="s">
        <v>934</v>
      </c>
      <c r="K98" s="10" t="s">
        <v>5275</v>
      </c>
      <c r="L98" s="10" t="s">
        <v>851</v>
      </c>
      <c r="M98" s="11">
        <v>58886</v>
      </c>
      <c r="N98" s="12" t="s">
        <v>5276</v>
      </c>
      <c r="O98" s="13" t="s">
        <v>4329</v>
      </c>
      <c r="P98" s="13" t="s">
        <v>6310</v>
      </c>
      <c r="Q98" s="13" t="s">
        <v>5619</v>
      </c>
      <c r="R98" s="13" t="s">
        <v>3170</v>
      </c>
      <c r="S98" s="13" t="s">
        <v>1003</v>
      </c>
      <c r="T98" s="13" t="s">
        <v>3174</v>
      </c>
      <c r="U98" s="14" t="s">
        <v>5929</v>
      </c>
      <c r="V98" s="14" t="s">
        <v>2851</v>
      </c>
      <c r="W98" s="14" t="s">
        <v>2865</v>
      </c>
      <c r="X98" s="14" t="s">
        <v>2911</v>
      </c>
      <c r="Y98" s="15">
        <v>1</v>
      </c>
      <c r="Z98" s="11">
        <v>188</v>
      </c>
      <c r="AA98" s="11">
        <v>40117.32</v>
      </c>
      <c r="AB98" s="16">
        <v>213.39</v>
      </c>
      <c r="AC98" s="17">
        <v>0.6019</v>
      </c>
      <c r="AD98" s="16">
        <v>52.95</v>
      </c>
      <c r="AE98" s="18">
        <v>4.3</v>
      </c>
      <c r="AF98" s="11">
        <v>682</v>
      </c>
      <c r="AG98" s="19">
        <v>0.0532</v>
      </c>
      <c r="AH98" s="11">
        <v>10</v>
      </c>
      <c r="AI98" s="11">
        <v>219</v>
      </c>
      <c r="AJ98" s="9" t="s">
        <v>947</v>
      </c>
      <c r="AK98" s="9" t="s">
        <v>6311</v>
      </c>
      <c r="AL98" s="21">
        <v>1058</v>
      </c>
      <c r="AM98" s="21">
        <v>1</v>
      </c>
      <c r="AN98" s="21">
        <v>1</v>
      </c>
      <c r="AO98" s="10" t="s">
        <v>1515</v>
      </c>
      <c r="AP98" s="9" t="s">
        <v>65</v>
      </c>
      <c r="AQ98" s="10" t="s">
        <v>65</v>
      </c>
      <c r="AR98" s="9" t="s">
        <v>1516</v>
      </c>
      <c r="AS98" s="22" t="s">
        <v>6312</v>
      </c>
      <c r="AT98" s="22" t="s">
        <v>6313</v>
      </c>
    </row>
    <row r="99" ht="24" customHeight="1" spans="1:46">
      <c r="A99" s="9" t="str">
        <f>_xlfn.DISPIMG("ID_B5A22AD49AA34AB39873D4E6BB0BA4D0",1)</f>
        <v>=DISPIMG("ID_B5A22AD49AA34AB39873D4E6BB0BA4D0",1)</v>
      </c>
      <c r="B99" s="10" t="s">
        <v>6314</v>
      </c>
      <c r="C99" s="10" t="s">
        <v>6314</v>
      </c>
      <c r="D99" s="10" t="s">
        <v>65</v>
      </c>
      <c r="E99" s="10" t="s">
        <v>6315</v>
      </c>
      <c r="F99" s="10" t="s">
        <v>6316</v>
      </c>
      <c r="G99" s="10" t="s">
        <v>5801</v>
      </c>
      <c r="H99" s="10" t="s">
        <v>6317</v>
      </c>
      <c r="I99" s="10" t="s">
        <v>6318</v>
      </c>
      <c r="J99" s="9" t="s">
        <v>974</v>
      </c>
      <c r="K99" s="10" t="s">
        <v>5275</v>
      </c>
      <c r="L99" s="10" t="s">
        <v>851</v>
      </c>
      <c r="M99" s="11">
        <v>59215</v>
      </c>
      <c r="N99" s="12" t="s">
        <v>5276</v>
      </c>
      <c r="O99" s="13" t="s">
        <v>2256</v>
      </c>
      <c r="P99" s="13" t="s">
        <v>2881</v>
      </c>
      <c r="Q99" s="13" t="s">
        <v>5694</v>
      </c>
      <c r="R99" s="13" t="s">
        <v>3170</v>
      </c>
      <c r="S99" s="13" t="s">
        <v>1003</v>
      </c>
      <c r="T99" s="13" t="s">
        <v>3174</v>
      </c>
      <c r="U99" s="14" t="s">
        <v>5383</v>
      </c>
      <c r="V99" s="14" t="s">
        <v>2821</v>
      </c>
      <c r="W99" s="14" t="s">
        <v>2865</v>
      </c>
      <c r="X99" s="14" t="s">
        <v>2940</v>
      </c>
      <c r="Y99" s="15">
        <v>1</v>
      </c>
      <c r="Z99" s="11">
        <v>32</v>
      </c>
      <c r="AA99" s="11">
        <v>5439.68</v>
      </c>
      <c r="AB99" s="16">
        <v>169.99</v>
      </c>
      <c r="AC99" s="17">
        <v>0.5337</v>
      </c>
      <c r="AD99" s="16">
        <v>56.93</v>
      </c>
      <c r="AE99" s="18">
        <v>4.5</v>
      </c>
      <c r="AF99" s="11">
        <v>283</v>
      </c>
      <c r="AG99" s="19">
        <v>0.0625</v>
      </c>
      <c r="AH99" s="11">
        <v>2</v>
      </c>
      <c r="AI99" s="11">
        <v>29</v>
      </c>
      <c r="AJ99" s="9" t="s">
        <v>947</v>
      </c>
      <c r="AK99" s="9" t="s">
        <v>6319</v>
      </c>
      <c r="AL99" s="21">
        <v>1223</v>
      </c>
      <c r="AM99" s="21">
        <v>1</v>
      </c>
      <c r="AN99" s="21">
        <v>1</v>
      </c>
      <c r="AO99" s="10" t="s">
        <v>5805</v>
      </c>
      <c r="AP99" s="9" t="s">
        <v>1288</v>
      </c>
      <c r="AQ99" s="10" t="s">
        <v>5806</v>
      </c>
      <c r="AR99" s="9" t="s">
        <v>2728</v>
      </c>
      <c r="AS99" s="22" t="s">
        <v>5807</v>
      </c>
      <c r="AT99" s="22" t="s">
        <v>6320</v>
      </c>
    </row>
    <row r="100" ht="24" customHeight="1" spans="1:46">
      <c r="A100" s="9" t="str">
        <f>_xlfn.DISPIMG("ID_DFBCB95530A0409EA777C6A7D1A9A4FC",1)</f>
        <v>=DISPIMG("ID_DFBCB95530A0409EA777C6A7D1A9A4FC",1)</v>
      </c>
      <c r="B100" s="10" t="s">
        <v>6321</v>
      </c>
      <c r="C100" s="10" t="s">
        <v>6322</v>
      </c>
      <c r="D100" s="10" t="s">
        <v>6323</v>
      </c>
      <c r="E100" s="10" t="s">
        <v>6324</v>
      </c>
      <c r="F100" s="10" t="s">
        <v>6325</v>
      </c>
      <c r="G100" s="10" t="s">
        <v>5912</v>
      </c>
      <c r="H100" s="10" t="s">
        <v>6326</v>
      </c>
      <c r="I100" s="10" t="s">
        <v>6327</v>
      </c>
      <c r="J100" s="9" t="s">
        <v>974</v>
      </c>
      <c r="K100" s="10" t="s">
        <v>5915</v>
      </c>
      <c r="L100" s="10" t="s">
        <v>851</v>
      </c>
      <c r="M100" s="11">
        <v>59810</v>
      </c>
      <c r="N100" s="12" t="s">
        <v>5276</v>
      </c>
      <c r="O100" s="13" t="s">
        <v>6328</v>
      </c>
      <c r="P100" s="13" t="s">
        <v>2824</v>
      </c>
      <c r="Q100" s="13" t="s">
        <v>5619</v>
      </c>
      <c r="R100" s="13" t="s">
        <v>3170</v>
      </c>
      <c r="S100" s="13" t="s">
        <v>1003</v>
      </c>
      <c r="T100" s="13" t="s">
        <v>2896</v>
      </c>
      <c r="U100" s="14" t="s">
        <v>5574</v>
      </c>
      <c r="V100" s="14" t="s">
        <v>2917</v>
      </c>
      <c r="W100" s="14" t="s">
        <v>6329</v>
      </c>
      <c r="X100" s="14" t="s">
        <v>2934</v>
      </c>
      <c r="Y100" s="15">
        <v>1</v>
      </c>
      <c r="Z100" s="11">
        <v>217</v>
      </c>
      <c r="AA100" s="11">
        <v>32547.832</v>
      </c>
      <c r="AB100" s="16">
        <v>149.99</v>
      </c>
      <c r="AC100" s="17">
        <v>0.5964</v>
      </c>
      <c r="AD100" s="16">
        <v>38.04</v>
      </c>
      <c r="AE100" s="18">
        <v>1</v>
      </c>
      <c r="AF100" s="11">
        <v>1</v>
      </c>
      <c r="AG100" s="19">
        <v>0</v>
      </c>
      <c r="AH100" s="11">
        <v>0</v>
      </c>
      <c r="AI100" s="20"/>
      <c r="AJ100" s="9" t="s">
        <v>65</v>
      </c>
      <c r="AK100" s="9" t="s">
        <v>6330</v>
      </c>
      <c r="AL100" s="21">
        <v>42</v>
      </c>
      <c r="AM100" s="21">
        <v>2</v>
      </c>
      <c r="AN100" s="21">
        <v>2</v>
      </c>
      <c r="AO100" s="10" t="s">
        <v>6117</v>
      </c>
      <c r="AP100" s="9" t="s">
        <v>1110</v>
      </c>
      <c r="AQ100" s="10" t="s">
        <v>6118</v>
      </c>
      <c r="AR100" s="9" t="s">
        <v>2728</v>
      </c>
      <c r="AS100" s="22" t="s">
        <v>6331</v>
      </c>
      <c r="AT100" s="22" t="s">
        <v>6332</v>
      </c>
    </row>
    <row r="101" ht="24" customHeight="1" spans="1:46">
      <c r="A101" s="9" t="str">
        <f>_xlfn.DISPIMG("ID_24344BA306204A4CB953CDE27DAA96A5",1)</f>
        <v>=DISPIMG("ID_24344BA306204A4CB953CDE27DAA96A5",1)</v>
      </c>
      <c r="B101" s="10" t="s">
        <v>6333</v>
      </c>
      <c r="C101" s="10" t="s">
        <v>6333</v>
      </c>
      <c r="D101" s="10" t="s">
        <v>65</v>
      </c>
      <c r="E101" s="10" t="s">
        <v>6334</v>
      </c>
      <c r="F101" s="10" t="s">
        <v>6335</v>
      </c>
      <c r="G101" s="10" t="s">
        <v>5738</v>
      </c>
      <c r="H101" s="10" t="s">
        <v>6336</v>
      </c>
      <c r="I101" s="10" t="s">
        <v>6337</v>
      </c>
      <c r="J101" s="9" t="s">
        <v>1042</v>
      </c>
      <c r="K101" s="10" t="s">
        <v>5275</v>
      </c>
      <c r="L101" s="10" t="s">
        <v>851</v>
      </c>
      <c r="M101" s="11">
        <v>61193</v>
      </c>
      <c r="N101" s="12" t="s">
        <v>5276</v>
      </c>
      <c r="O101" s="13" t="s">
        <v>6338</v>
      </c>
      <c r="P101" s="13" t="s">
        <v>2986</v>
      </c>
      <c r="Q101" s="13" t="s">
        <v>5289</v>
      </c>
      <c r="R101" s="13" t="s">
        <v>5438</v>
      </c>
      <c r="S101" s="13" t="s">
        <v>1003</v>
      </c>
      <c r="T101" s="13" t="s">
        <v>2896</v>
      </c>
      <c r="U101" s="14" t="s">
        <v>6343</v>
      </c>
      <c r="V101" s="14" t="s">
        <v>2917</v>
      </c>
      <c r="W101" s="14" t="s">
        <v>2865</v>
      </c>
      <c r="X101" s="14" t="s">
        <v>2934</v>
      </c>
      <c r="Y101" s="15">
        <v>1</v>
      </c>
      <c r="Z101" s="11">
        <v>1007</v>
      </c>
      <c r="AA101" s="11">
        <v>70479.93</v>
      </c>
      <c r="AB101" s="16">
        <v>69.99</v>
      </c>
      <c r="AC101" s="17">
        <v>0.6496</v>
      </c>
      <c r="AD101" s="16">
        <v>14.03</v>
      </c>
      <c r="AE101" s="18">
        <v>4.5</v>
      </c>
      <c r="AF101" s="11">
        <v>33</v>
      </c>
      <c r="AG101" s="19">
        <v>0.0189</v>
      </c>
      <c r="AH101" s="11">
        <v>19</v>
      </c>
      <c r="AI101" s="20"/>
      <c r="AJ101" s="9" t="s">
        <v>876</v>
      </c>
      <c r="AK101" s="9" t="s">
        <v>5741</v>
      </c>
      <c r="AL101" s="21">
        <v>102</v>
      </c>
      <c r="AM101" s="21">
        <v>1</v>
      </c>
      <c r="AN101" s="21">
        <v>1</v>
      </c>
      <c r="AO101" s="10" t="s">
        <v>65</v>
      </c>
      <c r="AP101" s="9" t="s">
        <v>65</v>
      </c>
      <c r="AQ101" s="10" t="s">
        <v>65</v>
      </c>
      <c r="AR101" s="9" t="s">
        <v>856</v>
      </c>
      <c r="AS101" s="22" t="s">
        <v>6339</v>
      </c>
      <c r="AT101" s="22" t="s">
        <v>6340</v>
      </c>
    </row>
  </sheetData>
  <dataValidations count="4">
    <dataValidation type="list" allowBlank="1" showInputMessage="1" showErrorMessage="1" sqref="U2:U101">
      <formula1>"0~20usd,20~40usd,40~60usd,60~80usd,80~100usd,100~120us,120~140usd,140~160usd,160~180usd,180~200usd,200~220usd,220~240usd,240~260usd,260~280usd,280~300usd,≥300usd"</formula1>
    </dataValidation>
    <dataValidation type="list" allowBlank="1" showInputMessage="1" showErrorMessage="1" sqref="V2:V101">
      <formula1>"半年,半年-1年,1年~1年半,1年半~2年,2年~2年半,2年半~3年,≥3年以上"</formula1>
    </dataValidation>
    <dataValidation type="list" allowBlank="1" showInputMessage="1" showErrorMessage="1" sqref="W2:W101">
      <formula1>"0~1,1~2,2~3,3~4,4~4.2,4.2~4.5,4.5~4.8,4.8~5"</formula1>
    </dataValidation>
    <dataValidation type="list" allowBlank="1" showInputMessage="1" showErrorMessage="1" sqref="X2:X101">
      <formula1>"0-50,50-100,100-300,300-500,500-800,800-1000,≥1000"</formula1>
    </dataValidation>
  </dataValidations>
  <hyperlinks>
    <hyperlink ref="E2" r:id="rId1" display="https://www.amazon.com/dp/B01G7IL3BS?psc=1" tooltip="https://www.amazon.com/dp/B01G7IL3BS?psc=1"/>
    <hyperlink ref="F2" r:id="rId2" display="https://m.media-amazon.com/images/I/31vl3dU0i5L._AC_US600_.jpg" tooltip="https://m.media-amazon.com/images/I/31vl3dU0i5L._AC_US600_.jpg"/>
    <hyperlink ref="E3" r:id="rId3" display="https://www.amazon.com/dp/B08NQ5CPPG?psc=1" tooltip="https://www.amazon.com/dp/B08NQ5CPPG?psc=1"/>
    <hyperlink ref="F3" r:id="rId4" display="https://images-na.ssl-images-amazon.com/images/I/31wYF43uHtL._AC_US600_.jpg" tooltip="https://images-na.ssl-images-amazon.com/images/I/31wYF43uHtL._AC_US600_.jpg"/>
    <hyperlink ref="E4" r:id="rId5" display="https://www.amazon.com/dp/B07KZLJ7PB?psc=1" tooltip="https://www.amazon.com/dp/B07KZLJ7PB?psc=1"/>
    <hyperlink ref="F4" r:id="rId6" display="https://images-na.ssl-images-amazon.com/images/I/41tMsAM-k9L._AC_US600_.jpg" tooltip="https://images-na.ssl-images-amazon.com/images/I/41tMsAM-k9L._AC_US600_.jpg"/>
    <hyperlink ref="E5" r:id="rId7" display="https://www.amazon.com/dp/B076X7HF7F?psc=1" tooltip="https://www.amazon.com/dp/B076X7HF7F?psc=1"/>
    <hyperlink ref="F5" r:id="rId8" display="https://images-na.ssl-images-amazon.com/images/I/31zvudif4zL._AC_US600_.jpg" tooltip="https://images-na.ssl-images-amazon.com/images/I/31zvudif4zL._AC_US600_.jpg"/>
    <hyperlink ref="E6" r:id="rId9" display="https://www.amazon.com/dp/B07S2RBCT5?psc=1" tooltip="https://www.amazon.com/dp/B07S2RBCT5?psc=1"/>
    <hyperlink ref="F6" r:id="rId10" display="https://images-na.ssl-images-amazon.com/images/I/31X8FFcg9aL._AC_US600_.jpg" tooltip="https://images-na.ssl-images-amazon.com/images/I/31X8FFcg9aL._AC_US600_.jpg"/>
    <hyperlink ref="E7" r:id="rId11" display="https://www.amazon.com/dp/B07Y8TM6SW?psc=1" tooltip="https://www.amazon.com/dp/B07Y8TM6SW?psc=1"/>
    <hyperlink ref="F7" r:id="rId12" display="https://images-na.ssl-images-amazon.com/images/I/31DVc5msIiL._AC_US600_.jpg" tooltip="https://images-na.ssl-images-amazon.com/images/I/31DVc5msIiL._AC_US600_.jpg"/>
    <hyperlink ref="E8" r:id="rId13" display="https://www.amazon.com/dp/B087Z2MLN2?psc=1" tooltip="https://www.amazon.com/dp/B087Z2MLN2?psc=1"/>
    <hyperlink ref="F8" r:id="rId14" display="https://images-na.ssl-images-amazon.com/images/I/31GxgiNY49S._AC_US600_.jpg" tooltip="https://images-na.ssl-images-amazon.com/images/I/31GxgiNY49S._AC_US600_.jpg"/>
    <hyperlink ref="E9" r:id="rId15" display="https://www.amazon.com/dp/B0B4CJD575?psc=1" tooltip="https://www.amazon.com/dp/B0B4CJD575?psc=1"/>
    <hyperlink ref="F9" r:id="rId16" display="https://images-na.ssl-images-amazon.com/images/I/41cQkNo5a+L._AC_US600_.jpg" tooltip="https://images-na.ssl-images-amazon.com/images/I/41cQkNo5a+L._AC_US600_.jpg"/>
    <hyperlink ref="E10" r:id="rId17" display="https://www.amazon.com/dp/B0BBZFPQRL?psc=1" tooltip="https://www.amazon.com/dp/B0BBZFPQRL?psc=1"/>
    <hyperlink ref="F10" r:id="rId18" display="https://images-na.ssl-images-amazon.com/images/I/41uP68XaHdL._AC_US600_.jpg" tooltip="https://images-na.ssl-images-amazon.com/images/I/41uP68XaHdL._AC_US600_.jpg"/>
    <hyperlink ref="E11" r:id="rId19" display="https://www.amazon.com/dp/B07LDWLNVF?psc=1" tooltip="https://www.amazon.com/dp/B07LDWLNVF?psc=1"/>
    <hyperlink ref="F11" r:id="rId20" display="https://m.media-amazon.com/images/I/31PEAf-CcSL._AC_SR600,600_.jpg" tooltip="https://m.media-amazon.com/images/I/31PEAf-CcSL._AC_SR600,600_.jpg"/>
    <hyperlink ref="E12" r:id="rId21" display="https://www.amazon.com/dp/B01MRUXFJT?psc=1" tooltip="https://www.amazon.com/dp/B01MRUXFJT?psc=1"/>
    <hyperlink ref="F12" r:id="rId22" display="https://m.media-amazon.com/images/I/411-G+Av1-L._AC_SR600,600_.jpg" tooltip="https://m.media-amazon.com/images/I/411-G+Av1-L._AC_SR600,600_.jpg"/>
    <hyperlink ref="E13" r:id="rId23" display="https://www.amazon.com/dp/B08BFKSVRG?psc=1" tooltip="https://www.amazon.com/dp/B08BFKSVRG?psc=1"/>
    <hyperlink ref="F13" r:id="rId24" display="https://m.media-amazon.com/images/I/31anMONExKS._AC_SR600,600_.jpg" tooltip="https://m.media-amazon.com/images/I/31anMONExKS._AC_SR600,600_.jpg"/>
    <hyperlink ref="E14" r:id="rId25" display="https://www.amazon.com/dp/B00MVVI1FC?psc=1" tooltip="https://www.amazon.com/dp/B00MVVI1FC?psc=1"/>
    <hyperlink ref="F14" r:id="rId26" display="https://images-na.ssl-images-amazon.com/images/I/21xyPR63J1L._AC_US600_.jpg" tooltip="https://images-na.ssl-images-amazon.com/images/I/21xyPR63J1L._AC_US600_.jpg"/>
    <hyperlink ref="E15" r:id="rId27" display="https://www.amazon.com/dp/B08F2X9FBQ?psc=1" tooltip="https://www.amazon.com/dp/B08F2X9FBQ?psc=1"/>
    <hyperlink ref="F15" r:id="rId28" display="https://images-na.ssl-images-amazon.com/images/I/31r6T79Gn5L._AC_US600_.jpg" tooltip="https://images-na.ssl-images-amazon.com/images/I/31r6T79Gn5L._AC_US600_.jpg"/>
    <hyperlink ref="E16" r:id="rId29" display="https://www.amazon.com/dp/B0B2KYL4MB?psc=1" tooltip="https://www.amazon.com/dp/B0B2KYL4MB?psc=1"/>
    <hyperlink ref="F16" r:id="rId30" display="https://images-na.ssl-images-amazon.com/images/I/31rUnR+wYyL._AC_US600_.jpg" tooltip="https://images-na.ssl-images-amazon.com/images/I/31rUnR+wYyL._AC_US600_.jpg"/>
    <hyperlink ref="E17" r:id="rId31" display="https://www.amazon.com/dp/B08X6SLGXK?psc=1" tooltip="https://www.amazon.com/dp/B08X6SLGXK?psc=1"/>
    <hyperlink ref="F17" r:id="rId32" display="https://images-na.ssl-images-amazon.com/images/I/41Mbkz41tsL._AC_US600_.jpg" tooltip="https://images-na.ssl-images-amazon.com/images/I/41Mbkz41tsL._AC_US600_.jpg"/>
    <hyperlink ref="E18" r:id="rId33" display="https://www.amazon.com/dp/B089PYWXSC?psc=1" tooltip="https://www.amazon.com/dp/B089PYWXSC?psc=1"/>
    <hyperlink ref="F18" r:id="rId34" display="https://images-na.ssl-images-amazon.com/images/I/41XxivVYOuL._AC_US600_.jpg" tooltip="https://images-na.ssl-images-amazon.com/images/I/41XxivVYOuL._AC_US600_.jpg"/>
    <hyperlink ref="E19" r:id="rId35" display="https://www.amazon.com/dp/B0083H1INK?psc=1" tooltip="https://www.amazon.com/dp/B0083H1INK?psc=1"/>
    <hyperlink ref="F19" r:id="rId36" display="https://images-na.ssl-images-amazon.com/images/I/418L-SzzbNL._AC_US600_.jpg" tooltip="https://images-na.ssl-images-amazon.com/images/I/418L-SzzbNL._AC_US600_.jpg"/>
    <hyperlink ref="E20" r:id="rId37" display="https://www.amazon.com/dp/B07SW7F6D3?psc=1" tooltip="https://www.amazon.com/dp/B07SW7F6D3?psc=1"/>
    <hyperlink ref="F20" r:id="rId38" display="https://images-na.ssl-images-amazon.com/images/I/41-16oK8eiL._AC_US600_.jpg" tooltip="https://images-na.ssl-images-amazon.com/images/I/41-16oK8eiL._AC_US600_.jpg"/>
    <hyperlink ref="E21" r:id="rId39" display="https://www.amazon.com/dp/B07LDVXK4Q?psc=1" tooltip="https://www.amazon.com/dp/B07LDVXK4Q?psc=1"/>
    <hyperlink ref="F21" r:id="rId40" display="https://images-na.ssl-images-amazon.com/images/I/31m1rcaMLZL._AC_US600_.jpg" tooltip="https://images-na.ssl-images-amazon.com/images/I/31m1rcaMLZL._AC_US600_.jpg"/>
    <hyperlink ref="E22" r:id="rId41" display="https://www.amazon.com/dp/B09N9LD7ZN?psc=1" tooltip="https://www.amazon.com/dp/B09N9LD7ZN?psc=1"/>
    <hyperlink ref="F22" r:id="rId42" display="https://images-na.ssl-images-amazon.com/images/I/41zt-9aNaHL._AC_US600_.jpg" tooltip="https://images-na.ssl-images-amazon.com/images/I/41zt-9aNaHL._AC_US600_.jpg"/>
    <hyperlink ref="E23" r:id="rId43" display="https://www.amazon.com/dp/B08146P11G?psc=1" tooltip="https://www.amazon.com/dp/B08146P11G?psc=1"/>
    <hyperlink ref="F23" r:id="rId44" display="https://images-na.ssl-images-amazon.com/images/I/31oXIvJ3InL._AC_US600_.jpg" tooltip="https://images-na.ssl-images-amazon.com/images/I/31oXIvJ3InL._AC_US600_.jpg"/>
    <hyperlink ref="E24" r:id="rId45" display="https://www.amazon.com/dp/B07K6YVF49?psc=1" tooltip="https://www.amazon.com/dp/B07K6YVF49?psc=1"/>
    <hyperlink ref="F24" r:id="rId46" display="https://m.media-amazon.com/images/I/51nEc5AoIzL._AC_SR600,600_.jpg" tooltip="https://m.media-amazon.com/images/I/51nEc5AoIzL._AC_SR600,600_.jpg"/>
    <hyperlink ref="E25" r:id="rId47" display="https://www.amazon.com/dp/B09Y9FZP4Z?psc=1" tooltip="https://www.amazon.com/dp/B09Y9FZP4Z?psc=1"/>
    <hyperlink ref="F25" r:id="rId48" display="https://images-na.ssl-images-amazon.com/images/I/31NenFpJSyL._AC_US600_.jpg" tooltip="https://images-na.ssl-images-amazon.com/images/I/31NenFpJSyL._AC_US600_.jpg"/>
    <hyperlink ref="E26" r:id="rId49" display="https://www.amazon.com/dp/B09TW9SZLP?psc=1" tooltip="https://www.amazon.com/dp/B09TW9SZLP?psc=1"/>
    <hyperlink ref="F26" r:id="rId50" display="https://images-na.ssl-images-amazon.com/images/I/310LydzyT1L._AC_US600_.jpg" tooltip="https://images-na.ssl-images-amazon.com/images/I/310LydzyT1L._AC_US600_.jpg"/>
    <hyperlink ref="E27" r:id="rId51" display="https://www.amazon.com/dp/B07T1MKP41?psc=1" tooltip="https://www.amazon.com/dp/B07T1MKP41?psc=1"/>
    <hyperlink ref="F27" r:id="rId52" display="https://images-na.ssl-images-amazon.com/images/I/41BHj72fx2L._AC_US600_.jpg" tooltip="https://images-na.ssl-images-amazon.com/images/I/41BHj72fx2L._AC_US600_.jpg"/>
    <hyperlink ref="E28" r:id="rId53" display="https://www.amazon.com/dp/B08RJKSGSH?psc=1" tooltip="https://www.amazon.com/dp/B08RJKSGSH?psc=1"/>
    <hyperlink ref="F28" r:id="rId54" display="https://images-na.ssl-images-amazon.com/images/I/21aU0HdbrhL._AC_US600_.jpg" tooltip="https://images-na.ssl-images-amazon.com/images/I/21aU0HdbrhL._AC_US600_.jpg"/>
    <hyperlink ref="E29" r:id="rId55" display="https://www.amazon.com/dp/B07JCBG524?psc=1" tooltip="https://www.amazon.com/dp/B07JCBG524?psc=1"/>
    <hyperlink ref="F29" r:id="rId56" display="https://images-na.ssl-images-amazon.com/images/I/31YqdW5BqJL._AC_US600_.jpg" tooltip="https://images-na.ssl-images-amazon.com/images/I/31YqdW5BqJL._AC_US600_.jpg"/>
    <hyperlink ref="E30" r:id="rId57" display="https://www.amazon.com/dp/B0B9Y4NK4Y?psc=1" tooltip="https://www.amazon.com/dp/B0B9Y4NK4Y?psc=1"/>
    <hyperlink ref="F30" r:id="rId58" display="https://images-na.ssl-images-amazon.com/images/I/31hndm3ucxL._AC_US600_.jpg" tooltip="https://images-na.ssl-images-amazon.com/images/I/31hndm3ucxL._AC_US600_.jpg"/>
    <hyperlink ref="E31" r:id="rId59" display="https://www.amazon.com/dp/B08QDSL3Z8?psc=1" tooltip="https://www.amazon.com/dp/B08QDSL3Z8?psc=1"/>
    <hyperlink ref="F31" r:id="rId60" display="https://images-na.ssl-images-amazon.com/images/I/41QMc8k3i9S._AC_US600_.jpg" tooltip="https://images-na.ssl-images-amazon.com/images/I/41QMc8k3i9S._AC_US600_.jpg"/>
    <hyperlink ref="E32" r:id="rId61" display="https://www.amazon.com/dp/B08G5575X6?psc=1" tooltip="https://www.amazon.com/dp/B08G5575X6?psc=1"/>
    <hyperlink ref="F32" r:id="rId62" display="https://images-na.ssl-images-amazon.com/images/I/41ubFfpzPHL._AC_US600_.jpg" tooltip="https://images-na.ssl-images-amazon.com/images/I/41ubFfpzPHL._AC_US600_.jpg"/>
    <hyperlink ref="E33" r:id="rId63" display="https://www.amazon.com/dp/B00Q477Z5Q?psc=1" tooltip="https://www.amazon.com/dp/B00Q477Z5Q?psc=1"/>
    <hyperlink ref="F33" r:id="rId64" display="https://images-na.ssl-images-amazon.com/images/I/31+T9l0EHXS._AC_US600_.jpg" tooltip="https://images-na.ssl-images-amazon.com/images/I/31+T9l0EHXS._AC_US600_.jpg"/>
    <hyperlink ref="E34" r:id="rId65" display="https://www.amazon.com/dp/B01DZQI6YW?psc=1" tooltip="https://www.amazon.com/dp/B01DZQI6YW?psc=1"/>
    <hyperlink ref="F34" r:id="rId66" display="https://images-na.ssl-images-amazon.com/images/I/31ruuRp2JhL._AC_US600_.jpg" tooltip="https://images-na.ssl-images-amazon.com/images/I/31ruuRp2JhL._AC_US600_.jpg"/>
    <hyperlink ref="E35" r:id="rId67" display="https://www.amazon.com/dp/B0934YSY7C?psc=1" tooltip="https://www.amazon.com/dp/B0934YSY7C?psc=1"/>
    <hyperlink ref="F35" r:id="rId68" display="https://m.media-amazon.com/images/W/WEBP_402378-T2/images/I/314WdtoHNvL._AC_SR600,600_.jpg" tooltip="https://m.media-amazon.com/images/W/WEBP_402378-T2/images/I/314WdtoHNvL._AC_SR600,600_.jpg"/>
    <hyperlink ref="E36" r:id="rId69" display="https://www.amazon.com/dp/B07VGP5787?psc=1" tooltip="https://www.amazon.com/dp/B07VGP5787?psc=1"/>
    <hyperlink ref="F36" r:id="rId70" display="https://m.media-amazon.com/images/I/41lMNyXxDYL._AC_SR600,600_.jpg" tooltip="https://m.media-amazon.com/images/I/41lMNyXxDYL._AC_SR600,600_.jpg"/>
    <hyperlink ref="E37" r:id="rId71" display="https://www.amazon.com/dp/B08GS23VJV?psc=1" tooltip="https://www.amazon.com/dp/B08GS23VJV?psc=1"/>
    <hyperlink ref="F37" r:id="rId72" display="https://m.media-amazon.com/images/I/41Vzf6e8V5L._AC_SR600,600_.jpg" tooltip="https://m.media-amazon.com/images/I/41Vzf6e8V5L._AC_SR600,600_.jpg"/>
    <hyperlink ref="E38" r:id="rId73" display="https://www.amazon.com/dp/B01DZQI70K?psc=1" tooltip="https://www.amazon.com/dp/B01DZQI70K?psc=1"/>
    <hyperlink ref="F38" r:id="rId74" display="https://images-na.ssl-images-amazon.com/images/I/31nmE6OEZ4L._AC_US600_.jpg" tooltip="https://images-na.ssl-images-amazon.com/images/I/31nmE6OEZ4L._AC_US600_.jpg"/>
    <hyperlink ref="E39" r:id="rId75" display="https://www.amazon.com/dp/B00IR8H55A?psc=1" tooltip="https://www.amazon.com/dp/B00IR8H55A?psc=1"/>
    <hyperlink ref="F39" r:id="rId76" display="https://images-na.ssl-images-amazon.com/images/I/21qojl5cDfL._AC_US600_.jpg" tooltip="https://images-na.ssl-images-amazon.com/images/I/21qojl5cDfL._AC_US600_.jpg"/>
    <hyperlink ref="E40" r:id="rId77" display="https://www.amazon.com/dp/B07DQSWT42?psc=1" tooltip="https://www.amazon.com/dp/B07DQSWT42?psc=1"/>
    <hyperlink ref="F40" r:id="rId78" display="https://images-na.ssl-images-amazon.com/images/I/31wtjtUOH5L._AC_US600_.jpg" tooltip="https://images-na.ssl-images-amazon.com/images/I/31wtjtUOH5L._AC_US600_.jpg"/>
    <hyperlink ref="E41" r:id="rId79" display="https://www.amazon.com/dp/B07Y8TT7N5?psc=1" tooltip="https://www.amazon.com/dp/B07Y8TT7N5?psc=1"/>
    <hyperlink ref="F41" r:id="rId80" display="https://images-na.ssl-images-amazon.com/images/I/31PNhs+t3HL._AC_US600_.jpg" tooltip="https://images-na.ssl-images-amazon.com/images/I/31PNhs+t3HL._AC_US600_.jpg"/>
    <hyperlink ref="E42" r:id="rId81" display="https://www.amazon.com/dp/B091FYKBP5?psc=1" tooltip="https://www.amazon.com/dp/B091FYKBP5?psc=1"/>
    <hyperlink ref="F42" r:id="rId82" display="https://images-na.ssl-images-amazon.com/images/I/31idqqAQJCL._AC_US600_.jpg" tooltip="https://images-na.ssl-images-amazon.com/images/I/31idqqAQJCL._AC_US600_.jpg"/>
    <hyperlink ref="E43" r:id="rId83" display="https://www.amazon.com/dp/B0832WZ8K8?psc=1" tooltip="https://www.amazon.com/dp/B0832WZ8K8?psc=1"/>
    <hyperlink ref="F43" r:id="rId84" display="https://m.media-amazon.com/images/I/41QNXHPtXgL._AC_SR600,600_.jpg" tooltip="https://m.media-amazon.com/images/I/41QNXHPtXgL._AC_SR600,600_.jpg"/>
    <hyperlink ref="E44" r:id="rId85" display="https://www.amazon.com/dp/B0B51Q8CY1?psc=1" tooltip="https://www.amazon.com/dp/B0B51Q8CY1?psc=1"/>
    <hyperlink ref="F44" r:id="rId86" display="https://m.media-amazon.com/images/I/3146ZDQgFxL._AC_SR600,600_.jpg" tooltip="https://m.media-amazon.com/images/I/3146ZDQgFxL._AC_SR600,600_.jpg"/>
    <hyperlink ref="E45" r:id="rId87" display="https://www.amazon.com/dp/B0BFH9KX59?psc=1" tooltip="https://www.amazon.com/dp/B0BFH9KX59?psc=1"/>
    <hyperlink ref="F45" r:id="rId88" display="https://images-na.ssl-images-amazon.com/images/I/31w+Xx7fZHL._AC_US600_.jpg" tooltip="https://images-na.ssl-images-amazon.com/images/I/31w+Xx7fZHL._AC_US600_.jpg"/>
    <hyperlink ref="E46" r:id="rId89" display="https://www.amazon.com/dp/B09LYVDN7Y?psc=1" tooltip="https://www.amazon.com/dp/B09LYVDN7Y?psc=1"/>
    <hyperlink ref="F46" r:id="rId90" display="https://images-na.ssl-images-amazon.com/images/I/31yzIfGFp3L._AC_US600_.jpg" tooltip="https://images-na.ssl-images-amazon.com/images/I/31yzIfGFp3L._AC_US600_.jpg"/>
    <hyperlink ref="E47" r:id="rId91" display="https://www.amazon.com/dp/B00MWXSFM8?psc=1" tooltip="https://www.amazon.com/dp/B00MWXSFM8?psc=1"/>
    <hyperlink ref="F47" r:id="rId92" display="https://images-na.ssl-images-amazon.com/images/I/31D1tYQslbL._AC_US600_.jpg" tooltip="https://images-na.ssl-images-amazon.com/images/I/31D1tYQslbL._AC_US600_.jpg"/>
    <hyperlink ref="E48" r:id="rId93" display="https://www.amazon.com/dp/B09MF5CFFD?psc=1" tooltip="https://www.amazon.com/dp/B09MF5CFFD?psc=1"/>
    <hyperlink ref="F48" r:id="rId94" display="https://images-na.ssl-images-amazon.com/images/I/31fnpyJnhcL._AC_US600_.jpg" tooltip="https://images-na.ssl-images-amazon.com/images/I/31fnpyJnhcL._AC_US600_.jpg"/>
    <hyperlink ref="E49" r:id="rId95" display="https://www.amazon.com/dp/B07Y8VCFMR?psc=1" tooltip="https://www.amazon.com/dp/B07Y8VCFMR?psc=1"/>
    <hyperlink ref="F49" r:id="rId96" display="https://m.media-amazon.com/images/I/31HLPsI7ThL._AC_US600_.jpg" tooltip="https://m.media-amazon.com/images/I/31HLPsI7ThL._AC_US600_.jpg"/>
    <hyperlink ref="E50" r:id="rId97" display="https://www.amazon.com/dp/B0BGKGV1NF?psc=1" tooltip="https://www.amazon.com/dp/B0BGKGV1NF?psc=1"/>
    <hyperlink ref="F50" r:id="rId98" display="https://images-na.ssl-images-amazon.com/images/I/41k31Oq2r9L._AC_US600_.jpg" tooltip="https://images-na.ssl-images-amazon.com/images/I/41k31Oq2r9L._AC_US600_.jpg"/>
    <hyperlink ref="E51" r:id="rId99" display="https://www.amazon.com/dp/B07P66567C?psc=1" tooltip="https://www.amazon.com/dp/B07P66567C?psc=1"/>
    <hyperlink ref="F51" r:id="rId100" display="https://m.media-amazon.com/images/I/31i-20pW5FL._AC_SR600,600_.jpg" tooltip="https://m.media-amazon.com/images/I/31i-20pW5FL._AC_SR600,600_.jpg"/>
    <hyperlink ref="E52" r:id="rId101" display="https://www.amazon.com/dp/B01DZQI9TE?psc=1" tooltip="https://www.amazon.com/dp/B01DZQI9TE?psc=1"/>
    <hyperlink ref="F52" r:id="rId102" display="https://images-na.ssl-images-amazon.com/images/I/311ar7NHxlL._AC_US600_.jpg" tooltip="https://images-na.ssl-images-amazon.com/images/I/311ar7NHxlL._AC_US600_.jpg"/>
    <hyperlink ref="E53" r:id="rId103" display="https://www.amazon.com/dp/B09W9M5RCQ?psc=1" tooltip="https://www.amazon.com/dp/B09W9M5RCQ?psc=1"/>
    <hyperlink ref="F53" r:id="rId104" display="https://images-na.ssl-images-amazon.com/images/I/41xkfAcNUdL._AC_US600_.jpg" tooltip="https://images-na.ssl-images-amazon.com/images/I/41xkfAcNUdL._AC_US600_.jpg"/>
    <hyperlink ref="E54" r:id="rId105" display="https://www.amazon.com/dp/B09XVGTVH1?psc=1" tooltip="https://www.amazon.com/dp/B09XVGTVH1?psc=1"/>
    <hyperlink ref="F54" r:id="rId106" display="https://m.media-amazon.com/images/I/31eJy1+sCRL._AC_SR600,600_.jpg" tooltip="https://m.media-amazon.com/images/I/31eJy1+sCRL._AC_SR600,600_.jpg"/>
    <hyperlink ref="E55" r:id="rId107" display="https://www.amazon.com/dp/B09HTWGHYG?psc=1" tooltip="https://www.amazon.com/dp/B09HTWGHYG?psc=1"/>
    <hyperlink ref="F55" r:id="rId108" display="https://m.media-amazon.com/images/I/31giNA064NL._AC_SR600,600_.jpg" tooltip="https://m.media-amazon.com/images/I/31giNA064NL._AC_SR600,600_.jpg"/>
    <hyperlink ref="E56" r:id="rId109" display="https://www.amazon.com/dp/B0983ZB3JF?psc=1" tooltip="https://www.amazon.com/dp/B0983ZB3JF?psc=1"/>
    <hyperlink ref="F56" r:id="rId110" display="https://images-na.ssl-images-amazon.com/images/I/21gKEloeTzL._AC_US600_.jpg" tooltip="https://images-na.ssl-images-amazon.com/images/I/21gKEloeTzL._AC_US600_.jpg"/>
    <hyperlink ref="E57" r:id="rId111" display="https://www.amazon.com/dp/B07TM75HF3?psc=1" tooltip="https://www.amazon.com/dp/B07TM75HF3?psc=1"/>
    <hyperlink ref="F57" r:id="rId112" display="https://images-na.ssl-images-amazon.com/images/I/31ANZYGoBAL._AC_US600_.jpg" tooltip="https://images-na.ssl-images-amazon.com/images/I/31ANZYGoBAL._AC_US600_.jpg"/>
    <hyperlink ref="E58" r:id="rId113" display="https://www.amazon.com/dp/B08T8ZL97X?psc=1" tooltip="https://www.amazon.com/dp/B08T8ZL97X?psc=1"/>
    <hyperlink ref="F58" r:id="rId114" display="https://images-na.ssl-images-amazon.com/images/I/21Mq+NFTTbL._AC_US600_.jpg" tooltip="https://images-na.ssl-images-amazon.com/images/I/21Mq+NFTTbL._AC_US600_.jpg"/>
    <hyperlink ref="E59" r:id="rId115" display="https://www.amazon.com/dp/B0BMQ33V2J?psc=1" tooltip="https://www.amazon.com/dp/B0BMQ33V2J?psc=1"/>
    <hyperlink ref="F59" r:id="rId116" display="https://images-na.ssl-images-amazon.com/images/I/41+NQ6YFaWL._AC_US600_.jpg" tooltip="https://images-na.ssl-images-amazon.com/images/I/41+NQ6YFaWL._AC_US600_.jpg"/>
    <hyperlink ref="E60" r:id="rId117" display="https://www.amazon.com/dp/B09HX1X2BN?psc=1" tooltip="https://www.amazon.com/dp/B09HX1X2BN?psc=1"/>
    <hyperlink ref="F60" r:id="rId118" display="https://m.media-amazon.com/images/W/WEBP_402378-T1/images/I/41cO+k5QzFL._AC_SR600,600_.jpg" tooltip="https://m.media-amazon.com/images/W/WEBP_402378-T1/images/I/41cO+k5QzFL._AC_SR600,600_.jpg"/>
    <hyperlink ref="E61" r:id="rId119" display="https://www.amazon.com/dp/B09YMCGFRJ?psc=1" tooltip="https://www.amazon.com/dp/B09YMCGFRJ?psc=1"/>
    <hyperlink ref="F61" r:id="rId120" display="https://images-na.ssl-images-amazon.com/images/I/314jzi0ez8L._AC_US600_.jpg" tooltip="https://images-na.ssl-images-amazon.com/images/I/314jzi0ez8L._AC_US600_.jpg"/>
    <hyperlink ref="E62" r:id="rId121" display="https://www.amazon.com/dp/B08WZH3TS8?psc=1" tooltip="https://www.amazon.com/dp/B08WZH3TS8?psc=1"/>
    <hyperlink ref="F62" r:id="rId122" display="https://images-na.ssl-images-amazon.com/images/I/210cZoEkfxS._AC_US600_.jpg" tooltip="https://images-na.ssl-images-amazon.com/images/I/210cZoEkfxS._AC_US600_.jpg"/>
    <hyperlink ref="E63" r:id="rId123" display="https://www.amazon.com/dp/B09W9JMS6D?psc=1" tooltip="https://www.amazon.com/dp/B09W9JMS6D?psc=1"/>
    <hyperlink ref="F63" r:id="rId124" display="https://images-na.ssl-images-amazon.com/images/I/41eAhRtzl3L._AC_US600_.jpg" tooltip="https://images-na.ssl-images-amazon.com/images/I/41eAhRtzl3L._AC_US600_.jpg"/>
    <hyperlink ref="E64" r:id="rId125" display="https://www.amazon.com/dp/B0BPTPCY6Q?psc=1" tooltip="https://www.amazon.com/dp/B0BPTPCY6Q?psc=1"/>
    <hyperlink ref="F64" r:id="rId126" display="https://images-na.ssl-images-amazon.com/images/I/31o1oVFNohL._AC_US600_.jpg" tooltip="https://images-na.ssl-images-amazon.com/images/I/31o1oVFNohL._AC_US600_.jpg"/>
    <hyperlink ref="E65" r:id="rId127" display="https://www.amazon.com/dp/B08P4TC5XV?psc=1" tooltip="https://www.amazon.com/dp/B08P4TC5XV?psc=1"/>
    <hyperlink ref="F65" r:id="rId128" display="https://images-na.ssl-images-amazon.com/images/I/41hZ3-HRzeL._AC_US600_.jpg" tooltip="https://images-na.ssl-images-amazon.com/images/I/41hZ3-HRzeL._AC_US600_.jpg"/>
    <hyperlink ref="E66" r:id="rId129" display="https://www.amazon.com/dp/B07THDQXF8?psc=1" tooltip="https://www.amazon.com/dp/B07THDQXF8?psc=1"/>
    <hyperlink ref="F66" r:id="rId130" display="https://m.media-amazon.com/images/I/31LK3rhNArL._AC_SR600,600_.jpg" tooltip="https://m.media-amazon.com/images/I/31LK3rhNArL._AC_SR600,600_.jpg"/>
    <hyperlink ref="E67" r:id="rId131" display="https://www.amazon.com/dp/B08R8SHHQ4?psc=1" tooltip="https://www.amazon.com/dp/B08R8SHHQ4?psc=1"/>
    <hyperlink ref="F67" r:id="rId132" display="https://m.media-amazon.com/images/I/41Xq0GlmnnS._AC_SR600,600_.jpg" tooltip="https://m.media-amazon.com/images/I/41Xq0GlmnnS._AC_SR600,600_.jpg"/>
    <hyperlink ref="E68" r:id="rId133" display="https://www.amazon.com/dp/B07NJ8SM6D?psc=1" tooltip="https://www.amazon.com/dp/B07NJ8SM6D?psc=1"/>
    <hyperlink ref="F68" r:id="rId134" display="https://images-na.ssl-images-amazon.com/images/I/41vVumf7k2L._AC_US600_.jpg" tooltip="https://images-na.ssl-images-amazon.com/images/I/41vVumf7k2L._AC_US600_.jpg"/>
    <hyperlink ref="E69" r:id="rId135" display="https://www.amazon.com/dp/B09842Y7PM?psc=1" tooltip="https://www.amazon.com/dp/B09842Y7PM?psc=1"/>
    <hyperlink ref="F69" r:id="rId136" display="https://images-na.ssl-images-amazon.com/images/I/3141MgQC5bL._AC_US600_.jpg" tooltip="https://images-na.ssl-images-amazon.com/images/I/3141MgQC5bL._AC_US600_.jpg"/>
    <hyperlink ref="E70" r:id="rId137" display="https://www.amazon.com/dp/B07XJRZR8P?psc=1" tooltip="https://www.amazon.com/dp/B07XJRZR8P?psc=1"/>
    <hyperlink ref="F70" r:id="rId138" display="https://images-na.ssl-images-amazon.com/images/I/31NaBJ-xncL._AC_US600_.jpg" tooltip="https://images-na.ssl-images-amazon.com/images/I/31NaBJ-xncL._AC_US600_.jpg"/>
    <hyperlink ref="E71" r:id="rId139" display="https://www.amazon.com/dp/B08SWRSM1D?psc=1" tooltip="https://www.amazon.com/dp/B08SWRSM1D?psc=1"/>
    <hyperlink ref="F71" r:id="rId140" display="https://images-na.ssl-images-amazon.com/images/I/41wg6x9WEPS._AC_US600_.jpg" tooltip="https://images-na.ssl-images-amazon.com/images/I/41wg6x9WEPS._AC_US600_.jpg"/>
    <hyperlink ref="E72" r:id="rId141" display="https://www.amazon.com/dp/B08G4RK3N9?psc=1" tooltip="https://www.amazon.com/dp/B08G4RK3N9?psc=1"/>
    <hyperlink ref="F72" r:id="rId142" display="https://images-na.ssl-images-amazon.com/images/I/31VpXnmBskL._AC_US600_.jpg" tooltip="https://images-na.ssl-images-amazon.com/images/I/31VpXnmBskL._AC_US600_.jpg"/>
    <hyperlink ref="E73" r:id="rId143" display="https://www.amazon.com/dp/B09TW8VPMJ?psc=1" tooltip="https://www.amazon.com/dp/B09TW8VPMJ?psc=1"/>
    <hyperlink ref="F73" r:id="rId144" display="https://images-na.ssl-images-amazon.com/images/I/316qylcSyRL._AC_US600_.jpg" tooltip="https://images-na.ssl-images-amazon.com/images/I/316qylcSyRL._AC_US600_.jpg"/>
    <hyperlink ref="E74" r:id="rId145" display="https://www.amazon.com/dp/B07TFKPT39?psc=1" tooltip="https://www.amazon.com/dp/B07TFKPT39?psc=1"/>
    <hyperlink ref="F74" r:id="rId146" display="https://m.media-amazon.com/images/I/21lahy5lEnL._AC_SR600,600_.jpg" tooltip="https://m.media-amazon.com/images/I/21lahy5lEnL._AC_SR600,600_.jpg"/>
    <hyperlink ref="E75" r:id="rId147" display="https://www.amazon.com/dp/B08P4VCNKB?psc=1" tooltip="https://www.amazon.com/dp/B08P4VCNKB?psc=1"/>
    <hyperlink ref="F75" r:id="rId148" display="https://m.media-amazon.com/images/I/4109SHmZnCL._AC_SR600,600_.jpg" tooltip="https://m.media-amazon.com/images/I/4109SHmZnCL._AC_SR600,600_.jpg"/>
    <hyperlink ref="E76" r:id="rId149" display="https://www.amazon.com/dp/B009CNNHDI?psc=1" tooltip="https://www.amazon.com/dp/B009CNNHDI?psc=1"/>
    <hyperlink ref="F76" r:id="rId150" display="https://images-na.ssl-images-amazon.com/images/I/41OVnIVPUGL._AC_US600_.jpg" tooltip="https://images-na.ssl-images-amazon.com/images/I/41OVnIVPUGL._AC_US600_.jpg"/>
    <hyperlink ref="E77" r:id="rId151" display="https://www.amazon.com/dp/B09LQHH4RS?psc=1" tooltip="https://www.amazon.com/dp/B09LQHH4RS?psc=1"/>
    <hyperlink ref="F77" r:id="rId152" display="https://images-na.ssl-images-amazon.com/images/I/41MS+pr7Y4L._AC_US600_.jpg" tooltip="https://images-na.ssl-images-amazon.com/images/I/41MS+pr7Y4L._AC_US600_.jpg"/>
    <hyperlink ref="E78" r:id="rId153" display="https://www.amazon.com/dp/B09WVM6R78?psc=1" tooltip="https://www.amazon.com/dp/B09WVM6R78?psc=1"/>
    <hyperlink ref="F78" r:id="rId154" display="https://images-na.ssl-images-amazon.com/images/I/41LHWpnhSbL._AC_US600_.jpg" tooltip="https://images-na.ssl-images-amazon.com/images/I/41LHWpnhSbL._AC_US600_.jpg"/>
    <hyperlink ref="E79" r:id="rId155" display="https://www.amazon.com/dp/B096RQ24HJ?psc=1" tooltip="https://www.amazon.com/dp/B096RQ24HJ?psc=1"/>
    <hyperlink ref="F79" r:id="rId156" display="https://images-na.ssl-images-amazon.com/images/I/31yUTbDIbcL._AC_US600_.jpg" tooltip="https://images-na.ssl-images-amazon.com/images/I/31yUTbDIbcL._AC_US600_.jpg"/>
    <hyperlink ref="E80" r:id="rId157" display="https://www.amazon.com/dp/B09B797WC8?psc=1" tooltip="https://www.amazon.com/dp/B09B797WC8?psc=1"/>
    <hyperlink ref="F80" r:id="rId158" display="https://images-na.ssl-images-amazon.com/images/I/517Z3ZHBW-L._AC_US600_.jpg" tooltip="https://images-na.ssl-images-amazon.com/images/I/517Z3ZHBW-L._AC_US600_.jpg"/>
    <hyperlink ref="E81" r:id="rId159" display="https://www.amazon.com/dp/B087LZFGWS?psc=1" tooltip="https://www.amazon.com/dp/B087LZFGWS?psc=1"/>
    <hyperlink ref="F81" r:id="rId160" display="https://images-na.ssl-images-amazon.com/images/I/41xL9EsE7HL._AC_US600_.jpg" tooltip="https://images-na.ssl-images-amazon.com/images/I/41xL9EsE7HL._AC_US600_.jpg"/>
    <hyperlink ref="E82" r:id="rId161" display="https://www.amazon.com/dp/B08M5LCZDZ?psc=1" tooltip="https://www.amazon.com/dp/B08M5LCZDZ?psc=1"/>
    <hyperlink ref="F82" r:id="rId162" display="https://images-na.ssl-images-amazon.com/images/I/219yANULAuL._AC_US600_.jpg" tooltip="https://images-na.ssl-images-amazon.com/images/I/219yANULAuL._AC_US600_.jpg"/>
    <hyperlink ref="E83" r:id="rId163" display="https://www.amazon.com/dp/B0BNXBMWY4?psc=1" tooltip="https://www.amazon.com/dp/B0BNXBMWY4?psc=1"/>
    <hyperlink ref="F83" r:id="rId164" display="https://images-na.ssl-images-amazon.com/images/I/41X-dfWhKBL._AC_US600_.jpg" tooltip="https://images-na.ssl-images-amazon.com/images/I/41X-dfWhKBL._AC_US600_.jpg"/>
    <hyperlink ref="E84" r:id="rId165" display="https://www.amazon.com/dp/B07YT1RLZC?psc=1" tooltip="https://www.amazon.com/dp/B07YT1RLZC?psc=1"/>
    <hyperlink ref="F84" r:id="rId166" display="https://m.media-amazon.com/images/I/31jsRfJwXHL._AC_SR600,600_.jpg" tooltip="https://m.media-amazon.com/images/I/31jsRfJwXHL._AC_SR600,600_.jpg"/>
    <hyperlink ref="E85" r:id="rId167" display="https://www.amazon.com/dp/B09WR328NY?psc=1" tooltip="https://www.amazon.com/dp/B09WR328NY?psc=1"/>
    <hyperlink ref="F85" r:id="rId168" display="https://images-na.ssl-images-amazon.com/images/I/41iLX2yDzuL._AC_US600_.jpg" tooltip="https://images-na.ssl-images-amazon.com/images/I/41iLX2yDzuL._AC_US600_.jpg"/>
    <hyperlink ref="E86" r:id="rId169" display="https://www.amazon.com/dp/B078XTF1QR?psc=1" tooltip="https://www.amazon.com/dp/B078XTF1QR?psc=1"/>
    <hyperlink ref="F86" r:id="rId170" display="https://m.media-amazon.com/images/I/31VvSJ-MWSL._AC_SR600,600_.jpg" tooltip="https://m.media-amazon.com/images/I/31VvSJ-MWSL._AC_SR600,600_.jpg"/>
    <hyperlink ref="E87" r:id="rId171" display="https://www.amazon.com/dp/B07PPKBQ24?psc=1" tooltip="https://www.amazon.com/dp/B07PPKBQ24?psc=1"/>
    <hyperlink ref="F87" r:id="rId172" display="https://m.media-amazon.com/images/I/31pe6o04StL._AC_SR600,600_.jpg" tooltip="https://m.media-amazon.com/images/I/31pe6o04StL._AC_SR600,600_.jpg"/>
    <hyperlink ref="E88" r:id="rId173" display="https://www.amazon.com/dp/B09W2J5JKP?psc=1" tooltip="https://www.amazon.com/dp/B09W2J5JKP?psc=1"/>
    <hyperlink ref="F88" r:id="rId174" display="https://m.media-amazon.com/images/W/WEBP_402378-T2/images/I/41PuIrFBsAL._AC_SR600,600_.jpg" tooltip="https://m.media-amazon.com/images/W/WEBP_402378-T2/images/I/41PuIrFBsAL._AC_SR600,600_.jpg"/>
    <hyperlink ref="E89" r:id="rId175" display="https://www.amazon.com/dp/B09W9JHN41?psc=1" tooltip="https://www.amazon.com/dp/B09W9JHN41?psc=1"/>
    <hyperlink ref="F89" r:id="rId176" display="https://m.media-amazon.com/images/I/315U0pn-DDL._AC_SR600,600_.jpg" tooltip="https://m.media-amazon.com/images/I/315U0pn-DDL._AC_SR600,600_.jpg"/>
    <hyperlink ref="E90" r:id="rId177" display="https://www.amazon.com/dp/B0B4MWT8V8?psc=1" tooltip="https://www.amazon.com/dp/B0B4MWT8V8?psc=1"/>
    <hyperlink ref="F90" r:id="rId178" display="https://m.media-amazon.com/images/I/41w+nyWbjjL._AC_US600_.jpg" tooltip="https://m.media-amazon.com/images/I/41w+nyWbjjL._AC_US600_.jpg"/>
    <hyperlink ref="E91" r:id="rId179" display="https://www.amazon.com/dp/B0BP7PMFYJ?psc=1" tooltip="https://www.amazon.com/dp/B0BP7PMFYJ?psc=1"/>
    <hyperlink ref="F91" r:id="rId180" display="https://m.media-amazon.com/images/I/218jaFNjVQL._AC_SR600,600_.jpg" tooltip="https://m.media-amazon.com/images/I/218jaFNjVQL._AC_SR600,600_.jpg"/>
    <hyperlink ref="E92" r:id="rId181" display="https://www.amazon.com/dp/B07TXG7G1Y?psc=1" tooltip="https://www.amazon.com/dp/B07TXG7G1Y?psc=1"/>
    <hyperlink ref="F92" r:id="rId182" display="https://m.media-amazon.com/images/I/31iSqMUCtYL._AC_US600_.jpg" tooltip="https://m.media-amazon.com/images/I/31iSqMUCtYL._AC_US600_.jpg"/>
    <hyperlink ref="E93" r:id="rId183" display="https://www.amazon.com/dp/B08P65PQ8V?psc=1" tooltip="https://www.amazon.com/dp/B08P65PQ8V?psc=1"/>
    <hyperlink ref="F93" r:id="rId184" display="https://m.media-amazon.com/images/I/315FSBqr4pL._AC_SR600,600_.jpg" tooltip="https://m.media-amazon.com/images/I/315FSBqr4pL._AC_SR600,600_.jpg"/>
    <hyperlink ref="E94" r:id="rId185" display="https://www.amazon.com/dp/B07PSW4XVW?psc=1" tooltip="https://www.amazon.com/dp/B07PSW4XVW?psc=1"/>
    <hyperlink ref="F94" r:id="rId186" display="https://m.media-amazon.com/images/I/31Y-zYQl5tL._AC_SR600,600_.jpg" tooltip="https://m.media-amazon.com/images/I/31Y-zYQl5tL._AC_SR600,600_.jpg"/>
    <hyperlink ref="E95" r:id="rId187" display="https://www.amazon.com/dp/B01MDR6YQA?psc=1" tooltip="https://www.amazon.com/dp/B01MDR6YQA?psc=1"/>
    <hyperlink ref="F95" r:id="rId188" display="https://m.media-amazon.com/images/I/41ngeRHXxlL._AC_SR600,600_.jpg" tooltip="https://m.media-amazon.com/images/I/41ngeRHXxlL._AC_SR600,600_.jpg"/>
    <hyperlink ref="E96" r:id="rId189" display="https://www.amazon.com/dp/B0B716SJ1G?psc=1" tooltip="https://www.amazon.com/dp/B0B716SJ1G?psc=1"/>
    <hyperlink ref="F96" r:id="rId190" display="https://m.media-amazon.com/images/I/51IP1YTgioL._AC_SR600,600_.jpg" tooltip="https://m.media-amazon.com/images/I/51IP1YTgioL._AC_SR600,600_.jpg"/>
    <hyperlink ref="E97" r:id="rId191" display="https://www.amazon.com/dp/B075R1LH8D?psc=1" tooltip="https://www.amazon.com/dp/B075R1LH8D?psc=1"/>
    <hyperlink ref="F97" r:id="rId192" display="https://m.media-amazon.com/images/I/41JsADUfBqL._AC_SR600,600_.jpg" tooltip="https://m.media-amazon.com/images/I/41JsADUfBqL._AC_SR600,600_.jpg"/>
    <hyperlink ref="E98" r:id="rId193" display="https://www.amazon.com/dp/B084GSNPH1?psc=1" tooltip="https://www.amazon.com/dp/B084GSNPH1?psc=1"/>
    <hyperlink ref="F98" r:id="rId194" display="https://m.media-amazon.com/images/I/21r9BGy-TdL._AC_US600_.jpg" tooltip="https://m.media-amazon.com/images/I/21r9BGy-TdL._AC_US600_.jpg"/>
    <hyperlink ref="E99" r:id="rId195" display="https://www.amazon.com/dp/B07WP2S5XL?psc=1" tooltip="https://www.amazon.com/dp/B07WP2S5XL?psc=1"/>
    <hyperlink ref="F99" r:id="rId196" display="https://m.media-amazon.com/images/I/31vOlTkdGgL._AC_SR600,600_.jpg" tooltip="https://m.media-amazon.com/images/I/31vOlTkdGgL._AC_SR600,600_.jpg"/>
    <hyperlink ref="E100" r:id="rId197" display="https://www.amazon.com/dp/B0BLTM88R6?psc=1" tooltip="https://www.amazon.com/dp/B0BLTM88R6?psc=1"/>
    <hyperlink ref="F100" r:id="rId198" display="https://images-na.ssl-images-amazon.com/images/I/31aKjh3sbBL._AC_US600_.jpg" tooltip="https://images-na.ssl-images-amazon.com/images/I/31aKjh3sbBL._AC_US600_.jpg"/>
    <hyperlink ref="E101" r:id="rId199" display="https://www.amazon.com/dp/B0BFHCBNKR?psc=1" tooltip="https://www.amazon.com/dp/B0BFHCBNKR?psc=1"/>
    <hyperlink ref="F101" r:id="rId200" display="https://m.media-amazon.com/images/I/410qJE9mn8L._AC_SR600,600_.jpg" tooltip="https://m.media-amazon.com/images/I/410qJE9mn8L._AC_SR600,600_.jpg"/>
  </hyperlink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rangeList sheetStid="6" master="" otherUserPermission="visible"/>
  <rangeList sheetStid="5" master="" otherUserPermission="visible"/>
  <rangeList sheetStid="7" master="" otherUserPermission="visible"/>
  <rangeList sheetStid="1" master="" otherUserPermission="visible"/>
  <rangeList sheetStid="3" master="" otherUserPermission="visible"/>
  <rangeList sheetStid="8" master="" otherUserPermission="visible"/>
  <rangeList sheetStid="25" master="" otherUserPermission="visible"/>
  <rangeList sheetStid="10" master="" otherUserPermission="visible"/>
  <rangeList sheetStid="13" master="" otherUserPermission="visible"/>
  <rangeList sheetStid="12" master="" otherUserPermission="visible"/>
  <rangeList sheetStid="20" master="" otherUserPermission="visible">
    <arrUserId title="区域1" rangeCreator="" othersAccessPermission="edit"/>
  </rangeList>
  <rangeList sheetStid="18" master="" otherUserPermission="visible">
    <arrUserId title="区域1" rangeCreator="" othersAccessPermission="edit"/>
  </rangeList>
  <rangeList sheetStid="21" master="" otherUserPermission="visible">
    <arrUserId title="区域1" rangeCreator="" othersAccessPermission="edit"/>
  </rangeList>
  <rangeList sheetStid="15" master="" otherUserPermission="visible"/>
  <rangeList sheetStid="16" master="" otherUserPermission="visible"/>
  <rangeList sheetStid="19" master="" otherUserPermission="visible"/>
  <rangeList sheetStid="17" master="" otherUserPermission="visible"/>
  <rangeList sheetStid="28" master="" otherUserPermission="visible"/>
  <rangeList sheetStid="27" master="" otherUserPermission="visible"/>
  <rangeList sheetStid="24"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项目封面</vt:lpstr>
      <vt:lpstr>①市场背景调查</vt:lpstr>
      <vt:lpstr>②谷歌趋势</vt:lpstr>
      <vt:lpstr>③站内竞争情况</vt:lpstr>
      <vt:lpstr>top200数据</vt:lpstr>
      <vt:lpstr>④top100打标数据</vt:lpstr>
      <vt:lpstr>⑤市场大盘分析</vt:lpstr>
      <vt:lpstr>Sheet2</vt:lpstr>
      <vt:lpstr>⑥竞品分析</vt:lpstr>
      <vt:lpstr>⑦QA&amp;RV分析</vt:lpstr>
      <vt:lpstr>⑧单品利润测算</vt:lpstr>
      <vt:lpstr>⑨-1项目ROI核算（5L单腔可视）</vt:lpstr>
      <vt:lpstr>⑨-2项目ROI核算（8L双腔可视）</vt:lpstr>
      <vt:lpstr>⑨-3项目ROI核算</vt:lpstr>
      <vt:lpstr>⑩供应商初步审查表</vt:lpstr>
      <vt:lpstr>⑪产品规格书</vt:lpstr>
      <vt:lpstr>⑫产品立项表</vt:lpstr>
      <vt:lpstr>⑬产品上市时间</vt:lpstr>
      <vt:lpstr>⑭合规排查（专利检索）</vt:lpstr>
      <vt:lpstr>Sheet4</vt:lpstr>
      <vt:lpstr>Sheet1</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WPS_1778554845</cp:lastModifiedBy>
  <dcterms:created xsi:type="dcterms:W3CDTF">2022-12-31T18:49:00Z</dcterms:created>
  <dcterms:modified xsi:type="dcterms:W3CDTF">2026-09-10T08:18:13Z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76D395B3042A40EA98411ACD3F67E560_13</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