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00"/>
  </bookViews>
  <sheets>
    <sheet name="方位角" sheetId="1" r:id="rId1"/>
    <sheet name="坐标" sheetId="2" r:id="rId2"/>
    <sheet name="曲线测设" sheetId="3" r:id="rId3"/>
  </sheets>
  <calcPr calcId="144525"/>
</workbook>
</file>

<file path=xl/sharedStrings.xml><?xml version="1.0" encoding="utf-8"?>
<sst xmlns="http://schemas.openxmlformats.org/spreadsheetml/2006/main" count="48">
  <si>
    <t>计算方位角（求0-&gt;1方位角）</t>
  </si>
  <si>
    <t>注意象限</t>
  </si>
  <si>
    <t>X1</t>
  </si>
  <si>
    <t>Y1</t>
  </si>
  <si>
    <t>X0</t>
  </si>
  <si>
    <t>Y0</t>
  </si>
  <si>
    <t>deltaX</t>
  </si>
  <si>
    <t>deltaY</t>
  </si>
  <si>
    <t>dY/dX</t>
  </si>
  <si>
    <t>距离S</t>
  </si>
  <si>
    <t>方位角弧度</t>
  </si>
  <si>
    <t>弧度转角度</t>
  </si>
  <si>
    <t>度</t>
  </si>
  <si>
    <t>分</t>
  </si>
  <si>
    <t>秒</t>
  </si>
  <si>
    <t>根据方位角和距离计算坐标</t>
  </si>
  <si>
    <t>角度</t>
  </si>
  <si>
    <t>转弧度</t>
  </si>
  <si>
    <t>sin</t>
  </si>
  <si>
    <t>cos</t>
  </si>
  <si>
    <t>X</t>
  </si>
  <si>
    <t>Y</t>
  </si>
  <si>
    <t>曲线综合要素</t>
  </si>
  <si>
    <t>偏角法测设缓和曲线</t>
  </si>
  <si>
    <t>间隔为10m</t>
  </si>
  <si>
    <t>长弦偏角法测设缓和曲线</t>
  </si>
  <si>
    <t>R</t>
  </si>
  <si>
    <t>N</t>
  </si>
  <si>
    <t>n</t>
  </si>
  <si>
    <t>delta(init)</t>
  </si>
  <si>
    <t>delta</t>
  </si>
  <si>
    <t>l</t>
  </si>
  <si>
    <t>弦长c</t>
  </si>
  <si>
    <t>偏角delta</t>
  </si>
  <si>
    <t>L0</t>
  </si>
  <si>
    <t>alpha</t>
  </si>
  <si>
    <t>beta0</t>
  </si>
  <si>
    <t>delta0</t>
  </si>
  <si>
    <t>m</t>
  </si>
  <si>
    <t>p</t>
  </si>
  <si>
    <t>T</t>
  </si>
  <si>
    <t>L</t>
  </si>
  <si>
    <t>E0</t>
  </si>
  <si>
    <t>q</t>
  </si>
  <si>
    <t>偏角法测设圆曲线</t>
  </si>
  <si>
    <t>长弦偏角法测设圆曲线</t>
  </si>
  <si>
    <t>测设圆曲线时距离应调整为20的整数倍</t>
  </si>
  <si>
    <t>距离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</si>
</sst>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_ "/>
    <numFmt numFmtId="178" formatCode="0.00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37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8" fillId="40" borderId="10" applyNumberForma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32" borderId="10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17" borderId="8" applyNumberFormat="0" applyAlignment="0" applyProtection="0">
      <alignment vertical="center"/>
    </xf>
    <xf numFmtId="0" fontId="19" fillId="32" borderId="12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78" fontId="0" fillId="10" borderId="1" xfId="0" applyNumberFormat="1" applyFill="1" applyBorder="1" applyAlignment="1">
      <alignment horizontal="center" vertical="center"/>
    </xf>
    <xf numFmtId="176" fontId="0" fillId="10" borderId="1" xfId="0" applyNumberFormat="1" applyFill="1" applyBorder="1" applyAlignment="1">
      <alignment horizontal="center" vertical="center"/>
    </xf>
    <xf numFmtId="177" fontId="0" fillId="10" borderId="1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2"/>
  <sheetViews>
    <sheetView tabSelected="1" workbookViewId="0">
      <selection activeCell="A1" sqref="A1:J1"/>
    </sheetView>
  </sheetViews>
  <sheetFormatPr defaultColWidth="9.14285714285714" defaultRowHeight="17.6"/>
  <cols>
    <col min="1" max="14" width="12.1428571428571" customWidth="1"/>
  </cols>
  <sheetData>
    <row r="1" spans="1:13">
      <c r="A1" s="8" t="s">
        <v>0</v>
      </c>
      <c r="B1" s="9"/>
      <c r="C1" s="9"/>
      <c r="D1" s="9"/>
      <c r="E1" s="9"/>
      <c r="F1" s="9"/>
      <c r="G1" s="9"/>
      <c r="H1" s="9"/>
      <c r="I1" s="9"/>
      <c r="J1" s="12"/>
      <c r="K1" s="11" t="s">
        <v>1</v>
      </c>
      <c r="L1" s="11"/>
      <c r="M1" s="11"/>
    </row>
    <row r="2" spans="1:13">
      <c r="A2" s="14" t="s">
        <v>2</v>
      </c>
      <c r="B2" s="14" t="s">
        <v>3</v>
      </c>
      <c r="C2" s="14" t="s">
        <v>4</v>
      </c>
      <c r="D2" s="14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  <c r="J2" s="15" t="s">
        <v>11</v>
      </c>
      <c r="K2" s="15" t="s">
        <v>12</v>
      </c>
      <c r="L2" s="15" t="s">
        <v>13</v>
      </c>
      <c r="M2" s="15" t="s">
        <v>14</v>
      </c>
    </row>
    <row r="3" spans="1:13">
      <c r="A3" s="3">
        <v>2</v>
      </c>
      <c r="B3" s="3">
        <v>3</v>
      </c>
      <c r="C3" s="3">
        <v>0</v>
      </c>
      <c r="D3" s="3">
        <v>0</v>
      </c>
      <c r="E3" s="16">
        <f>A3-C3</f>
        <v>2</v>
      </c>
      <c r="F3" s="16">
        <f>B3-D3</f>
        <v>3</v>
      </c>
      <c r="G3" s="16">
        <f>F3/E3</f>
        <v>1.5</v>
      </c>
      <c r="H3" s="18">
        <f>SQRT(E3^2+F3^2)</f>
        <v>3.60555127546399</v>
      </c>
      <c r="I3" s="16">
        <f>ATAN(F3/E3)</f>
        <v>0.982793723247329</v>
      </c>
      <c r="J3" s="16">
        <f>DEGREES(I3)</f>
        <v>56.3099324740202</v>
      </c>
      <c r="K3" s="16">
        <f>ROUNDDOWN(J3,0)</f>
        <v>56</v>
      </c>
      <c r="L3" s="16">
        <f>ROUNDDOWN((J3-K3)*60,0)</f>
        <v>18</v>
      </c>
      <c r="M3" s="19">
        <f>((J3-K3)*60-L3)*60</f>
        <v>35.7569064727738</v>
      </c>
    </row>
    <row r="4" spans="1:13">
      <c r="A4" s="3">
        <v>221.478</v>
      </c>
      <c r="B4" s="3">
        <v>542.863</v>
      </c>
      <c r="C4" s="3">
        <v>250.394</v>
      </c>
      <c r="D4" s="3">
        <v>570.816</v>
      </c>
      <c r="E4" s="16">
        <f t="shared" ref="E4:E22" si="0">A4-C4</f>
        <v>-28.916</v>
      </c>
      <c r="F4" s="16">
        <f t="shared" ref="F4:F22" si="1">B4-D4</f>
        <v>-27.953</v>
      </c>
      <c r="G4" s="16">
        <f t="shared" ref="G4:G22" si="2">F4/E4</f>
        <v>0.966696638539216</v>
      </c>
      <c r="H4" s="18">
        <f t="shared" ref="H4:H22" si="3">SQRT(E4^2+F4^2)</f>
        <v>40.2182205598408</v>
      </c>
      <c r="I4" s="16">
        <f t="shared" ref="I4:I22" si="4">ATAN(F4/E4)</f>
        <v>0.768466127147212</v>
      </c>
      <c r="J4" s="16">
        <f t="shared" ref="J4:J22" si="5">DEGREES(I4)</f>
        <v>44.029865784299</v>
      </c>
      <c r="K4" s="16">
        <f t="shared" ref="K4:K22" si="6">ROUNDDOWN(J4,0)</f>
        <v>44</v>
      </c>
      <c r="L4" s="16">
        <f t="shared" ref="L4:L22" si="7">ROUNDDOWN((J4-K4)*60,0)</f>
        <v>1</v>
      </c>
      <c r="M4" s="19">
        <f t="shared" ref="M4:M22" si="8">((J4-K4)*60-L4)*60</f>
        <v>47.5168234762401</v>
      </c>
    </row>
    <row r="5" spans="1:13">
      <c r="A5" s="3">
        <v>99.98</v>
      </c>
      <c r="B5" s="3">
        <v>1.67</v>
      </c>
      <c r="C5" s="3">
        <v>0</v>
      </c>
      <c r="D5" s="3">
        <v>0</v>
      </c>
      <c r="E5" s="16">
        <f t="shared" si="0"/>
        <v>99.98</v>
      </c>
      <c r="F5" s="16">
        <f t="shared" si="1"/>
        <v>1.67</v>
      </c>
      <c r="G5" s="16">
        <f t="shared" si="2"/>
        <v>0.0167033406681336</v>
      </c>
      <c r="H5" s="18">
        <f t="shared" si="3"/>
        <v>99.9939463167646</v>
      </c>
      <c r="I5" s="16">
        <f t="shared" si="4"/>
        <v>0.0167017875085937</v>
      </c>
      <c r="J5" s="16">
        <f t="shared" si="5"/>
        <v>0.956941934566739</v>
      </c>
      <c r="K5" s="16">
        <f t="shared" si="6"/>
        <v>0</v>
      </c>
      <c r="L5" s="16">
        <f t="shared" si="7"/>
        <v>57</v>
      </c>
      <c r="M5" s="19">
        <f t="shared" si="8"/>
        <v>24.9909644402614</v>
      </c>
    </row>
    <row r="6" spans="1:13">
      <c r="A6" s="3"/>
      <c r="B6" s="3"/>
      <c r="C6" s="3"/>
      <c r="D6" s="3"/>
      <c r="E6" s="16">
        <f t="shared" si="0"/>
        <v>0</v>
      </c>
      <c r="F6" s="16">
        <f t="shared" si="1"/>
        <v>0</v>
      </c>
      <c r="G6" s="16" t="e">
        <f t="shared" si="2"/>
        <v>#DIV/0!</v>
      </c>
      <c r="H6" s="18">
        <f t="shared" si="3"/>
        <v>0</v>
      </c>
      <c r="I6" s="16" t="e">
        <f>ATAN(F6/E6)</f>
        <v>#DIV/0!</v>
      </c>
      <c r="J6" s="16" t="e">
        <f t="shared" si="5"/>
        <v>#DIV/0!</v>
      </c>
      <c r="K6" s="16" t="e">
        <f t="shared" si="6"/>
        <v>#DIV/0!</v>
      </c>
      <c r="L6" s="16" t="e">
        <f t="shared" si="7"/>
        <v>#DIV/0!</v>
      </c>
      <c r="M6" s="19" t="e">
        <f t="shared" si="8"/>
        <v>#DIV/0!</v>
      </c>
    </row>
    <row r="7" spans="1:13">
      <c r="A7" s="3"/>
      <c r="B7" s="3"/>
      <c r="C7" s="3"/>
      <c r="D7" s="3"/>
      <c r="E7" s="16">
        <f t="shared" si="0"/>
        <v>0</v>
      </c>
      <c r="F7" s="16">
        <f t="shared" si="1"/>
        <v>0</v>
      </c>
      <c r="G7" s="16" t="e">
        <f t="shared" si="2"/>
        <v>#DIV/0!</v>
      </c>
      <c r="H7" s="18">
        <f t="shared" si="3"/>
        <v>0</v>
      </c>
      <c r="I7" s="16" t="e">
        <f t="shared" si="4"/>
        <v>#DIV/0!</v>
      </c>
      <c r="J7" s="16" t="e">
        <f t="shared" si="5"/>
        <v>#DIV/0!</v>
      </c>
      <c r="K7" s="16" t="e">
        <f t="shared" si="6"/>
        <v>#DIV/0!</v>
      </c>
      <c r="L7" s="16" t="e">
        <f t="shared" si="7"/>
        <v>#DIV/0!</v>
      </c>
      <c r="M7" s="19" t="e">
        <f t="shared" si="8"/>
        <v>#DIV/0!</v>
      </c>
    </row>
    <row r="8" spans="1:13">
      <c r="A8" s="3"/>
      <c r="B8" s="3"/>
      <c r="C8" s="3"/>
      <c r="D8" s="3"/>
      <c r="E8" s="16">
        <f t="shared" si="0"/>
        <v>0</v>
      </c>
      <c r="F8" s="16">
        <f t="shared" si="1"/>
        <v>0</v>
      </c>
      <c r="G8" s="16" t="e">
        <f t="shared" si="2"/>
        <v>#DIV/0!</v>
      </c>
      <c r="H8" s="18">
        <f t="shared" si="3"/>
        <v>0</v>
      </c>
      <c r="I8" s="16" t="e">
        <f t="shared" si="4"/>
        <v>#DIV/0!</v>
      </c>
      <c r="J8" s="16" t="e">
        <f t="shared" si="5"/>
        <v>#DIV/0!</v>
      </c>
      <c r="K8" s="16" t="e">
        <f t="shared" si="6"/>
        <v>#DIV/0!</v>
      </c>
      <c r="L8" s="16" t="e">
        <f t="shared" si="7"/>
        <v>#DIV/0!</v>
      </c>
      <c r="M8" s="19" t="e">
        <f t="shared" si="8"/>
        <v>#DIV/0!</v>
      </c>
    </row>
    <row r="9" spans="1:13">
      <c r="A9" s="3"/>
      <c r="B9" s="3"/>
      <c r="C9" s="3"/>
      <c r="D9" s="3"/>
      <c r="E9" s="16">
        <f t="shared" si="0"/>
        <v>0</v>
      </c>
      <c r="F9" s="16">
        <f t="shared" si="1"/>
        <v>0</v>
      </c>
      <c r="G9" s="16" t="e">
        <f t="shared" si="2"/>
        <v>#DIV/0!</v>
      </c>
      <c r="H9" s="18">
        <f t="shared" si="3"/>
        <v>0</v>
      </c>
      <c r="I9" s="16" t="e">
        <f t="shared" si="4"/>
        <v>#DIV/0!</v>
      </c>
      <c r="J9" s="16" t="e">
        <f t="shared" si="5"/>
        <v>#DIV/0!</v>
      </c>
      <c r="K9" s="16" t="e">
        <f t="shared" si="6"/>
        <v>#DIV/0!</v>
      </c>
      <c r="L9" s="16" t="e">
        <f t="shared" si="7"/>
        <v>#DIV/0!</v>
      </c>
      <c r="M9" s="19" t="e">
        <f t="shared" si="8"/>
        <v>#DIV/0!</v>
      </c>
    </row>
    <row r="10" spans="1:13">
      <c r="A10" s="3"/>
      <c r="B10" s="3"/>
      <c r="C10" s="3"/>
      <c r="D10" s="3"/>
      <c r="E10" s="16">
        <f t="shared" si="0"/>
        <v>0</v>
      </c>
      <c r="F10" s="16">
        <f t="shared" si="1"/>
        <v>0</v>
      </c>
      <c r="G10" s="16" t="e">
        <f t="shared" si="2"/>
        <v>#DIV/0!</v>
      </c>
      <c r="H10" s="18">
        <f t="shared" si="3"/>
        <v>0</v>
      </c>
      <c r="I10" s="16" t="e">
        <f t="shared" si="4"/>
        <v>#DIV/0!</v>
      </c>
      <c r="J10" s="16" t="e">
        <f t="shared" si="5"/>
        <v>#DIV/0!</v>
      </c>
      <c r="K10" s="16" t="e">
        <f t="shared" si="6"/>
        <v>#DIV/0!</v>
      </c>
      <c r="L10" s="16" t="e">
        <f t="shared" si="7"/>
        <v>#DIV/0!</v>
      </c>
      <c r="M10" s="19" t="e">
        <f t="shared" si="8"/>
        <v>#DIV/0!</v>
      </c>
    </row>
    <row r="11" spans="1:13">
      <c r="A11" s="3"/>
      <c r="B11" s="3"/>
      <c r="C11" s="3"/>
      <c r="D11" s="3"/>
      <c r="E11" s="16">
        <f t="shared" si="0"/>
        <v>0</v>
      </c>
      <c r="F11" s="16">
        <f t="shared" si="1"/>
        <v>0</v>
      </c>
      <c r="G11" s="16" t="e">
        <f t="shared" si="2"/>
        <v>#DIV/0!</v>
      </c>
      <c r="H11" s="18">
        <f t="shared" si="3"/>
        <v>0</v>
      </c>
      <c r="I11" s="16" t="e">
        <f t="shared" si="4"/>
        <v>#DIV/0!</v>
      </c>
      <c r="J11" s="16" t="e">
        <f t="shared" si="5"/>
        <v>#DIV/0!</v>
      </c>
      <c r="K11" s="16" t="e">
        <f t="shared" si="6"/>
        <v>#DIV/0!</v>
      </c>
      <c r="L11" s="16" t="e">
        <f t="shared" si="7"/>
        <v>#DIV/0!</v>
      </c>
      <c r="M11" s="19" t="e">
        <f t="shared" si="8"/>
        <v>#DIV/0!</v>
      </c>
    </row>
    <row r="12" spans="1:13">
      <c r="A12" s="3"/>
      <c r="B12" s="3"/>
      <c r="C12" s="3"/>
      <c r="D12" s="3"/>
      <c r="E12" s="16">
        <f t="shared" si="0"/>
        <v>0</v>
      </c>
      <c r="F12" s="16">
        <f t="shared" si="1"/>
        <v>0</v>
      </c>
      <c r="G12" s="16" t="e">
        <f t="shared" si="2"/>
        <v>#DIV/0!</v>
      </c>
      <c r="H12" s="18">
        <f t="shared" si="3"/>
        <v>0</v>
      </c>
      <c r="I12" s="16" t="e">
        <f t="shared" si="4"/>
        <v>#DIV/0!</v>
      </c>
      <c r="J12" s="16" t="e">
        <f t="shared" si="5"/>
        <v>#DIV/0!</v>
      </c>
      <c r="K12" s="16" t="e">
        <f t="shared" si="6"/>
        <v>#DIV/0!</v>
      </c>
      <c r="L12" s="16" t="e">
        <f t="shared" si="7"/>
        <v>#DIV/0!</v>
      </c>
      <c r="M12" s="19" t="e">
        <f t="shared" si="8"/>
        <v>#DIV/0!</v>
      </c>
    </row>
    <row r="13" spans="1:13">
      <c r="A13" s="3"/>
      <c r="B13" s="3"/>
      <c r="C13" s="3"/>
      <c r="D13" s="3"/>
      <c r="E13" s="16">
        <f t="shared" si="0"/>
        <v>0</v>
      </c>
      <c r="F13" s="16">
        <f t="shared" si="1"/>
        <v>0</v>
      </c>
      <c r="G13" s="16" t="e">
        <f t="shared" si="2"/>
        <v>#DIV/0!</v>
      </c>
      <c r="H13" s="18">
        <f t="shared" si="3"/>
        <v>0</v>
      </c>
      <c r="I13" s="16" t="e">
        <f t="shared" si="4"/>
        <v>#DIV/0!</v>
      </c>
      <c r="J13" s="16" t="e">
        <f t="shared" si="5"/>
        <v>#DIV/0!</v>
      </c>
      <c r="K13" s="16" t="e">
        <f t="shared" si="6"/>
        <v>#DIV/0!</v>
      </c>
      <c r="L13" s="16" t="e">
        <f t="shared" si="7"/>
        <v>#DIV/0!</v>
      </c>
      <c r="M13" s="19" t="e">
        <f t="shared" si="8"/>
        <v>#DIV/0!</v>
      </c>
    </row>
    <row r="14" spans="1:13">
      <c r="A14" s="3"/>
      <c r="B14" s="3"/>
      <c r="C14" s="3"/>
      <c r="D14" s="3"/>
      <c r="E14" s="16">
        <f t="shared" si="0"/>
        <v>0</v>
      </c>
      <c r="F14" s="16">
        <f t="shared" si="1"/>
        <v>0</v>
      </c>
      <c r="G14" s="16" t="e">
        <f t="shared" si="2"/>
        <v>#DIV/0!</v>
      </c>
      <c r="H14" s="18">
        <f t="shared" si="3"/>
        <v>0</v>
      </c>
      <c r="I14" s="16" t="e">
        <f t="shared" si="4"/>
        <v>#DIV/0!</v>
      </c>
      <c r="J14" s="16" t="e">
        <f t="shared" si="5"/>
        <v>#DIV/0!</v>
      </c>
      <c r="K14" s="16" t="e">
        <f t="shared" si="6"/>
        <v>#DIV/0!</v>
      </c>
      <c r="L14" s="16" t="e">
        <f t="shared" si="7"/>
        <v>#DIV/0!</v>
      </c>
      <c r="M14" s="19" t="e">
        <f t="shared" si="8"/>
        <v>#DIV/0!</v>
      </c>
    </row>
    <row r="15" spans="1:13">
      <c r="A15" s="3"/>
      <c r="B15" s="3"/>
      <c r="C15" s="3"/>
      <c r="D15" s="3"/>
      <c r="E15" s="16">
        <f t="shared" si="0"/>
        <v>0</v>
      </c>
      <c r="F15" s="16">
        <f t="shared" si="1"/>
        <v>0</v>
      </c>
      <c r="G15" s="16" t="e">
        <f t="shared" si="2"/>
        <v>#DIV/0!</v>
      </c>
      <c r="H15" s="18">
        <f t="shared" si="3"/>
        <v>0</v>
      </c>
      <c r="I15" s="16" t="e">
        <f t="shared" si="4"/>
        <v>#DIV/0!</v>
      </c>
      <c r="J15" s="16" t="e">
        <f t="shared" si="5"/>
        <v>#DIV/0!</v>
      </c>
      <c r="K15" s="16" t="e">
        <f t="shared" si="6"/>
        <v>#DIV/0!</v>
      </c>
      <c r="L15" s="16" t="e">
        <f t="shared" si="7"/>
        <v>#DIV/0!</v>
      </c>
      <c r="M15" s="19" t="e">
        <f t="shared" si="8"/>
        <v>#DIV/0!</v>
      </c>
    </row>
    <row r="16" spans="1:13">
      <c r="A16" s="3"/>
      <c r="B16" s="3"/>
      <c r="C16" s="3"/>
      <c r="D16" s="3"/>
      <c r="E16" s="16">
        <f t="shared" si="0"/>
        <v>0</v>
      </c>
      <c r="F16" s="16">
        <f t="shared" si="1"/>
        <v>0</v>
      </c>
      <c r="G16" s="16" t="e">
        <f t="shared" si="2"/>
        <v>#DIV/0!</v>
      </c>
      <c r="H16" s="18">
        <f t="shared" si="3"/>
        <v>0</v>
      </c>
      <c r="I16" s="16" t="e">
        <f t="shared" si="4"/>
        <v>#DIV/0!</v>
      </c>
      <c r="J16" s="16" t="e">
        <f t="shared" si="5"/>
        <v>#DIV/0!</v>
      </c>
      <c r="K16" s="16" t="e">
        <f t="shared" si="6"/>
        <v>#DIV/0!</v>
      </c>
      <c r="L16" s="16" t="e">
        <f t="shared" si="7"/>
        <v>#DIV/0!</v>
      </c>
      <c r="M16" s="19" t="e">
        <f t="shared" si="8"/>
        <v>#DIV/0!</v>
      </c>
    </row>
    <row r="17" spans="1:13">
      <c r="A17" s="3"/>
      <c r="B17" s="3"/>
      <c r="C17" s="3"/>
      <c r="D17" s="3"/>
      <c r="E17" s="16">
        <f t="shared" si="0"/>
        <v>0</v>
      </c>
      <c r="F17" s="16">
        <f t="shared" si="1"/>
        <v>0</v>
      </c>
      <c r="G17" s="16" t="e">
        <f t="shared" si="2"/>
        <v>#DIV/0!</v>
      </c>
      <c r="H17" s="18">
        <f t="shared" si="3"/>
        <v>0</v>
      </c>
      <c r="I17" s="16" t="e">
        <f t="shared" si="4"/>
        <v>#DIV/0!</v>
      </c>
      <c r="J17" s="16" t="e">
        <f t="shared" si="5"/>
        <v>#DIV/0!</v>
      </c>
      <c r="K17" s="16" t="e">
        <f t="shared" si="6"/>
        <v>#DIV/0!</v>
      </c>
      <c r="L17" s="16" t="e">
        <f t="shared" si="7"/>
        <v>#DIV/0!</v>
      </c>
      <c r="M17" s="19" t="e">
        <f t="shared" si="8"/>
        <v>#DIV/0!</v>
      </c>
    </row>
    <row r="18" spans="1:13">
      <c r="A18" s="3"/>
      <c r="B18" s="3"/>
      <c r="C18" s="3"/>
      <c r="D18" s="3"/>
      <c r="E18" s="16">
        <f t="shared" si="0"/>
        <v>0</v>
      </c>
      <c r="F18" s="16">
        <f t="shared" si="1"/>
        <v>0</v>
      </c>
      <c r="G18" s="16" t="e">
        <f t="shared" si="2"/>
        <v>#DIV/0!</v>
      </c>
      <c r="H18" s="18">
        <f t="shared" si="3"/>
        <v>0</v>
      </c>
      <c r="I18" s="16" t="e">
        <f t="shared" si="4"/>
        <v>#DIV/0!</v>
      </c>
      <c r="J18" s="16" t="e">
        <f t="shared" si="5"/>
        <v>#DIV/0!</v>
      </c>
      <c r="K18" s="16" t="e">
        <f t="shared" si="6"/>
        <v>#DIV/0!</v>
      </c>
      <c r="L18" s="16" t="e">
        <f t="shared" si="7"/>
        <v>#DIV/0!</v>
      </c>
      <c r="M18" s="19" t="e">
        <f t="shared" si="8"/>
        <v>#DIV/0!</v>
      </c>
    </row>
    <row r="19" spans="1:13">
      <c r="A19" s="3"/>
      <c r="B19" s="3"/>
      <c r="C19" s="3"/>
      <c r="D19" s="3"/>
      <c r="E19" s="16">
        <f t="shared" si="0"/>
        <v>0</v>
      </c>
      <c r="F19" s="16">
        <f t="shared" si="1"/>
        <v>0</v>
      </c>
      <c r="G19" s="16" t="e">
        <f t="shared" si="2"/>
        <v>#DIV/0!</v>
      </c>
      <c r="H19" s="18">
        <f t="shared" si="3"/>
        <v>0</v>
      </c>
      <c r="I19" s="16" t="e">
        <f t="shared" si="4"/>
        <v>#DIV/0!</v>
      </c>
      <c r="J19" s="16" t="e">
        <f t="shared" si="5"/>
        <v>#DIV/0!</v>
      </c>
      <c r="K19" s="16" t="e">
        <f t="shared" si="6"/>
        <v>#DIV/0!</v>
      </c>
      <c r="L19" s="16" t="e">
        <f t="shared" si="7"/>
        <v>#DIV/0!</v>
      </c>
      <c r="M19" s="19" t="e">
        <f t="shared" si="8"/>
        <v>#DIV/0!</v>
      </c>
    </row>
    <row r="20" spans="1:13">
      <c r="A20" s="3"/>
      <c r="B20" s="3"/>
      <c r="C20" s="3"/>
      <c r="D20" s="3"/>
      <c r="E20" s="16">
        <f t="shared" si="0"/>
        <v>0</v>
      </c>
      <c r="F20" s="16">
        <f t="shared" si="1"/>
        <v>0</v>
      </c>
      <c r="G20" s="16" t="e">
        <f t="shared" si="2"/>
        <v>#DIV/0!</v>
      </c>
      <c r="H20" s="18">
        <f t="shared" si="3"/>
        <v>0</v>
      </c>
      <c r="I20" s="16" t="e">
        <f t="shared" si="4"/>
        <v>#DIV/0!</v>
      </c>
      <c r="J20" s="16" t="e">
        <f t="shared" si="5"/>
        <v>#DIV/0!</v>
      </c>
      <c r="K20" s="16" t="e">
        <f t="shared" si="6"/>
        <v>#DIV/0!</v>
      </c>
      <c r="L20" s="16" t="e">
        <f t="shared" si="7"/>
        <v>#DIV/0!</v>
      </c>
      <c r="M20" s="19" t="e">
        <f t="shared" si="8"/>
        <v>#DIV/0!</v>
      </c>
    </row>
    <row r="21" spans="1:13">
      <c r="A21" s="3"/>
      <c r="B21" s="3"/>
      <c r="C21" s="3"/>
      <c r="D21" s="3"/>
      <c r="E21" s="16">
        <f t="shared" si="0"/>
        <v>0</v>
      </c>
      <c r="F21" s="16">
        <f t="shared" si="1"/>
        <v>0</v>
      </c>
      <c r="G21" s="16" t="e">
        <f t="shared" si="2"/>
        <v>#DIV/0!</v>
      </c>
      <c r="H21" s="18">
        <f t="shared" si="3"/>
        <v>0</v>
      </c>
      <c r="I21" s="16" t="e">
        <f t="shared" si="4"/>
        <v>#DIV/0!</v>
      </c>
      <c r="J21" s="16" t="e">
        <f t="shared" si="5"/>
        <v>#DIV/0!</v>
      </c>
      <c r="K21" s="16" t="e">
        <f t="shared" si="6"/>
        <v>#DIV/0!</v>
      </c>
      <c r="L21" s="16" t="e">
        <f t="shared" si="7"/>
        <v>#DIV/0!</v>
      </c>
      <c r="M21" s="19" t="e">
        <f t="shared" si="8"/>
        <v>#DIV/0!</v>
      </c>
    </row>
    <row r="22" spans="1:13">
      <c r="A22" s="3"/>
      <c r="B22" s="3"/>
      <c r="C22" s="3"/>
      <c r="D22" s="3"/>
      <c r="E22" s="16">
        <f t="shared" si="0"/>
        <v>0</v>
      </c>
      <c r="F22" s="16">
        <f t="shared" si="1"/>
        <v>0</v>
      </c>
      <c r="G22" s="16" t="e">
        <f t="shared" si="2"/>
        <v>#DIV/0!</v>
      </c>
      <c r="H22" s="18">
        <f t="shared" si="3"/>
        <v>0</v>
      </c>
      <c r="I22" s="16" t="e">
        <f t="shared" si="4"/>
        <v>#DIV/0!</v>
      </c>
      <c r="J22" s="16" t="e">
        <f t="shared" si="5"/>
        <v>#DIV/0!</v>
      </c>
      <c r="K22" s="16" t="e">
        <f t="shared" si="6"/>
        <v>#DIV/0!</v>
      </c>
      <c r="L22" s="16" t="e">
        <f t="shared" si="7"/>
        <v>#DIV/0!</v>
      </c>
      <c r="M22" s="19" t="e">
        <f t="shared" si="8"/>
        <v>#DIV/0!</v>
      </c>
    </row>
  </sheetData>
  <mergeCells count="2">
    <mergeCell ref="A1:J1"/>
    <mergeCell ref="K1:M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3"/>
  <sheetViews>
    <sheetView workbookViewId="0">
      <selection activeCell="H25" sqref="H25"/>
    </sheetView>
  </sheetViews>
  <sheetFormatPr defaultColWidth="9.14285714285714" defaultRowHeight="17.6"/>
  <cols>
    <col min="1" max="14" width="12.1428571428571" customWidth="1"/>
  </cols>
  <sheetData>
    <row r="1" spans="1:14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4" t="s">
        <v>12</v>
      </c>
      <c r="B2" s="14" t="s">
        <v>13</v>
      </c>
      <c r="C2" s="14" t="s">
        <v>14</v>
      </c>
      <c r="D2" s="15" t="s">
        <v>16</v>
      </c>
      <c r="E2" s="15" t="s">
        <v>17</v>
      </c>
      <c r="F2" s="15" t="s">
        <v>18</v>
      </c>
      <c r="G2" s="15" t="s">
        <v>19</v>
      </c>
      <c r="H2" s="14" t="s">
        <v>9</v>
      </c>
      <c r="I2" s="14" t="s">
        <v>4</v>
      </c>
      <c r="J2" s="14" t="s">
        <v>5</v>
      </c>
      <c r="K2" s="15" t="s">
        <v>6</v>
      </c>
      <c r="L2" s="15" t="s">
        <v>7</v>
      </c>
      <c r="M2" s="15" t="s">
        <v>20</v>
      </c>
      <c r="N2" s="15" t="s">
        <v>21</v>
      </c>
    </row>
    <row r="3" spans="1:14">
      <c r="A3" s="3">
        <v>145</v>
      </c>
      <c r="B3" s="3">
        <v>47</v>
      </c>
      <c r="C3" s="3">
        <v>50</v>
      </c>
      <c r="D3" s="16">
        <f t="shared" ref="D3:D23" si="0">A3+B3/60+C3/3600</f>
        <v>145.797222222222</v>
      </c>
      <c r="E3" s="16">
        <f t="shared" ref="E3:E23" si="1">RADIANS(D3)</f>
        <v>2.54464156803962</v>
      </c>
      <c r="F3" s="16">
        <f t="shared" ref="F3:F23" si="2">SIN(E3)</f>
        <v>0.562123475189321</v>
      </c>
      <c r="G3" s="16">
        <f t="shared" ref="G3:G23" si="3">COS(E3)</f>
        <v>-0.827053322731419</v>
      </c>
      <c r="H3" s="3">
        <v>59.5</v>
      </c>
      <c r="I3" s="3">
        <v>9312.4</v>
      </c>
      <c r="J3" s="3">
        <v>15328.8</v>
      </c>
      <c r="K3" s="17">
        <f t="shared" ref="K3:K23" si="4">H3*G3</f>
        <v>-49.2096727025194</v>
      </c>
      <c r="L3" s="17">
        <f t="shared" ref="L3:L23" si="5">H3*F3</f>
        <v>33.4463467737646</v>
      </c>
      <c r="M3" s="18">
        <f t="shared" ref="M3:M23" si="6">I3+K3</f>
        <v>9263.19032729748</v>
      </c>
      <c r="N3" s="18">
        <f t="shared" ref="N3:N23" si="7">J3+L3</f>
        <v>15362.2463467738</v>
      </c>
    </row>
    <row r="4" spans="1:14">
      <c r="A4" s="3">
        <v>121</v>
      </c>
      <c r="B4" s="3">
        <v>32</v>
      </c>
      <c r="C4" s="3">
        <v>47</v>
      </c>
      <c r="D4" s="16">
        <f t="shared" si="0"/>
        <v>121.546388888889</v>
      </c>
      <c r="E4" s="16">
        <f t="shared" si="1"/>
        <v>2.12138468002056</v>
      </c>
      <c r="F4" s="16">
        <f t="shared" si="2"/>
        <v>0.852216849805357</v>
      </c>
      <c r="G4" s="16">
        <f t="shared" si="3"/>
        <v>-0.523188723987658</v>
      </c>
      <c r="H4" s="3">
        <v>99.99</v>
      </c>
      <c r="I4" s="3">
        <v>2000</v>
      </c>
      <c r="J4" s="3">
        <v>2000</v>
      </c>
      <c r="K4" s="17">
        <f t="shared" si="4"/>
        <v>-52.3136405115259</v>
      </c>
      <c r="L4" s="17">
        <f t="shared" si="5"/>
        <v>85.2131628120377</v>
      </c>
      <c r="M4" s="18">
        <f t="shared" si="6"/>
        <v>1947.68635948847</v>
      </c>
      <c r="N4" s="18">
        <f t="shared" si="7"/>
        <v>2085.21316281204</v>
      </c>
    </row>
    <row r="5" spans="1:14">
      <c r="A5" s="3"/>
      <c r="B5" s="3"/>
      <c r="C5" s="3"/>
      <c r="D5" s="16">
        <f t="shared" si="0"/>
        <v>0</v>
      </c>
      <c r="E5" s="16">
        <f t="shared" si="1"/>
        <v>0</v>
      </c>
      <c r="F5" s="16">
        <f t="shared" si="2"/>
        <v>0</v>
      </c>
      <c r="G5" s="16">
        <f t="shared" si="3"/>
        <v>1</v>
      </c>
      <c r="H5" s="3"/>
      <c r="I5" s="3"/>
      <c r="J5" s="3"/>
      <c r="K5" s="17">
        <f t="shared" si="4"/>
        <v>0</v>
      </c>
      <c r="L5" s="17">
        <f t="shared" si="5"/>
        <v>0</v>
      </c>
      <c r="M5" s="18">
        <f t="shared" si="6"/>
        <v>0</v>
      </c>
      <c r="N5" s="18">
        <f t="shared" si="7"/>
        <v>0</v>
      </c>
    </row>
    <row r="6" spans="1:14">
      <c r="A6" s="3"/>
      <c r="B6" s="3"/>
      <c r="C6" s="3"/>
      <c r="D6" s="16">
        <f t="shared" si="0"/>
        <v>0</v>
      </c>
      <c r="E6" s="16">
        <f t="shared" si="1"/>
        <v>0</v>
      </c>
      <c r="F6" s="16">
        <f t="shared" si="2"/>
        <v>0</v>
      </c>
      <c r="G6" s="16">
        <f t="shared" si="3"/>
        <v>1</v>
      </c>
      <c r="H6" s="3"/>
      <c r="I6" s="3"/>
      <c r="J6" s="3"/>
      <c r="K6" s="17">
        <f t="shared" si="4"/>
        <v>0</v>
      </c>
      <c r="L6" s="17">
        <f t="shared" si="5"/>
        <v>0</v>
      </c>
      <c r="M6" s="18">
        <f t="shared" si="6"/>
        <v>0</v>
      </c>
      <c r="N6" s="18">
        <f t="shared" si="7"/>
        <v>0</v>
      </c>
    </row>
    <row r="7" spans="1:14">
      <c r="A7" s="3"/>
      <c r="B7" s="3"/>
      <c r="C7" s="3"/>
      <c r="D7" s="16">
        <f t="shared" si="0"/>
        <v>0</v>
      </c>
      <c r="E7" s="16">
        <f t="shared" si="1"/>
        <v>0</v>
      </c>
      <c r="F7" s="16">
        <f t="shared" si="2"/>
        <v>0</v>
      </c>
      <c r="G7" s="16">
        <f t="shared" si="3"/>
        <v>1</v>
      </c>
      <c r="H7" s="3"/>
      <c r="I7" s="3"/>
      <c r="J7" s="3"/>
      <c r="K7" s="17">
        <f t="shared" si="4"/>
        <v>0</v>
      </c>
      <c r="L7" s="17">
        <f t="shared" si="5"/>
        <v>0</v>
      </c>
      <c r="M7" s="18">
        <f t="shared" si="6"/>
        <v>0</v>
      </c>
      <c r="N7" s="18">
        <f t="shared" si="7"/>
        <v>0</v>
      </c>
    </row>
    <row r="8" spans="1:14">
      <c r="A8" s="3"/>
      <c r="B8" s="3"/>
      <c r="C8" s="3"/>
      <c r="D8" s="16">
        <f t="shared" si="0"/>
        <v>0</v>
      </c>
      <c r="E8" s="16">
        <f t="shared" si="1"/>
        <v>0</v>
      </c>
      <c r="F8" s="16">
        <f t="shared" si="2"/>
        <v>0</v>
      </c>
      <c r="G8" s="16">
        <f t="shared" si="3"/>
        <v>1</v>
      </c>
      <c r="H8" s="3"/>
      <c r="I8" s="3"/>
      <c r="J8" s="3"/>
      <c r="K8" s="17">
        <f t="shared" si="4"/>
        <v>0</v>
      </c>
      <c r="L8" s="17">
        <f t="shared" si="5"/>
        <v>0</v>
      </c>
      <c r="M8" s="18">
        <f t="shared" si="6"/>
        <v>0</v>
      </c>
      <c r="N8" s="18">
        <f t="shared" si="7"/>
        <v>0</v>
      </c>
    </row>
    <row r="9" spans="1:14">
      <c r="A9" s="3"/>
      <c r="B9" s="3"/>
      <c r="C9" s="3"/>
      <c r="D9" s="16">
        <f t="shared" si="0"/>
        <v>0</v>
      </c>
      <c r="E9" s="16">
        <f t="shared" si="1"/>
        <v>0</v>
      </c>
      <c r="F9" s="16">
        <f t="shared" si="2"/>
        <v>0</v>
      </c>
      <c r="G9" s="16">
        <f t="shared" si="3"/>
        <v>1</v>
      </c>
      <c r="H9" s="3"/>
      <c r="I9" s="3"/>
      <c r="J9" s="3"/>
      <c r="K9" s="17">
        <f t="shared" si="4"/>
        <v>0</v>
      </c>
      <c r="L9" s="17">
        <f t="shared" si="5"/>
        <v>0</v>
      </c>
      <c r="M9" s="18">
        <f t="shared" si="6"/>
        <v>0</v>
      </c>
      <c r="N9" s="18">
        <f t="shared" si="7"/>
        <v>0</v>
      </c>
    </row>
    <row r="10" spans="1:14">
      <c r="A10" s="3"/>
      <c r="B10" s="3"/>
      <c r="C10" s="3"/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1</v>
      </c>
      <c r="H10" s="3"/>
      <c r="I10" s="3"/>
      <c r="J10" s="3"/>
      <c r="K10" s="17">
        <f t="shared" si="4"/>
        <v>0</v>
      </c>
      <c r="L10" s="17">
        <f t="shared" si="5"/>
        <v>0</v>
      </c>
      <c r="M10" s="18">
        <f t="shared" si="6"/>
        <v>0</v>
      </c>
      <c r="N10" s="18">
        <f t="shared" si="7"/>
        <v>0</v>
      </c>
    </row>
    <row r="11" spans="1:14">
      <c r="A11" s="3"/>
      <c r="B11" s="3"/>
      <c r="C11" s="3"/>
      <c r="D11" s="16">
        <f t="shared" si="0"/>
        <v>0</v>
      </c>
      <c r="E11" s="16">
        <f t="shared" si="1"/>
        <v>0</v>
      </c>
      <c r="F11" s="16">
        <f t="shared" si="2"/>
        <v>0</v>
      </c>
      <c r="G11" s="16">
        <f t="shared" si="3"/>
        <v>1</v>
      </c>
      <c r="H11" s="3"/>
      <c r="I11" s="3"/>
      <c r="J11" s="3"/>
      <c r="K11" s="17">
        <f t="shared" si="4"/>
        <v>0</v>
      </c>
      <c r="L11" s="17">
        <f t="shared" si="5"/>
        <v>0</v>
      </c>
      <c r="M11" s="18">
        <f t="shared" si="6"/>
        <v>0</v>
      </c>
      <c r="N11" s="18">
        <f t="shared" si="7"/>
        <v>0</v>
      </c>
    </row>
    <row r="12" spans="1:14">
      <c r="A12" s="3"/>
      <c r="B12" s="3"/>
      <c r="C12" s="3"/>
      <c r="D12" s="16">
        <f t="shared" si="0"/>
        <v>0</v>
      </c>
      <c r="E12" s="16">
        <f t="shared" si="1"/>
        <v>0</v>
      </c>
      <c r="F12" s="16">
        <f t="shared" si="2"/>
        <v>0</v>
      </c>
      <c r="G12" s="16">
        <f t="shared" si="3"/>
        <v>1</v>
      </c>
      <c r="H12" s="3"/>
      <c r="I12" s="3"/>
      <c r="J12" s="3"/>
      <c r="K12" s="17">
        <f t="shared" si="4"/>
        <v>0</v>
      </c>
      <c r="L12" s="17">
        <f t="shared" si="5"/>
        <v>0</v>
      </c>
      <c r="M12" s="18">
        <f t="shared" si="6"/>
        <v>0</v>
      </c>
      <c r="N12" s="18">
        <f t="shared" si="7"/>
        <v>0</v>
      </c>
    </row>
    <row r="13" spans="1:14">
      <c r="A13" s="3"/>
      <c r="B13" s="3"/>
      <c r="C13" s="3"/>
      <c r="D13" s="16">
        <f t="shared" si="0"/>
        <v>0</v>
      </c>
      <c r="E13" s="16">
        <f t="shared" si="1"/>
        <v>0</v>
      </c>
      <c r="F13" s="16">
        <f t="shared" si="2"/>
        <v>0</v>
      </c>
      <c r="G13" s="16">
        <f t="shared" si="3"/>
        <v>1</v>
      </c>
      <c r="H13" s="3"/>
      <c r="I13" s="3"/>
      <c r="J13" s="3"/>
      <c r="K13" s="17">
        <f t="shared" si="4"/>
        <v>0</v>
      </c>
      <c r="L13" s="17">
        <f t="shared" si="5"/>
        <v>0</v>
      </c>
      <c r="M13" s="18">
        <f t="shared" si="6"/>
        <v>0</v>
      </c>
      <c r="N13" s="18">
        <f t="shared" si="7"/>
        <v>0</v>
      </c>
    </row>
    <row r="14" spans="1:14">
      <c r="A14" s="3"/>
      <c r="B14" s="3"/>
      <c r="C14" s="3"/>
      <c r="D14" s="16">
        <f t="shared" si="0"/>
        <v>0</v>
      </c>
      <c r="E14" s="16">
        <f t="shared" si="1"/>
        <v>0</v>
      </c>
      <c r="F14" s="16">
        <f t="shared" si="2"/>
        <v>0</v>
      </c>
      <c r="G14" s="16">
        <f t="shared" si="3"/>
        <v>1</v>
      </c>
      <c r="H14" s="3"/>
      <c r="I14" s="3"/>
      <c r="J14" s="3"/>
      <c r="K14" s="17">
        <f t="shared" si="4"/>
        <v>0</v>
      </c>
      <c r="L14" s="17">
        <f t="shared" si="5"/>
        <v>0</v>
      </c>
      <c r="M14" s="18">
        <f t="shared" si="6"/>
        <v>0</v>
      </c>
      <c r="N14" s="18">
        <f t="shared" si="7"/>
        <v>0</v>
      </c>
    </row>
    <row r="15" spans="1:14">
      <c r="A15" s="3"/>
      <c r="B15" s="3"/>
      <c r="C15" s="3"/>
      <c r="D15" s="16">
        <f t="shared" si="0"/>
        <v>0</v>
      </c>
      <c r="E15" s="16">
        <f t="shared" si="1"/>
        <v>0</v>
      </c>
      <c r="F15" s="16">
        <f t="shared" si="2"/>
        <v>0</v>
      </c>
      <c r="G15" s="16">
        <f t="shared" si="3"/>
        <v>1</v>
      </c>
      <c r="H15" s="3"/>
      <c r="I15" s="3"/>
      <c r="J15" s="3"/>
      <c r="K15" s="17">
        <f t="shared" si="4"/>
        <v>0</v>
      </c>
      <c r="L15" s="17">
        <f t="shared" si="5"/>
        <v>0</v>
      </c>
      <c r="M15" s="18">
        <f t="shared" si="6"/>
        <v>0</v>
      </c>
      <c r="N15" s="18">
        <f t="shared" si="7"/>
        <v>0</v>
      </c>
    </row>
    <row r="16" spans="1:14">
      <c r="A16" s="3"/>
      <c r="B16" s="3"/>
      <c r="C16" s="3"/>
      <c r="D16" s="16">
        <f t="shared" si="0"/>
        <v>0</v>
      </c>
      <c r="E16" s="16">
        <f t="shared" si="1"/>
        <v>0</v>
      </c>
      <c r="F16" s="16">
        <f t="shared" si="2"/>
        <v>0</v>
      </c>
      <c r="G16" s="16">
        <f t="shared" si="3"/>
        <v>1</v>
      </c>
      <c r="H16" s="3"/>
      <c r="I16" s="3"/>
      <c r="J16" s="3"/>
      <c r="K16" s="17">
        <f t="shared" si="4"/>
        <v>0</v>
      </c>
      <c r="L16" s="17">
        <f t="shared" si="5"/>
        <v>0</v>
      </c>
      <c r="M16" s="18">
        <f t="shared" si="6"/>
        <v>0</v>
      </c>
      <c r="N16" s="18">
        <f t="shared" si="7"/>
        <v>0</v>
      </c>
    </row>
    <row r="17" spans="1:14">
      <c r="A17" s="3"/>
      <c r="B17" s="3"/>
      <c r="C17" s="3"/>
      <c r="D17" s="16">
        <f t="shared" si="0"/>
        <v>0</v>
      </c>
      <c r="E17" s="16">
        <f t="shared" si="1"/>
        <v>0</v>
      </c>
      <c r="F17" s="16">
        <f t="shared" si="2"/>
        <v>0</v>
      </c>
      <c r="G17" s="16">
        <f t="shared" si="3"/>
        <v>1</v>
      </c>
      <c r="H17" s="3"/>
      <c r="I17" s="3"/>
      <c r="J17" s="3"/>
      <c r="K17" s="17">
        <f t="shared" si="4"/>
        <v>0</v>
      </c>
      <c r="L17" s="17">
        <f t="shared" si="5"/>
        <v>0</v>
      </c>
      <c r="M17" s="18">
        <f t="shared" si="6"/>
        <v>0</v>
      </c>
      <c r="N17" s="18">
        <f t="shared" si="7"/>
        <v>0</v>
      </c>
    </row>
    <row r="18" spans="1:14">
      <c r="A18" s="3"/>
      <c r="B18" s="3"/>
      <c r="C18" s="3"/>
      <c r="D18" s="16">
        <f t="shared" si="0"/>
        <v>0</v>
      </c>
      <c r="E18" s="16">
        <f t="shared" si="1"/>
        <v>0</v>
      </c>
      <c r="F18" s="16">
        <f t="shared" si="2"/>
        <v>0</v>
      </c>
      <c r="G18" s="16">
        <f t="shared" si="3"/>
        <v>1</v>
      </c>
      <c r="H18" s="3"/>
      <c r="I18" s="3"/>
      <c r="J18" s="3"/>
      <c r="K18" s="17">
        <f t="shared" si="4"/>
        <v>0</v>
      </c>
      <c r="L18" s="17">
        <f t="shared" si="5"/>
        <v>0</v>
      </c>
      <c r="M18" s="18">
        <f t="shared" si="6"/>
        <v>0</v>
      </c>
      <c r="N18" s="18">
        <f t="shared" si="7"/>
        <v>0</v>
      </c>
    </row>
    <row r="19" spans="1:14">
      <c r="A19" s="3"/>
      <c r="B19" s="3"/>
      <c r="C19" s="3"/>
      <c r="D19" s="16">
        <f t="shared" si="0"/>
        <v>0</v>
      </c>
      <c r="E19" s="16">
        <f t="shared" si="1"/>
        <v>0</v>
      </c>
      <c r="F19" s="16">
        <f t="shared" si="2"/>
        <v>0</v>
      </c>
      <c r="G19" s="16">
        <f t="shared" si="3"/>
        <v>1</v>
      </c>
      <c r="H19" s="3"/>
      <c r="I19" s="3"/>
      <c r="J19" s="3"/>
      <c r="K19" s="17">
        <f t="shared" si="4"/>
        <v>0</v>
      </c>
      <c r="L19" s="17">
        <f t="shared" si="5"/>
        <v>0</v>
      </c>
      <c r="M19" s="18">
        <f t="shared" si="6"/>
        <v>0</v>
      </c>
      <c r="N19" s="18">
        <f t="shared" si="7"/>
        <v>0</v>
      </c>
    </row>
    <row r="20" spans="1:14">
      <c r="A20" s="3"/>
      <c r="B20" s="3"/>
      <c r="C20" s="3"/>
      <c r="D20" s="16">
        <f t="shared" si="0"/>
        <v>0</v>
      </c>
      <c r="E20" s="16">
        <f t="shared" si="1"/>
        <v>0</v>
      </c>
      <c r="F20" s="16">
        <f t="shared" si="2"/>
        <v>0</v>
      </c>
      <c r="G20" s="16">
        <f t="shared" si="3"/>
        <v>1</v>
      </c>
      <c r="H20" s="3"/>
      <c r="I20" s="3"/>
      <c r="J20" s="3"/>
      <c r="K20" s="17">
        <f t="shared" si="4"/>
        <v>0</v>
      </c>
      <c r="L20" s="17">
        <f t="shared" si="5"/>
        <v>0</v>
      </c>
      <c r="M20" s="18">
        <f t="shared" si="6"/>
        <v>0</v>
      </c>
      <c r="N20" s="18">
        <f t="shared" si="7"/>
        <v>0</v>
      </c>
    </row>
    <row r="21" spans="1:14">
      <c r="A21" s="3"/>
      <c r="B21" s="3"/>
      <c r="C21" s="3"/>
      <c r="D21" s="16">
        <f t="shared" si="0"/>
        <v>0</v>
      </c>
      <c r="E21" s="16">
        <f t="shared" si="1"/>
        <v>0</v>
      </c>
      <c r="F21" s="16">
        <f t="shared" si="2"/>
        <v>0</v>
      </c>
      <c r="G21" s="16">
        <f t="shared" si="3"/>
        <v>1</v>
      </c>
      <c r="H21" s="3"/>
      <c r="I21" s="3"/>
      <c r="J21" s="3"/>
      <c r="K21" s="17">
        <f t="shared" si="4"/>
        <v>0</v>
      </c>
      <c r="L21" s="17">
        <f t="shared" si="5"/>
        <v>0</v>
      </c>
      <c r="M21" s="18">
        <f t="shared" si="6"/>
        <v>0</v>
      </c>
      <c r="N21" s="18">
        <f t="shared" si="7"/>
        <v>0</v>
      </c>
    </row>
    <row r="22" spans="1:14">
      <c r="A22" s="3"/>
      <c r="B22" s="3"/>
      <c r="C22" s="3"/>
      <c r="D22" s="16">
        <f t="shared" si="0"/>
        <v>0</v>
      </c>
      <c r="E22" s="16">
        <f t="shared" si="1"/>
        <v>0</v>
      </c>
      <c r="F22" s="16">
        <f t="shared" si="2"/>
        <v>0</v>
      </c>
      <c r="G22" s="16">
        <f t="shared" si="3"/>
        <v>1</v>
      </c>
      <c r="H22" s="3"/>
      <c r="I22" s="3"/>
      <c r="J22" s="3"/>
      <c r="K22" s="17">
        <f t="shared" si="4"/>
        <v>0</v>
      </c>
      <c r="L22" s="17">
        <f t="shared" si="5"/>
        <v>0</v>
      </c>
      <c r="M22" s="18">
        <f t="shared" si="6"/>
        <v>0</v>
      </c>
      <c r="N22" s="18">
        <f t="shared" si="7"/>
        <v>0</v>
      </c>
    </row>
    <row r="23" spans="1:14">
      <c r="A23" s="3"/>
      <c r="B23" s="3"/>
      <c r="C23" s="3"/>
      <c r="D23" s="16">
        <f t="shared" si="0"/>
        <v>0</v>
      </c>
      <c r="E23" s="16">
        <f t="shared" si="1"/>
        <v>0</v>
      </c>
      <c r="F23" s="16">
        <f t="shared" si="2"/>
        <v>0</v>
      </c>
      <c r="G23" s="16">
        <f t="shared" si="3"/>
        <v>1</v>
      </c>
      <c r="H23" s="3"/>
      <c r="I23" s="3"/>
      <c r="J23" s="3"/>
      <c r="K23" s="17">
        <f t="shared" si="4"/>
        <v>0</v>
      </c>
      <c r="L23" s="17">
        <f t="shared" si="5"/>
        <v>0</v>
      </c>
      <c r="M23" s="18">
        <f t="shared" si="6"/>
        <v>0</v>
      </c>
      <c r="N23" s="18">
        <f t="shared" si="7"/>
        <v>0</v>
      </c>
    </row>
  </sheetData>
  <mergeCells count="1">
    <mergeCell ref="A1:N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6"/>
  <sheetViews>
    <sheetView zoomScale="110" zoomScaleNormal="110" workbookViewId="0">
      <selection activeCell="T5" sqref="T5"/>
    </sheetView>
  </sheetViews>
  <sheetFormatPr defaultColWidth="9.14285714285714" defaultRowHeight="17.6"/>
  <cols>
    <col min="2" max="4" width="10.6428571428571" customWidth="1"/>
    <col min="5" max="5" width="12.7857142857143" hidden="1" customWidth="1"/>
    <col min="6" max="6" width="6.625" customWidth="1"/>
    <col min="7" max="8" width="12.6428571428571" customWidth="1"/>
    <col min="9" max="9" width="12.6428571428571" hidden="1" customWidth="1"/>
    <col min="10" max="12" width="12.6428571428571" customWidth="1"/>
    <col min="13" max="13" width="7.27678571428571" customWidth="1"/>
    <col min="14" max="17" width="12.6428571428571" customWidth="1"/>
    <col min="18" max="18" width="12.6428571428571" hidden="1" customWidth="1"/>
    <col min="19" max="21" width="12.6428571428571" customWidth="1"/>
    <col min="22" max="22" width="12.7857142857143" hidden="1" customWidth="1"/>
  </cols>
  <sheetData>
    <row r="1" spans="1:21">
      <c r="A1" s="1" t="s">
        <v>22</v>
      </c>
      <c r="B1" s="1"/>
      <c r="C1" s="1"/>
      <c r="D1" s="1"/>
      <c r="G1" s="8" t="s">
        <v>23</v>
      </c>
      <c r="H1" s="9"/>
      <c r="I1" s="9"/>
      <c r="J1" s="9"/>
      <c r="K1" s="12"/>
      <c r="L1" s="11" t="s">
        <v>24</v>
      </c>
      <c r="N1" s="1" t="s">
        <v>25</v>
      </c>
      <c r="O1" s="1"/>
      <c r="P1" s="1"/>
      <c r="Q1" s="1"/>
      <c r="R1" s="1"/>
      <c r="S1" s="1"/>
      <c r="T1" s="1"/>
      <c r="U1" s="1"/>
    </row>
    <row r="2" spans="1:21">
      <c r="A2" s="2" t="s">
        <v>26</v>
      </c>
      <c r="B2" s="3">
        <v>1000</v>
      </c>
      <c r="C2" s="3"/>
      <c r="D2" s="3"/>
      <c r="G2" s="2" t="s">
        <v>27</v>
      </c>
      <c r="H2" s="2" t="s">
        <v>28</v>
      </c>
      <c r="I2" s="13" t="s">
        <v>29</v>
      </c>
      <c r="J2" s="4" t="s">
        <v>30</v>
      </c>
      <c r="K2" s="4"/>
      <c r="L2" s="4"/>
      <c r="N2" s="2" t="s">
        <v>31</v>
      </c>
      <c r="O2" s="4" t="s">
        <v>20</v>
      </c>
      <c r="P2" s="4" t="s">
        <v>21</v>
      </c>
      <c r="Q2" s="4" t="s">
        <v>32</v>
      </c>
      <c r="R2" s="4" t="s">
        <v>29</v>
      </c>
      <c r="S2" s="4" t="s">
        <v>33</v>
      </c>
      <c r="T2" s="4"/>
      <c r="U2" s="4"/>
    </row>
    <row r="3" spans="1:21">
      <c r="A3" s="2" t="s">
        <v>34</v>
      </c>
      <c r="B3" s="3">
        <v>100</v>
      </c>
      <c r="C3" s="3"/>
      <c r="D3" s="3"/>
      <c r="G3" s="3">
        <v>10</v>
      </c>
      <c r="H3" s="3">
        <v>1</v>
      </c>
      <c r="I3" s="13">
        <f>E6/G3^2</f>
        <v>0.00954929658551372</v>
      </c>
      <c r="J3" s="5">
        <f>0</f>
        <v>0</v>
      </c>
      <c r="K3" s="5">
        <f>0</f>
        <v>0</v>
      </c>
      <c r="L3" s="6">
        <f>ROUND(I3*3600,1)</f>
        <v>34.4</v>
      </c>
      <c r="N3" s="3">
        <v>10</v>
      </c>
      <c r="O3" s="7">
        <f>ROUND(N3-N3^5/(40*$B$2^2*$B$3^2),2)</f>
        <v>10</v>
      </c>
      <c r="P3" s="7">
        <f>ROUND(N3^3/(6*$B$2*$B$3),2)</f>
        <v>0</v>
      </c>
      <c r="Q3" s="7">
        <f>SQRT(O3^2+P3^2)</f>
        <v>10</v>
      </c>
      <c r="R3" s="7">
        <f>DEGREES(ATAN(P3/O3))</f>
        <v>0</v>
      </c>
      <c r="S3" s="5">
        <f>ROUNDDOWN(R3,0)</f>
        <v>0</v>
      </c>
      <c r="T3" s="5">
        <f>ROUNDDOWN((R3-S3)*60,0)</f>
        <v>0</v>
      </c>
      <c r="U3" s="6">
        <f>((R3-S3)*60-T3)*60</f>
        <v>0</v>
      </c>
    </row>
    <row r="4" spans="1:21">
      <c r="A4" s="4" t="s">
        <v>35</v>
      </c>
      <c r="B4" s="5">
        <v>26</v>
      </c>
      <c r="C4" s="5">
        <v>43</v>
      </c>
      <c r="D4" s="6">
        <v>0</v>
      </c>
      <c r="E4">
        <f>B4+C4/60+D4/3600</f>
        <v>26.7166666666667</v>
      </c>
      <c r="G4" s="3"/>
      <c r="H4" s="3">
        <v>2</v>
      </c>
      <c r="I4" s="13">
        <f>$L$3*H4^2</f>
        <v>137.6</v>
      </c>
      <c r="J4" s="5">
        <f>INT(I4/3600)</f>
        <v>0</v>
      </c>
      <c r="K4" s="5">
        <f>INT((I4-3600*J4)/60)</f>
        <v>2</v>
      </c>
      <c r="L4" s="6">
        <f>I4-J4*3600-K4*60</f>
        <v>17.6</v>
      </c>
      <c r="N4" s="3">
        <v>20</v>
      </c>
      <c r="O4" s="7">
        <f t="shared" ref="O4:O12" si="0">ROUND(N4-N4^5/(40*$B$2^2*$B$3^2),2)</f>
        <v>20</v>
      </c>
      <c r="P4" s="7">
        <f t="shared" ref="P4:P12" si="1">ROUND(N4^3/(6*$B$2*$B$3),2)</f>
        <v>0.01</v>
      </c>
      <c r="Q4" s="7">
        <f t="shared" ref="Q4:Q12" si="2">SQRT(O4^2+P4^2)</f>
        <v>20.0000024999998</v>
      </c>
      <c r="R4" s="7">
        <f t="shared" ref="R4:R12" si="3">DEGREES(ATAN(P4/O4))</f>
        <v>0.0286478873692174</v>
      </c>
      <c r="S4" s="5">
        <f t="shared" ref="S4:S12" si="4">ROUNDDOWN(R4,0)</f>
        <v>0</v>
      </c>
      <c r="T4" s="5">
        <f t="shared" ref="T4:T12" si="5">ROUNDDOWN((R4-S4)*60,0)</f>
        <v>1</v>
      </c>
      <c r="U4" s="6">
        <f t="shared" ref="U4:U12" si="6">((R4-S4)*60-T4)*60</f>
        <v>43.1323945291825</v>
      </c>
    </row>
    <row r="5" spans="1:21">
      <c r="A5" s="4" t="s">
        <v>36</v>
      </c>
      <c r="B5" s="5">
        <f>ROUNDDOWN(E5,0)</f>
        <v>2</v>
      </c>
      <c r="C5" s="5">
        <f>ROUNDDOWN((E5-B5)*60,0)</f>
        <v>51</v>
      </c>
      <c r="D5" s="6">
        <f>((E5-B5)*60-C5)*60</f>
        <v>53.2403123548194</v>
      </c>
      <c r="E5">
        <f>DEGREES(B3/(2*B2))</f>
        <v>2.86478897565412</v>
      </c>
      <c r="G5" s="3"/>
      <c r="H5" s="3">
        <v>3</v>
      </c>
      <c r="I5" s="13">
        <f t="shared" ref="I5:I12" si="7">$L$3*H5^2</f>
        <v>309.6</v>
      </c>
      <c r="J5" s="5">
        <f t="shared" ref="J5:J12" si="8">INT(I5/3600)</f>
        <v>0</v>
      </c>
      <c r="K5" s="5">
        <f t="shared" ref="K5:K12" si="9">INT((I5-3600*J5)/60)</f>
        <v>5</v>
      </c>
      <c r="L5" s="6">
        <f t="shared" ref="L5:L12" si="10">I5-J5*3600-K5*60</f>
        <v>9.59999999999997</v>
      </c>
      <c r="N5" s="3">
        <v>30</v>
      </c>
      <c r="O5" s="7">
        <f t="shared" si="0"/>
        <v>30</v>
      </c>
      <c r="P5" s="7">
        <f t="shared" si="1"/>
        <v>0.05</v>
      </c>
      <c r="Q5" s="7">
        <f t="shared" si="2"/>
        <v>30.0000416666377</v>
      </c>
      <c r="R5" s="7">
        <f t="shared" si="3"/>
        <v>0.0954928774358717</v>
      </c>
      <c r="S5" s="5">
        <f t="shared" si="4"/>
        <v>0</v>
      </c>
      <c r="T5" s="5">
        <f t="shared" si="5"/>
        <v>5</v>
      </c>
      <c r="U5" s="6">
        <f t="shared" si="6"/>
        <v>43.7743587691383</v>
      </c>
    </row>
    <row r="6" spans="1:21">
      <c r="A6" s="4" t="s">
        <v>37</v>
      </c>
      <c r="B6" s="5">
        <f>ROUNDDOWN(E6,0)</f>
        <v>0</v>
      </c>
      <c r="C6" s="5">
        <f>ROUNDDOWN((E6-B6)*60,0)</f>
        <v>57</v>
      </c>
      <c r="D6" s="6">
        <f>((E6-B6)*60-C6)*60</f>
        <v>17.7467707849394</v>
      </c>
      <c r="E6">
        <f>DEGREES(B3/(6*B2))</f>
        <v>0.954929658551372</v>
      </c>
      <c r="G6" s="3"/>
      <c r="H6" s="3">
        <v>4</v>
      </c>
      <c r="I6" s="13">
        <f t="shared" si="7"/>
        <v>550.4</v>
      </c>
      <c r="J6" s="5">
        <f t="shared" si="8"/>
        <v>0</v>
      </c>
      <c r="K6" s="5">
        <f t="shared" si="9"/>
        <v>9</v>
      </c>
      <c r="L6" s="6">
        <f t="shared" si="10"/>
        <v>10.4</v>
      </c>
      <c r="N6" s="3">
        <v>40</v>
      </c>
      <c r="O6" s="7">
        <f t="shared" si="0"/>
        <v>40</v>
      </c>
      <c r="P6" s="7">
        <f t="shared" si="1"/>
        <v>0.11</v>
      </c>
      <c r="Q6" s="7">
        <f t="shared" si="2"/>
        <v>40.000151249714</v>
      </c>
      <c r="R6" s="7">
        <f t="shared" si="3"/>
        <v>0.157562996471724</v>
      </c>
      <c r="S6" s="5">
        <f t="shared" si="4"/>
        <v>0</v>
      </c>
      <c r="T6" s="5">
        <f t="shared" si="5"/>
        <v>9</v>
      </c>
      <c r="U6" s="6">
        <f t="shared" si="6"/>
        <v>27.2267872982055</v>
      </c>
    </row>
    <row r="7" spans="1:21">
      <c r="A7" s="4" t="s">
        <v>38</v>
      </c>
      <c r="B7" s="7">
        <f>B3/2-B3^3/(240*B2^2)</f>
        <v>49.9958333333333</v>
      </c>
      <c r="C7" s="7"/>
      <c r="D7" s="7"/>
      <c r="G7" s="3"/>
      <c r="H7" s="3">
        <v>5</v>
      </c>
      <c r="I7" s="13">
        <f t="shared" si="7"/>
        <v>860</v>
      </c>
      <c r="J7" s="5">
        <f t="shared" si="8"/>
        <v>0</v>
      </c>
      <c r="K7" s="5">
        <f t="shared" si="9"/>
        <v>14</v>
      </c>
      <c r="L7" s="6">
        <f t="shared" si="10"/>
        <v>20</v>
      </c>
      <c r="N7" s="3">
        <v>50</v>
      </c>
      <c r="O7" s="7">
        <f t="shared" si="0"/>
        <v>50</v>
      </c>
      <c r="P7" s="7">
        <f t="shared" si="1"/>
        <v>0.21</v>
      </c>
      <c r="Q7" s="7">
        <f t="shared" si="2"/>
        <v>50.0004409980552</v>
      </c>
      <c r="R7" s="7">
        <f t="shared" si="3"/>
        <v>0.240640858993351</v>
      </c>
      <c r="S7" s="5">
        <f t="shared" si="4"/>
        <v>0</v>
      </c>
      <c r="T7" s="5">
        <f t="shared" si="5"/>
        <v>14</v>
      </c>
      <c r="U7" s="6">
        <f t="shared" si="6"/>
        <v>26.3070923760629</v>
      </c>
    </row>
    <row r="8" spans="1:21">
      <c r="A8" s="4" t="s">
        <v>39</v>
      </c>
      <c r="B8" s="7">
        <f>B3^2/(24*B2)</f>
        <v>0.416666666666667</v>
      </c>
      <c r="C8" s="7"/>
      <c r="D8" s="7"/>
      <c r="G8" s="3"/>
      <c r="H8" s="3">
        <v>6</v>
      </c>
      <c r="I8" s="13">
        <f t="shared" si="7"/>
        <v>1238.4</v>
      </c>
      <c r="J8" s="5">
        <f t="shared" si="8"/>
        <v>0</v>
      </c>
      <c r="K8" s="5">
        <f t="shared" si="9"/>
        <v>20</v>
      </c>
      <c r="L8" s="6">
        <f t="shared" si="10"/>
        <v>38.3999999999999</v>
      </c>
      <c r="N8" s="3">
        <v>60</v>
      </c>
      <c r="O8" s="7">
        <f t="shared" si="0"/>
        <v>60</v>
      </c>
      <c r="P8" s="7">
        <f t="shared" si="1"/>
        <v>0.36</v>
      </c>
      <c r="Q8" s="7">
        <f t="shared" si="2"/>
        <v>60.0010799902802</v>
      </c>
      <c r="R8" s="7">
        <f t="shared" si="3"/>
        <v>0.343770551871473</v>
      </c>
      <c r="S8" s="5">
        <f t="shared" si="4"/>
        <v>0</v>
      </c>
      <c r="T8" s="5">
        <f t="shared" si="5"/>
        <v>20</v>
      </c>
      <c r="U8" s="6">
        <f t="shared" si="6"/>
        <v>37.5739867373031</v>
      </c>
    </row>
    <row r="9" spans="1:21">
      <c r="A9" s="4" t="s">
        <v>40</v>
      </c>
      <c r="B9" s="7">
        <f>B7+(B2+B8)*TAN(RADIANS(E4/2))</f>
        <v>287.560020210271</v>
      </c>
      <c r="C9" s="7"/>
      <c r="D9" s="7"/>
      <c r="G9" s="3"/>
      <c r="H9" s="3">
        <v>7</v>
      </c>
      <c r="I9" s="13">
        <f t="shared" si="7"/>
        <v>1685.6</v>
      </c>
      <c r="J9" s="5">
        <f t="shared" si="8"/>
        <v>0</v>
      </c>
      <c r="K9" s="5">
        <f t="shared" si="9"/>
        <v>28</v>
      </c>
      <c r="L9" s="6">
        <f t="shared" si="10"/>
        <v>5.59999999999991</v>
      </c>
      <c r="N9" s="3">
        <v>70</v>
      </c>
      <c r="O9" s="7">
        <f t="shared" si="0"/>
        <v>70</v>
      </c>
      <c r="P9" s="7">
        <f t="shared" si="1"/>
        <v>0.57</v>
      </c>
      <c r="Q9" s="7">
        <f t="shared" si="2"/>
        <v>70.0023206758176</v>
      </c>
      <c r="R9" s="7">
        <f t="shared" si="3"/>
        <v>0.466541036136965</v>
      </c>
      <c r="S9" s="5">
        <f t="shared" si="4"/>
        <v>0</v>
      </c>
      <c r="T9" s="5">
        <f t="shared" si="5"/>
        <v>27</v>
      </c>
      <c r="U9" s="6">
        <f t="shared" si="6"/>
        <v>59.5477300930745</v>
      </c>
    </row>
    <row r="10" spans="1:21">
      <c r="A10" s="4" t="s">
        <v>41</v>
      </c>
      <c r="B10" s="7">
        <f>B3+RADIANS(E4*B2)</f>
        <v>566.293798491152</v>
      </c>
      <c r="C10" s="7"/>
      <c r="D10" s="7"/>
      <c r="G10" s="3"/>
      <c r="H10" s="3">
        <v>8</v>
      </c>
      <c r="I10" s="13">
        <f t="shared" si="7"/>
        <v>2201.6</v>
      </c>
      <c r="J10" s="5">
        <f t="shared" si="8"/>
        <v>0</v>
      </c>
      <c r="K10" s="5">
        <f t="shared" si="9"/>
        <v>36</v>
      </c>
      <c r="L10" s="6">
        <f t="shared" si="10"/>
        <v>41.5999999999999</v>
      </c>
      <c r="N10" s="3">
        <v>80</v>
      </c>
      <c r="O10" s="7">
        <f t="shared" si="0"/>
        <v>79.99</v>
      </c>
      <c r="P10" s="7">
        <f t="shared" si="1"/>
        <v>0.85</v>
      </c>
      <c r="Q10" s="7">
        <f t="shared" si="2"/>
        <v>79.9945160620401</v>
      </c>
      <c r="R10" s="7">
        <f t="shared" si="3"/>
        <v>0.608820847702917</v>
      </c>
      <c r="S10" s="5">
        <f t="shared" si="4"/>
        <v>0</v>
      </c>
      <c r="T10" s="5">
        <f t="shared" si="5"/>
        <v>36</v>
      </c>
      <c r="U10" s="6">
        <f t="shared" si="6"/>
        <v>31.7550517305007</v>
      </c>
    </row>
    <row r="11" spans="1:21">
      <c r="A11" s="4" t="s">
        <v>42</v>
      </c>
      <c r="B11" s="7">
        <f>(B2+B8)/COS(RADIANS(E4/2))-B2</f>
        <v>28.2364756372656</v>
      </c>
      <c r="C11" s="7"/>
      <c r="D11" s="7"/>
      <c r="G11" s="3"/>
      <c r="H11" s="3">
        <v>9</v>
      </c>
      <c r="I11" s="13">
        <f t="shared" si="7"/>
        <v>2786.4</v>
      </c>
      <c r="J11" s="5">
        <f t="shared" si="8"/>
        <v>0</v>
      </c>
      <c r="K11" s="5">
        <f t="shared" si="9"/>
        <v>46</v>
      </c>
      <c r="L11" s="6">
        <f t="shared" si="10"/>
        <v>26.4000000000001</v>
      </c>
      <c r="N11" s="3">
        <v>90</v>
      </c>
      <c r="O11" s="7">
        <f t="shared" si="0"/>
        <v>89.99</v>
      </c>
      <c r="P11" s="7">
        <f t="shared" si="1"/>
        <v>1.22</v>
      </c>
      <c r="Q11" s="7">
        <f t="shared" si="2"/>
        <v>89.9982694278062</v>
      </c>
      <c r="R11" s="7">
        <f t="shared" si="3"/>
        <v>0.776714846399712</v>
      </c>
      <c r="S11" s="5">
        <f t="shared" si="4"/>
        <v>0</v>
      </c>
      <c r="T11" s="5">
        <f t="shared" si="5"/>
        <v>46</v>
      </c>
      <c r="U11" s="6">
        <f t="shared" si="6"/>
        <v>36.1734470389638</v>
      </c>
    </row>
    <row r="12" spans="1:21">
      <c r="A12" s="4" t="s">
        <v>43</v>
      </c>
      <c r="B12" s="7">
        <f>2*B9-B10</f>
        <v>8.82624192939045</v>
      </c>
      <c r="C12" s="7"/>
      <c r="D12" s="7"/>
      <c r="G12" s="3"/>
      <c r="H12" s="3">
        <v>10</v>
      </c>
      <c r="I12" s="13">
        <f t="shared" si="7"/>
        <v>3440</v>
      </c>
      <c r="J12" s="5">
        <f t="shared" si="8"/>
        <v>0</v>
      </c>
      <c r="K12" s="5">
        <f t="shared" si="9"/>
        <v>57</v>
      </c>
      <c r="L12" s="6">
        <f t="shared" si="10"/>
        <v>20</v>
      </c>
      <c r="N12" s="3">
        <v>100</v>
      </c>
      <c r="O12" s="7">
        <f t="shared" si="0"/>
        <v>99.98</v>
      </c>
      <c r="P12" s="7">
        <f t="shared" si="1"/>
        <v>1.67</v>
      </c>
      <c r="Q12" s="7">
        <f t="shared" si="2"/>
        <v>99.9939463167646</v>
      </c>
      <c r="R12" s="7">
        <f t="shared" si="3"/>
        <v>0.956941934566739</v>
      </c>
      <c r="S12" s="5">
        <f t="shared" si="4"/>
        <v>0</v>
      </c>
      <c r="T12" s="5">
        <f t="shared" si="5"/>
        <v>57</v>
      </c>
      <c r="U12" s="6">
        <f t="shared" si="6"/>
        <v>24.9909644402614</v>
      </c>
    </row>
    <row r="15" spans="7:21">
      <c r="G15" s="1" t="s">
        <v>44</v>
      </c>
      <c r="H15" s="1"/>
      <c r="I15" s="1"/>
      <c r="J15" s="1"/>
      <c r="K15" s="1"/>
      <c r="L15" s="1"/>
      <c r="N15" s="1" t="s">
        <v>45</v>
      </c>
      <c r="O15" s="1"/>
      <c r="P15" s="1"/>
      <c r="Q15" s="1"/>
      <c r="R15" s="1"/>
      <c r="S15" s="1"/>
      <c r="T15" s="1"/>
      <c r="U15" s="1"/>
    </row>
    <row r="16" spans="7:22">
      <c r="G16" s="10" t="s">
        <v>46</v>
      </c>
      <c r="H16" s="2" t="s">
        <v>47</v>
      </c>
      <c r="I16" s="13" t="s">
        <v>29</v>
      </c>
      <c r="J16" s="4" t="s">
        <v>30</v>
      </c>
      <c r="K16" s="4"/>
      <c r="L16" s="4"/>
      <c r="N16" s="2" t="s">
        <v>31</v>
      </c>
      <c r="O16" s="4" t="s">
        <v>20</v>
      </c>
      <c r="P16" s="4" t="s">
        <v>21</v>
      </c>
      <c r="Q16" s="4" t="s">
        <v>32</v>
      </c>
      <c r="R16" s="4" t="s">
        <v>29</v>
      </c>
      <c r="S16" s="4" t="s">
        <v>33</v>
      </c>
      <c r="T16" s="4"/>
      <c r="U16" s="4"/>
      <c r="V16" t="s">
        <v>35</v>
      </c>
    </row>
    <row r="17" spans="7:22">
      <c r="G17" s="11"/>
      <c r="H17" s="3">
        <v>15.76</v>
      </c>
      <c r="I17" s="13">
        <f>DEGREES(SUM($H$17:H17)/(2*$B$2))</f>
        <v>0.451490742563089</v>
      </c>
      <c r="J17" s="5">
        <f>ROUNDDOWN(I17,0)</f>
        <v>0</v>
      </c>
      <c r="K17" s="5">
        <f>ROUNDDOWN((I17-J17)*60,0)</f>
        <v>27</v>
      </c>
      <c r="L17" s="6">
        <f>((I17-J17)*60-K17)*60</f>
        <v>5.36667322711921</v>
      </c>
      <c r="N17" s="3">
        <v>110.53</v>
      </c>
      <c r="O17" s="7">
        <f>ROUND($B$2*SIN(RADIANS(V17))+$B$7,2)</f>
        <v>110.49</v>
      </c>
      <c r="P17" s="5">
        <f>ROUND($B$2*(1-COS(RADIANS(V17)))+$B$8,2)</f>
        <v>2.25</v>
      </c>
      <c r="Q17" s="7">
        <f>SQRT(O17^2+P17^2)</f>
        <v>110.512906938511</v>
      </c>
      <c r="R17" s="5">
        <f>DEGREES(ATAN(P17/O17))</f>
        <v>1.16660049353201</v>
      </c>
      <c r="S17" s="5">
        <f>ROUNDDOWN(R17,0)</f>
        <v>1</v>
      </c>
      <c r="T17" s="5">
        <f>ROUNDDOWN((R17-S17)*60,0)</f>
        <v>9</v>
      </c>
      <c r="U17" s="6">
        <f>((R17-S17)*60-T17)*60</f>
        <v>59.761776715244</v>
      </c>
      <c r="V17">
        <f>DEGREES((N17-$B$3)/$B$2)+$E$5</f>
        <v>3.46811353392687</v>
      </c>
    </row>
    <row r="18" spans="7:22">
      <c r="G18" s="11"/>
      <c r="H18" s="3">
        <v>20</v>
      </c>
      <c r="I18" s="13">
        <f>DEGREES(SUM($H$17:H18)/(2*$B$2))</f>
        <v>1.02444853769391</v>
      </c>
      <c r="J18" s="5">
        <f t="shared" ref="J18:J26" si="11">ROUNDDOWN(I18,0)</f>
        <v>1</v>
      </c>
      <c r="K18" s="5">
        <f t="shared" ref="K18:K26" si="12">ROUNDDOWN((I18-J18)*60,0)</f>
        <v>1</v>
      </c>
      <c r="L18" s="6">
        <f t="shared" ref="L18:L26" si="13">((I18-J18)*60-K18)*60</f>
        <v>28.0147356980827</v>
      </c>
      <c r="N18" s="3">
        <v>130.53</v>
      </c>
      <c r="O18" s="7">
        <f t="shared" ref="O18:O26" si="14">ROUND($B$2*SIN(RADIANS(V18))+$B$7,2)</f>
        <v>130.44</v>
      </c>
      <c r="P18" s="5">
        <f t="shared" ref="P18:P26" si="15">ROUND($B$2*(1-COS(RADIANS(V18)))+$B$8,2)</f>
        <v>3.66</v>
      </c>
      <c r="Q18" s="7">
        <f t="shared" ref="Q18:Q26" si="16">SQRT(O18^2+P18^2)</f>
        <v>130.491337643539</v>
      </c>
      <c r="R18" s="5">
        <f t="shared" ref="R18:R26" si="17">DEGREES(ATAN(P18/O18))</f>
        <v>1.60723356345298</v>
      </c>
      <c r="S18" s="5">
        <f t="shared" ref="S18:S26" si="18">ROUNDDOWN(R18,0)</f>
        <v>1</v>
      </c>
      <c r="T18" s="5">
        <f t="shared" ref="T18:T26" si="19">ROUNDDOWN((R18-S18)*60,0)</f>
        <v>36</v>
      </c>
      <c r="U18" s="6">
        <f t="shared" ref="U18:U26" si="20">((R18-S18)*60-T18)*60</f>
        <v>26.0408284307438</v>
      </c>
      <c r="V18">
        <f t="shared" ref="V18:V26" si="21">DEGREES((N18-$B$3)/$B$2)+$E$5</f>
        <v>4.61402912418852</v>
      </c>
    </row>
    <row r="19" spans="7:22">
      <c r="G19" s="11"/>
      <c r="H19" s="3">
        <v>20</v>
      </c>
      <c r="I19" s="13">
        <f>DEGREES(SUM($H$17:H19)/(2*$B$2))</f>
        <v>1.59740633282473</v>
      </c>
      <c r="J19" s="5">
        <f t="shared" si="11"/>
        <v>1</v>
      </c>
      <c r="K19" s="5">
        <f t="shared" si="12"/>
        <v>35</v>
      </c>
      <c r="L19" s="6">
        <f t="shared" si="13"/>
        <v>50.6627981690461</v>
      </c>
      <c r="N19" s="3">
        <v>150.53</v>
      </c>
      <c r="O19" s="7">
        <f t="shared" si="14"/>
        <v>150.36</v>
      </c>
      <c r="P19" s="5">
        <f t="shared" si="15"/>
        <v>5.47</v>
      </c>
      <c r="Q19" s="7">
        <f t="shared" si="16"/>
        <v>150.459464640813</v>
      </c>
      <c r="R19" s="5">
        <f t="shared" si="17"/>
        <v>2.08346477075899</v>
      </c>
      <c r="S19" s="5">
        <f t="shared" si="18"/>
        <v>2</v>
      </c>
      <c r="T19" s="5">
        <f t="shared" si="19"/>
        <v>5</v>
      </c>
      <c r="U19" s="6">
        <f t="shared" si="20"/>
        <v>0.473174732369408</v>
      </c>
      <c r="V19">
        <f t="shared" si="21"/>
        <v>5.75994471445017</v>
      </c>
    </row>
    <row r="20" spans="7:22">
      <c r="G20" s="11"/>
      <c r="H20" s="3">
        <v>20</v>
      </c>
      <c r="I20" s="13">
        <f>DEGREES(SUM($H$17:H20)/(2*$B$2))</f>
        <v>2.17036412795556</v>
      </c>
      <c r="J20" s="5">
        <f t="shared" si="11"/>
        <v>2</v>
      </c>
      <c r="K20" s="5">
        <f t="shared" si="12"/>
        <v>10</v>
      </c>
      <c r="L20" s="6">
        <f t="shared" si="13"/>
        <v>13.31086064001</v>
      </c>
      <c r="N20" s="3">
        <v>170.53</v>
      </c>
      <c r="O20" s="7">
        <f t="shared" si="14"/>
        <v>170.23</v>
      </c>
      <c r="P20" s="5">
        <f t="shared" si="15"/>
        <v>7.67</v>
      </c>
      <c r="Q20" s="7">
        <f t="shared" si="16"/>
        <v>170.40270479074</v>
      </c>
      <c r="R20" s="5">
        <f t="shared" si="17"/>
        <v>2.57981324187956</v>
      </c>
      <c r="S20" s="5">
        <f t="shared" si="18"/>
        <v>2</v>
      </c>
      <c r="T20" s="5">
        <f t="shared" si="19"/>
        <v>34</v>
      </c>
      <c r="U20" s="6">
        <f t="shared" si="20"/>
        <v>47.3276707664053</v>
      </c>
      <c r="V20">
        <f t="shared" si="21"/>
        <v>6.90586030471181</v>
      </c>
    </row>
    <row r="21" spans="7:22">
      <c r="G21" s="11"/>
      <c r="H21" s="3">
        <v>20</v>
      </c>
      <c r="I21" s="13">
        <f>DEGREES(SUM($H$17:H21)/(2*$B$2))</f>
        <v>2.74332192308638</v>
      </c>
      <c r="J21" s="5">
        <f t="shared" si="11"/>
        <v>2</v>
      </c>
      <c r="K21" s="5">
        <f t="shared" si="12"/>
        <v>44</v>
      </c>
      <c r="L21" s="6">
        <f t="shared" si="13"/>
        <v>35.9589231109717</v>
      </c>
      <c r="N21" s="3">
        <v>190.53</v>
      </c>
      <c r="O21" s="7">
        <f t="shared" si="14"/>
        <v>190.06</v>
      </c>
      <c r="P21" s="5">
        <f t="shared" si="15"/>
        <v>10.27</v>
      </c>
      <c r="Q21" s="7">
        <f t="shared" si="16"/>
        <v>190.337270391272</v>
      </c>
      <c r="R21" s="5">
        <f t="shared" si="17"/>
        <v>3.09300195445079</v>
      </c>
      <c r="S21" s="5">
        <f t="shared" si="18"/>
        <v>3</v>
      </c>
      <c r="T21" s="5">
        <f t="shared" si="19"/>
        <v>5</v>
      </c>
      <c r="U21" s="6">
        <f t="shared" si="20"/>
        <v>34.8070360228618</v>
      </c>
      <c r="V21">
        <f t="shared" si="21"/>
        <v>8.05177589497346</v>
      </c>
    </row>
    <row r="22" spans="7:22">
      <c r="G22" s="11"/>
      <c r="H22" s="3">
        <v>20</v>
      </c>
      <c r="I22" s="13">
        <f>DEGREES(SUM($H$17:H22)/(2*$B$2))</f>
        <v>3.3162797182172</v>
      </c>
      <c r="J22" s="5">
        <f t="shared" si="11"/>
        <v>3</v>
      </c>
      <c r="K22" s="5">
        <f t="shared" si="12"/>
        <v>18</v>
      </c>
      <c r="L22" s="6">
        <f t="shared" si="13"/>
        <v>58.6069855819365</v>
      </c>
      <c r="N22" s="3">
        <v>210.53</v>
      </c>
      <c r="O22" s="7">
        <f t="shared" si="14"/>
        <v>209.84</v>
      </c>
      <c r="P22" s="5">
        <f t="shared" si="15"/>
        <v>13.27</v>
      </c>
      <c r="Q22" s="7">
        <f t="shared" si="16"/>
        <v>210.259169835705</v>
      </c>
      <c r="R22" s="5">
        <f t="shared" si="17"/>
        <v>3.61848973916476</v>
      </c>
      <c r="S22" s="5">
        <f t="shared" si="18"/>
        <v>3</v>
      </c>
      <c r="T22" s="5">
        <f t="shared" si="19"/>
        <v>37</v>
      </c>
      <c r="U22" s="6">
        <f t="shared" si="20"/>
        <v>6.5630609931199</v>
      </c>
      <c r="V22">
        <f t="shared" si="21"/>
        <v>9.19769148523511</v>
      </c>
    </row>
    <row r="23" spans="7:22">
      <c r="G23" s="11"/>
      <c r="H23" s="3">
        <v>20</v>
      </c>
      <c r="I23" s="13">
        <f>DEGREES(SUM($H$17:H23)/(2*$B$2))</f>
        <v>3.88923751334803</v>
      </c>
      <c r="J23" s="5">
        <f t="shared" si="11"/>
        <v>3</v>
      </c>
      <c r="K23" s="5">
        <f t="shared" si="12"/>
        <v>53</v>
      </c>
      <c r="L23" s="6">
        <f t="shared" si="13"/>
        <v>21.2550480528995</v>
      </c>
      <c r="N23" s="3">
        <v>230.53</v>
      </c>
      <c r="O23" s="7">
        <f t="shared" si="14"/>
        <v>229.55</v>
      </c>
      <c r="P23" s="5">
        <f t="shared" si="15"/>
        <v>16.67</v>
      </c>
      <c r="Q23" s="7">
        <f t="shared" si="16"/>
        <v>230.154494633496</v>
      </c>
      <c r="R23" s="5">
        <f t="shared" si="17"/>
        <v>4.15354792492468</v>
      </c>
      <c r="S23" s="5">
        <f t="shared" si="18"/>
        <v>4</v>
      </c>
      <c r="T23" s="5">
        <f t="shared" si="19"/>
        <v>9</v>
      </c>
      <c r="U23" s="6">
        <f t="shared" si="20"/>
        <v>12.7725297288594</v>
      </c>
      <c r="V23">
        <f t="shared" si="21"/>
        <v>10.3436070754968</v>
      </c>
    </row>
    <row r="24" spans="7:22">
      <c r="G24" s="11"/>
      <c r="H24" s="3">
        <v>20</v>
      </c>
      <c r="I24" s="13">
        <f>DEGREES(SUM($H$17:H24)/(2*$B$2))</f>
        <v>4.46219530847885</v>
      </c>
      <c r="J24" s="5">
        <f t="shared" si="11"/>
        <v>4</v>
      </c>
      <c r="K24" s="5">
        <f t="shared" si="12"/>
        <v>27</v>
      </c>
      <c r="L24" s="6">
        <f t="shared" si="13"/>
        <v>43.9031105238629</v>
      </c>
      <c r="N24" s="3">
        <v>250.53</v>
      </c>
      <c r="O24" s="7">
        <f t="shared" si="14"/>
        <v>249.18</v>
      </c>
      <c r="P24" s="5">
        <f t="shared" si="15"/>
        <v>20.46</v>
      </c>
      <c r="Q24" s="7">
        <f t="shared" si="16"/>
        <v>250.01856731051</v>
      </c>
      <c r="R24" s="5">
        <f t="shared" si="17"/>
        <v>4.69398745016767</v>
      </c>
      <c r="S24" s="5">
        <f t="shared" si="18"/>
        <v>4</v>
      </c>
      <c r="T24" s="5">
        <f t="shared" si="19"/>
        <v>41</v>
      </c>
      <c r="U24" s="6">
        <f t="shared" si="20"/>
        <v>38.3548206036062</v>
      </c>
      <c r="V24">
        <f t="shared" si="21"/>
        <v>11.4895226657584</v>
      </c>
    </row>
    <row r="25" spans="7:22">
      <c r="G25" s="11"/>
      <c r="H25" s="3">
        <v>20</v>
      </c>
      <c r="I25" s="13">
        <f>DEGREES(SUM($H$17:H25)/(2*$B$2))</f>
        <v>5.03515310360967</v>
      </c>
      <c r="J25" s="5">
        <f t="shared" si="11"/>
        <v>5</v>
      </c>
      <c r="K25" s="5">
        <f t="shared" si="12"/>
        <v>2</v>
      </c>
      <c r="L25" s="6">
        <f t="shared" si="13"/>
        <v>6.55117299482939</v>
      </c>
      <c r="N25" s="3">
        <v>270.53</v>
      </c>
      <c r="O25" s="7">
        <f t="shared" si="14"/>
        <v>268.74</v>
      </c>
      <c r="P25" s="5">
        <f t="shared" si="15"/>
        <v>24.64</v>
      </c>
      <c r="Q25" s="7">
        <f t="shared" si="16"/>
        <v>269.867221425648</v>
      </c>
      <c r="R25" s="5">
        <f t="shared" si="17"/>
        <v>5.23863890200707</v>
      </c>
      <c r="S25" s="5">
        <f t="shared" si="18"/>
        <v>5</v>
      </c>
      <c r="T25" s="5">
        <f t="shared" si="19"/>
        <v>14</v>
      </c>
      <c r="U25" s="6">
        <f t="shared" si="20"/>
        <v>19.100047225461</v>
      </c>
      <c r="V25">
        <f t="shared" si="21"/>
        <v>12.63543825602</v>
      </c>
    </row>
    <row r="26" spans="7:22">
      <c r="G26" s="11"/>
      <c r="H26" s="3">
        <v>7.39</v>
      </c>
      <c r="I26" s="13">
        <f>DEGREES(SUM($H$17:H26)/(2*$B$2))</f>
        <v>5.24686100891051</v>
      </c>
      <c r="J26" s="5">
        <f t="shared" si="11"/>
        <v>5</v>
      </c>
      <c r="K26" s="5">
        <f t="shared" si="12"/>
        <v>14</v>
      </c>
      <c r="L26" s="6">
        <f t="shared" si="13"/>
        <v>48.6996320778476</v>
      </c>
      <c r="N26" s="3">
        <v>283.14</v>
      </c>
      <c r="O26" s="7">
        <f t="shared" si="14"/>
        <v>281.03</v>
      </c>
      <c r="P26" s="5">
        <f t="shared" si="15"/>
        <v>27.47</v>
      </c>
      <c r="Q26" s="7">
        <f t="shared" si="16"/>
        <v>282.369371214372</v>
      </c>
      <c r="R26" s="5">
        <f t="shared" si="17"/>
        <v>5.58278796555531</v>
      </c>
      <c r="S26" s="5">
        <f t="shared" si="18"/>
        <v>5</v>
      </c>
      <c r="T26" s="5">
        <f t="shared" si="19"/>
        <v>34</v>
      </c>
      <c r="U26" s="6">
        <f t="shared" si="20"/>
        <v>58.0366759991321</v>
      </c>
      <c r="V26">
        <f t="shared" si="21"/>
        <v>13.35793803568</v>
      </c>
    </row>
  </sheetData>
  <mergeCells count="19">
    <mergeCell ref="A1:D1"/>
    <mergeCell ref="G1:K1"/>
    <mergeCell ref="N1:U1"/>
    <mergeCell ref="B2:D2"/>
    <mergeCell ref="J2:L2"/>
    <mergeCell ref="S2:U2"/>
    <mergeCell ref="B3:D3"/>
    <mergeCell ref="B7:D7"/>
    <mergeCell ref="B8:D8"/>
    <mergeCell ref="B9:D9"/>
    <mergeCell ref="B10:D10"/>
    <mergeCell ref="B11:D11"/>
    <mergeCell ref="B12:D12"/>
    <mergeCell ref="G15:L15"/>
    <mergeCell ref="N15:U15"/>
    <mergeCell ref="J16:L16"/>
    <mergeCell ref="S16:U16"/>
    <mergeCell ref="G3:G12"/>
    <mergeCell ref="G16:G2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方位角</vt:lpstr>
      <vt:lpstr>坐标</vt:lpstr>
      <vt:lpstr>曲线测设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yangyh408</dc:creator>
  <dcterms:created xsi:type="dcterms:W3CDTF">2020-04-20T14:45:09Z</dcterms:created>
  <dcterms:modified xsi:type="dcterms:W3CDTF">2020-04-20T19:18:29Z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