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60" yWindow="105" windowWidth="14805" windowHeight="8010" activeTab="2"/>
  </bookViews>
  <sheets>
    <sheet name="1031" sheetId="13" r:id="rId1"/>
    <sheet name="1103" sheetId="12" r:id="rId2"/>
    <sheet name="汇总" sheetId="7" r:id="rId3"/>
    <sheet name="1030" sheetId="10" state="hidden" r:id="rId4"/>
    <sheet name="1029" sheetId="9" state="hidden" r:id="rId5"/>
    <sheet name="1028" sheetId="8" state="hidden" r:id="rId6"/>
    <sheet name="1027" sheetId="6" state="hidden" r:id="rId7"/>
    <sheet name="1024" sheetId="5" state="hidden" r:id="rId8"/>
    <sheet name="1023" sheetId="4" state="hidden" r:id="rId9"/>
    <sheet name="1022" sheetId="3" state="hidden" r:id="rId10"/>
    <sheet name="1021" sheetId="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52511"/>
</workbook>
</file>

<file path=xl/calcChain.xml><?xml version="1.0" encoding="utf-8"?>
<calcChain xmlns="http://schemas.openxmlformats.org/spreadsheetml/2006/main">
  <c r="O14" i="13" l="1"/>
  <c r="N14" i="13"/>
  <c r="O13" i="13"/>
  <c r="N13" i="13"/>
  <c r="K4" i="13"/>
  <c r="F12" i="7" s="1"/>
  <c r="J4" i="13"/>
  <c r="H4" i="13"/>
  <c r="F4" i="13"/>
  <c r="E4" i="13"/>
  <c r="D4" i="13"/>
  <c r="C4" i="13"/>
  <c r="B4" i="13"/>
  <c r="K3" i="13"/>
  <c r="N12" i="7" s="1"/>
  <c r="J3" i="13"/>
  <c r="H3" i="13"/>
  <c r="F3" i="13"/>
  <c r="E3" i="13"/>
  <c r="D3" i="13"/>
  <c r="C3" i="13"/>
  <c r="B3" i="13"/>
  <c r="K2" i="13"/>
  <c r="J12" i="7" s="1"/>
  <c r="J2" i="13"/>
  <c r="H2" i="13"/>
  <c r="F2" i="13"/>
  <c r="E2" i="13"/>
  <c r="D2" i="13"/>
  <c r="C2" i="13"/>
  <c r="B2" i="13"/>
  <c r="N2" i="13" l="1"/>
  <c r="H12" i="7" s="1"/>
  <c r="N3" i="13"/>
  <c r="L12" i="7" s="1"/>
  <c r="N4" i="13"/>
  <c r="O4" i="13" s="1"/>
  <c r="R4" i="13" s="1"/>
  <c r="D12" i="7"/>
  <c r="E12" i="7"/>
  <c r="I12" i="7"/>
  <c r="M12" i="7"/>
  <c r="C12" i="7"/>
  <c r="P12" i="7" s="1"/>
  <c r="P14" i="13"/>
  <c r="O2" i="13"/>
  <c r="G12" i="7" s="1"/>
  <c r="P13" i="13" l="1"/>
  <c r="O3" i="13"/>
  <c r="K12" i="7" s="1"/>
  <c r="Q14" i="13"/>
  <c r="R2" i="13"/>
  <c r="R3" i="13" l="1"/>
  <c r="S4" i="13" s="1"/>
  <c r="Q13" i="13"/>
  <c r="O14" i="12"/>
  <c r="N14" i="12"/>
  <c r="O13" i="12"/>
  <c r="N13" i="12"/>
  <c r="K4" i="12"/>
  <c r="F13" i="7" s="1"/>
  <c r="J4" i="12"/>
  <c r="H4" i="12"/>
  <c r="F4" i="12"/>
  <c r="E4" i="12"/>
  <c r="D4" i="12"/>
  <c r="C4" i="12"/>
  <c r="B4" i="12"/>
  <c r="K3" i="12"/>
  <c r="N13" i="7" s="1"/>
  <c r="J3" i="12"/>
  <c r="H3" i="12"/>
  <c r="M13" i="7" s="1"/>
  <c r="F3" i="12"/>
  <c r="E3" i="12"/>
  <c r="D3" i="12"/>
  <c r="C3" i="12"/>
  <c r="B3" i="12"/>
  <c r="K2" i="12"/>
  <c r="J13" i="7" s="1"/>
  <c r="J2" i="12"/>
  <c r="H2" i="12"/>
  <c r="F2" i="12"/>
  <c r="E2" i="12"/>
  <c r="D2" i="12"/>
  <c r="C2" i="12"/>
  <c r="B2" i="12"/>
  <c r="N2" i="12" l="1"/>
  <c r="H13" i="7" s="1"/>
  <c r="N4" i="12"/>
  <c r="O4" i="12" s="1"/>
  <c r="R4" i="12" s="1"/>
  <c r="N3" i="12"/>
  <c r="L13" i="7" s="1"/>
  <c r="C13" i="7"/>
  <c r="P13" i="7" s="1"/>
  <c r="D13" i="7"/>
  <c r="E13" i="7"/>
  <c r="I13" i="7"/>
  <c r="P14" i="12"/>
  <c r="O2" i="12"/>
  <c r="G13" i="7" s="1"/>
  <c r="P13" i="12" l="1"/>
  <c r="O3" i="12"/>
  <c r="K13" i="7" s="1"/>
  <c r="Q13" i="12"/>
  <c r="R3" i="12"/>
  <c r="Q14" i="12"/>
  <c r="R2" i="12"/>
  <c r="M11" i="7" l="1"/>
  <c r="C11" i="7" l="1"/>
  <c r="O3" i="7"/>
  <c r="P3" i="7" l="1"/>
  <c r="N11" i="7"/>
  <c r="L11" i="7"/>
  <c r="K11" i="7"/>
  <c r="J11" i="7"/>
  <c r="I11" i="7"/>
  <c r="H11" i="7"/>
  <c r="G11" i="7"/>
  <c r="F11" i="7"/>
  <c r="E11" i="7"/>
  <c r="D11" i="7"/>
  <c r="O14" i="9" l="1"/>
  <c r="N14" i="9"/>
  <c r="O13" i="9"/>
  <c r="N13" i="9"/>
  <c r="K4" i="9"/>
  <c r="J4" i="9"/>
  <c r="H4" i="9"/>
  <c r="E10" i="7" s="1"/>
  <c r="F4" i="9"/>
  <c r="E4" i="9"/>
  <c r="D4" i="9"/>
  <c r="C4" i="9"/>
  <c r="B4" i="9"/>
  <c r="K3" i="9"/>
  <c r="N10" i="7" s="1"/>
  <c r="J3" i="9"/>
  <c r="H3" i="9"/>
  <c r="F3" i="9"/>
  <c r="E3" i="9"/>
  <c r="D3" i="9"/>
  <c r="C3" i="9"/>
  <c r="B3" i="9"/>
  <c r="K2" i="9"/>
  <c r="J10" i="7" s="1"/>
  <c r="J2" i="9"/>
  <c r="H2" i="9"/>
  <c r="F2" i="9"/>
  <c r="E2" i="9"/>
  <c r="D2" i="9"/>
  <c r="C2" i="9"/>
  <c r="B2" i="9"/>
  <c r="I10" i="7" l="1"/>
  <c r="M10" i="7"/>
  <c r="N4" i="9"/>
  <c r="O4" i="9" s="1"/>
  <c r="C10" i="7" s="1"/>
  <c r="F10" i="7"/>
  <c r="N2" i="9"/>
  <c r="H10" i="7" s="1"/>
  <c r="N3" i="9"/>
  <c r="L10" i="7" s="1"/>
  <c r="D10" i="7"/>
  <c r="K4" i="8"/>
  <c r="F9" i="7" s="1"/>
  <c r="J4" i="8"/>
  <c r="H4" i="8"/>
  <c r="F4" i="8"/>
  <c r="E4" i="8"/>
  <c r="D4" i="8"/>
  <c r="C4" i="8"/>
  <c r="B4" i="8"/>
  <c r="K3" i="8"/>
  <c r="N9" i="7" s="1"/>
  <c r="J3" i="8"/>
  <c r="H3" i="8"/>
  <c r="M9" i="7" s="1"/>
  <c r="F3" i="8"/>
  <c r="E3" i="8"/>
  <c r="D3" i="8"/>
  <c r="C3" i="8"/>
  <c r="B3" i="8"/>
  <c r="K2" i="8"/>
  <c r="J2" i="8"/>
  <c r="H2" i="8"/>
  <c r="F2" i="8"/>
  <c r="E2" i="8"/>
  <c r="D2" i="8"/>
  <c r="C2" i="8"/>
  <c r="B2" i="8"/>
  <c r="P14" i="9" l="1"/>
  <c r="O2" i="9"/>
  <c r="G10" i="7" s="1"/>
  <c r="O3" i="9"/>
  <c r="K10" i="7" s="1"/>
  <c r="P13" i="9"/>
  <c r="I9" i="7"/>
  <c r="N3" i="8"/>
  <c r="O3" i="8" s="1"/>
  <c r="N4" i="8"/>
  <c r="N2" i="8"/>
  <c r="E9" i="7"/>
  <c r="J9" i="7"/>
  <c r="K4" i="6"/>
  <c r="F8" i="7" s="1"/>
  <c r="E4" i="6"/>
  <c r="C4" i="6"/>
  <c r="K3" i="6"/>
  <c r="N8" i="7" s="1"/>
  <c r="E3" i="6"/>
  <c r="C3" i="6"/>
  <c r="K2" i="6"/>
  <c r="J8" i="7" s="1"/>
  <c r="E2" i="6"/>
  <c r="C2" i="6"/>
  <c r="R2" i="9" l="1"/>
  <c r="Q14" i="9"/>
  <c r="Q13" i="9"/>
  <c r="R3" i="9"/>
  <c r="L9" i="7"/>
  <c r="O2" i="8"/>
  <c r="H9" i="7"/>
  <c r="O4" i="8"/>
  <c r="C9" i="7" s="1"/>
  <c r="D9" i="7"/>
  <c r="R3" i="8"/>
  <c r="K9" i="7"/>
  <c r="D3" i="6"/>
  <c r="B2" i="6"/>
  <c r="R2" i="8" l="1"/>
  <c r="G9" i="7"/>
  <c r="D2" i="6"/>
  <c r="B3" i="6"/>
  <c r="D4" i="6" l="1"/>
  <c r="B4" i="6"/>
  <c r="F3" i="6" l="1"/>
  <c r="H3" i="6" l="1"/>
  <c r="H2" i="6"/>
  <c r="N3" i="6" l="1"/>
  <c r="L8" i="7" s="1"/>
  <c r="F2" i="6"/>
  <c r="N2" i="6" s="1"/>
  <c r="H8" i="7" s="1"/>
  <c r="J3" i="6"/>
  <c r="M8" i="7" s="1"/>
  <c r="O3" i="6" l="1"/>
  <c r="J2" i="6"/>
  <c r="F4" i="6"/>
  <c r="H4" i="6"/>
  <c r="E8" i="7" s="1"/>
  <c r="N4" i="6" l="1"/>
  <c r="D8" i="7" s="1"/>
  <c r="O2" i="6"/>
  <c r="G8" i="7" s="1"/>
  <c r="I8" i="7"/>
  <c r="R3" i="6"/>
  <c r="K8" i="7"/>
  <c r="J4" i="6"/>
  <c r="K4" i="5"/>
  <c r="F7" i="7" s="1"/>
  <c r="J4" i="5"/>
  <c r="H4" i="5"/>
  <c r="F4" i="5"/>
  <c r="E4" i="5"/>
  <c r="D4" i="5"/>
  <c r="C4" i="5"/>
  <c r="B4" i="5"/>
  <c r="K3" i="5"/>
  <c r="N7" i="7" s="1"/>
  <c r="J3" i="5"/>
  <c r="H3" i="5"/>
  <c r="F3" i="5"/>
  <c r="E3" i="5"/>
  <c r="D3" i="5"/>
  <c r="C3" i="5"/>
  <c r="B3" i="5"/>
  <c r="K2" i="5"/>
  <c r="J2" i="5"/>
  <c r="H2" i="5"/>
  <c r="F2" i="5"/>
  <c r="E2" i="5"/>
  <c r="D2" i="5"/>
  <c r="C2" i="5"/>
  <c r="B2" i="5"/>
  <c r="M7" i="7" l="1"/>
  <c r="N3" i="5"/>
  <c r="L7" i="7" s="1"/>
  <c r="N2" i="5"/>
  <c r="J7" i="7"/>
  <c r="I7" i="7"/>
  <c r="N4" i="5"/>
  <c r="E7" i="7"/>
  <c r="O4" i="6"/>
  <c r="C8" i="7" s="1"/>
  <c r="K4" i="4"/>
  <c r="F6" i="7" s="1"/>
  <c r="J4" i="4"/>
  <c r="H4" i="4"/>
  <c r="F4" i="4"/>
  <c r="E4" i="4"/>
  <c r="D4" i="4"/>
  <c r="C4" i="4"/>
  <c r="B4" i="4"/>
  <c r="K3" i="4"/>
  <c r="N6" i="7" s="1"/>
  <c r="J3" i="4"/>
  <c r="H3" i="4"/>
  <c r="F3" i="4"/>
  <c r="E3" i="4"/>
  <c r="D3" i="4"/>
  <c r="C3" i="4"/>
  <c r="B3" i="4"/>
  <c r="K2" i="4"/>
  <c r="J2" i="4"/>
  <c r="H2" i="4"/>
  <c r="F2" i="4"/>
  <c r="E2" i="4"/>
  <c r="D2" i="4"/>
  <c r="C2" i="4"/>
  <c r="B2" i="4"/>
  <c r="M6" i="7" l="1"/>
  <c r="I6" i="7"/>
  <c r="N3" i="4"/>
  <c r="O3" i="4" s="1"/>
  <c r="N2" i="4"/>
  <c r="J6" i="7"/>
  <c r="N4" i="4"/>
  <c r="E6" i="7"/>
  <c r="O3" i="5"/>
  <c r="R3" i="5" s="1"/>
  <c r="O4" i="5"/>
  <c r="C7" i="7" s="1"/>
  <c r="D7" i="7"/>
  <c r="O2" i="5"/>
  <c r="H7" i="7"/>
  <c r="K4" i="3"/>
  <c r="J4" i="3"/>
  <c r="H4" i="3"/>
  <c r="E5" i="7" s="1"/>
  <c r="F4" i="3"/>
  <c r="E4" i="3"/>
  <c r="D4" i="3"/>
  <c r="C4" i="3"/>
  <c r="B4" i="3"/>
  <c r="K3" i="3"/>
  <c r="N5" i="7" s="1"/>
  <c r="J3" i="3"/>
  <c r="H3" i="3"/>
  <c r="F3" i="3"/>
  <c r="E3" i="3"/>
  <c r="D3" i="3"/>
  <c r="C3" i="3"/>
  <c r="B3" i="3"/>
  <c r="K2" i="3"/>
  <c r="J2" i="3"/>
  <c r="H2" i="3"/>
  <c r="F2" i="3"/>
  <c r="E2" i="3"/>
  <c r="D2" i="3"/>
  <c r="C2" i="3"/>
  <c r="B2" i="3"/>
  <c r="M5" i="7" l="1"/>
  <c r="L6" i="7"/>
  <c r="N2" i="3"/>
  <c r="J5" i="7"/>
  <c r="N4" i="3"/>
  <c r="F5" i="7"/>
  <c r="I5" i="7"/>
  <c r="N3" i="3"/>
  <c r="R3" i="4"/>
  <c r="K6" i="7"/>
  <c r="O4" i="4"/>
  <c r="C6" i="7" s="1"/>
  <c r="D6" i="7"/>
  <c r="O2" i="4"/>
  <c r="H6" i="7"/>
  <c r="K7" i="7"/>
  <c r="R2" i="5"/>
  <c r="G7" i="7"/>
  <c r="M4" i="2"/>
  <c r="L4" i="2"/>
  <c r="K4" i="2"/>
  <c r="J4" i="2"/>
  <c r="H4" i="2"/>
  <c r="F4" i="2"/>
  <c r="E4" i="2"/>
  <c r="D4" i="2"/>
  <c r="C4" i="2"/>
  <c r="B4" i="2"/>
  <c r="K3" i="2"/>
  <c r="N4" i="7" s="1"/>
  <c r="J3" i="2"/>
  <c r="H3" i="2"/>
  <c r="F3" i="2"/>
  <c r="E3" i="2"/>
  <c r="D3" i="2"/>
  <c r="C3" i="2"/>
  <c r="B3" i="2"/>
  <c r="K2" i="2"/>
  <c r="J2" i="2"/>
  <c r="H2" i="2"/>
  <c r="F2" i="2"/>
  <c r="E2" i="2"/>
  <c r="D2" i="2"/>
  <c r="C2" i="2"/>
  <c r="B2" i="2"/>
  <c r="M4" i="7" l="1"/>
  <c r="I4" i="7"/>
  <c r="O3" i="2"/>
  <c r="S3" i="2" s="1"/>
  <c r="E4" i="7"/>
  <c r="N4" i="2"/>
  <c r="D4" i="7" s="1"/>
  <c r="N3" i="2"/>
  <c r="L4" i="7" s="1"/>
  <c r="O4" i="2"/>
  <c r="C4" i="7" s="1"/>
  <c r="F4" i="7"/>
  <c r="O2" i="2"/>
  <c r="G4" i="7" s="1"/>
  <c r="J4" i="7"/>
  <c r="O4" i="3"/>
  <c r="C5" i="7" s="1"/>
  <c r="D5" i="7"/>
  <c r="O3" i="3"/>
  <c r="K5" i="7" s="1"/>
  <c r="L5" i="7"/>
  <c r="O2" i="3"/>
  <c r="G5" i="7" s="1"/>
  <c r="H5" i="7"/>
  <c r="R2" i="4"/>
  <c r="G6" i="7"/>
  <c r="O6" i="7" s="1"/>
  <c r="P6" i="7" s="1"/>
  <c r="N2" i="2"/>
  <c r="H4" i="7" s="1"/>
  <c r="O7" i="7"/>
  <c r="P7" i="7" s="1"/>
  <c r="O8" i="7"/>
  <c r="P8" i="7" s="1"/>
  <c r="O9" i="7"/>
  <c r="P9" i="7" s="1"/>
  <c r="O10" i="7"/>
  <c r="P10" i="7" s="1"/>
  <c r="O11" i="7"/>
  <c r="P11" i="7" s="1"/>
  <c r="K4" i="7" l="1"/>
  <c r="O5" i="7"/>
  <c r="P5" i="7" s="1"/>
  <c r="O4" i="7" l="1"/>
  <c r="P4" i="7" s="1"/>
</calcChain>
</file>

<file path=xl/comments1.xml><?xml version="1.0" encoding="utf-8"?>
<comments xmlns="http://schemas.openxmlformats.org/spreadsheetml/2006/main">
  <authors>
    <author>作者</author>
  </authors>
  <commentLis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计算误差</t>
        </r>
      </text>
    </comment>
    <comment ref="R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结算价导致的差值</t>
        </r>
      </text>
    </comment>
  </commentList>
</comments>
</file>

<file path=xl/sharedStrings.xml><?xml version="1.0" encoding="utf-8"?>
<sst xmlns="http://schemas.openxmlformats.org/spreadsheetml/2006/main" count="270" uniqueCount="152">
  <si>
    <t>买入额</t>
    <phoneticPr fontId="2" type="noConversion"/>
  </si>
  <si>
    <t>买入费用</t>
    <phoneticPr fontId="2" type="noConversion"/>
  </si>
  <si>
    <t>卖出额</t>
    <phoneticPr fontId="2" type="noConversion"/>
  </si>
  <si>
    <t>卖出费用</t>
    <phoneticPr fontId="2" type="noConversion"/>
  </si>
  <si>
    <t>平仓盈利</t>
    <phoneticPr fontId="2" type="noConversion"/>
  </si>
  <si>
    <t>期初额</t>
    <phoneticPr fontId="2" type="noConversion"/>
  </si>
  <si>
    <t>期末额</t>
    <phoneticPr fontId="2" type="noConversion"/>
  </si>
  <si>
    <t>日初浮盈</t>
    <phoneticPr fontId="2" type="noConversion"/>
  </si>
  <si>
    <t>日末浮盈</t>
    <phoneticPr fontId="2" type="noConversion"/>
  </si>
  <si>
    <t>总费用</t>
    <phoneticPr fontId="2" type="noConversion"/>
  </si>
  <si>
    <t>日初资金</t>
    <phoneticPr fontId="2" type="noConversion"/>
  </si>
  <si>
    <t>日初总值</t>
    <phoneticPr fontId="2" type="noConversion"/>
  </si>
  <si>
    <t>日末资金</t>
    <phoneticPr fontId="2" type="noConversion"/>
  </si>
  <si>
    <t>日末总值</t>
    <phoneticPr fontId="2" type="noConversion"/>
  </si>
  <si>
    <t>股票</t>
  </si>
  <si>
    <t>期货</t>
    <phoneticPr fontId="2" type="noConversion"/>
  </si>
  <si>
    <t>总</t>
    <phoneticPr fontId="2" type="noConversion"/>
  </si>
  <si>
    <t>期货按收盘价计算</t>
    <phoneticPr fontId="2" type="noConversion"/>
  </si>
  <si>
    <t>期货按结算价计算</t>
    <phoneticPr fontId="2" type="noConversion"/>
  </si>
  <si>
    <t>买入额</t>
    <phoneticPr fontId="2" type="noConversion"/>
  </si>
  <si>
    <t>买入费用</t>
    <phoneticPr fontId="2" type="noConversion"/>
  </si>
  <si>
    <t>卖出额</t>
    <phoneticPr fontId="2" type="noConversion"/>
  </si>
  <si>
    <t>卖出费用</t>
    <phoneticPr fontId="2" type="noConversion"/>
  </si>
  <si>
    <t>平仓盈利</t>
    <phoneticPr fontId="2" type="noConversion"/>
  </si>
  <si>
    <t>期初额</t>
    <phoneticPr fontId="2" type="noConversion"/>
  </si>
  <si>
    <t>期末额</t>
    <phoneticPr fontId="2" type="noConversion"/>
  </si>
  <si>
    <t>日初浮盈</t>
    <phoneticPr fontId="2" type="noConversion"/>
  </si>
  <si>
    <t>日末浮盈</t>
    <phoneticPr fontId="2" type="noConversion"/>
  </si>
  <si>
    <t>总费用</t>
    <phoneticPr fontId="2" type="noConversion"/>
  </si>
  <si>
    <t>日初资金</t>
    <phoneticPr fontId="2" type="noConversion"/>
  </si>
  <si>
    <t>日初总值</t>
    <phoneticPr fontId="2" type="noConversion"/>
  </si>
  <si>
    <t>日末资金</t>
    <phoneticPr fontId="2" type="noConversion"/>
  </si>
  <si>
    <t>日末总值</t>
    <phoneticPr fontId="2" type="noConversion"/>
  </si>
  <si>
    <t>总</t>
    <phoneticPr fontId="2" type="noConversion"/>
  </si>
  <si>
    <t>期货按收盘价计算</t>
    <phoneticPr fontId="2" type="noConversion"/>
  </si>
  <si>
    <t>期货按结算价计算</t>
    <phoneticPr fontId="2" type="noConversion"/>
  </si>
  <si>
    <t>期末额</t>
    <phoneticPr fontId="2" type="noConversion"/>
  </si>
  <si>
    <t>日初浮盈</t>
    <phoneticPr fontId="2" type="noConversion"/>
  </si>
  <si>
    <t>总</t>
    <phoneticPr fontId="2" type="noConversion"/>
  </si>
  <si>
    <t>期货按收盘价计算</t>
    <phoneticPr fontId="2" type="noConversion"/>
  </si>
  <si>
    <t>期货按结算价计算</t>
    <phoneticPr fontId="2" type="noConversion"/>
  </si>
  <si>
    <t>此为23日的000338潍柴动力红利返回了140元
另外24日600109国金证券红股入帐了1000股</t>
    <phoneticPr fontId="2" type="noConversion"/>
  </si>
  <si>
    <t>收盘价算</t>
    <phoneticPr fontId="2" type="noConversion"/>
  </si>
  <si>
    <t>结算价算</t>
    <phoneticPr fontId="2" type="noConversion"/>
  </si>
  <si>
    <t>收盘价算</t>
    <phoneticPr fontId="2" type="noConversion"/>
  </si>
  <si>
    <t>结算价算</t>
    <phoneticPr fontId="2" type="noConversion"/>
  </si>
  <si>
    <t>股票账户</t>
    <phoneticPr fontId="2" type="noConversion"/>
  </si>
  <si>
    <t>期货账户</t>
    <phoneticPr fontId="2" type="noConversion"/>
  </si>
  <si>
    <t>周</t>
    <phoneticPr fontId="2" type="noConversion"/>
  </si>
  <si>
    <t>日期</t>
    <phoneticPr fontId="2" type="noConversion"/>
  </si>
  <si>
    <t>总市值</t>
    <phoneticPr fontId="2" type="noConversion"/>
  </si>
  <si>
    <t>总现金</t>
    <phoneticPr fontId="2" type="noConversion"/>
  </si>
  <si>
    <t>总持仓市值</t>
    <phoneticPr fontId="2" type="noConversion"/>
  </si>
  <si>
    <t>账户市值</t>
    <phoneticPr fontId="2" type="noConversion"/>
  </si>
  <si>
    <t>现金</t>
    <phoneticPr fontId="2" type="noConversion"/>
  </si>
  <si>
    <t>持仓市值</t>
    <phoneticPr fontId="2" type="noConversion"/>
  </si>
  <si>
    <t>费用</t>
    <phoneticPr fontId="2" type="noConversion"/>
  </si>
  <si>
    <t>持仓市值
（收盘价算）</t>
    <phoneticPr fontId="2" type="noConversion"/>
  </si>
  <si>
    <t>周一</t>
    <phoneticPr fontId="2" type="noConversion"/>
  </si>
  <si>
    <t>期末额</t>
    <phoneticPr fontId="2" type="noConversion"/>
  </si>
  <si>
    <t>日初浮盈</t>
    <phoneticPr fontId="2" type="noConversion"/>
  </si>
  <si>
    <t>日末浮盈</t>
    <phoneticPr fontId="2" type="noConversion"/>
  </si>
  <si>
    <t>总费用</t>
    <phoneticPr fontId="2" type="noConversion"/>
  </si>
  <si>
    <t>日初资金</t>
    <phoneticPr fontId="2" type="noConversion"/>
  </si>
  <si>
    <t>日初总值</t>
    <phoneticPr fontId="2" type="noConversion"/>
  </si>
  <si>
    <t>日末资金</t>
    <phoneticPr fontId="2" type="noConversion"/>
  </si>
  <si>
    <t>日末总值</t>
    <phoneticPr fontId="2" type="noConversion"/>
  </si>
  <si>
    <t>总</t>
    <phoneticPr fontId="2" type="noConversion"/>
  </si>
  <si>
    <t>收盘价算</t>
    <phoneticPr fontId="2" type="noConversion"/>
  </si>
  <si>
    <t>结算价算</t>
    <phoneticPr fontId="2" type="noConversion"/>
  </si>
  <si>
    <t xml:space="preserve">          </t>
  </si>
  <si>
    <t xml:space="preserve">          总账户</t>
  </si>
  <si>
    <t xml:space="preserve">        股票账户</t>
  </si>
  <si>
    <t xml:space="preserve">        期货账户</t>
  </si>
  <si>
    <t>期初现金</t>
    <phoneticPr fontId="2" type="noConversion"/>
  </si>
  <si>
    <t>期初持仓价值</t>
    <phoneticPr fontId="2" type="noConversion"/>
  </si>
  <si>
    <t>期初M2M</t>
    <phoneticPr fontId="2" type="noConversion"/>
  </si>
  <si>
    <t xml:space="preserve"> 总现M2M</t>
  </si>
  <si>
    <t xml:space="preserve"> 日初M2M</t>
  </si>
  <si>
    <t xml:space="preserve"> 实现PNL</t>
  </si>
  <si>
    <t xml:space="preserve"> 浮动PNL</t>
  </si>
  <si>
    <t xml:space="preserve">    费用</t>
  </si>
  <si>
    <t xml:space="preserve">   总PNL</t>
  </si>
  <si>
    <t>平仓盈利</t>
    <phoneticPr fontId="2" type="noConversion"/>
  </si>
  <si>
    <t>期初额</t>
    <phoneticPr fontId="2" type="noConversion"/>
  </si>
  <si>
    <t>期末额</t>
    <phoneticPr fontId="2" type="noConversion"/>
  </si>
  <si>
    <t>日初浮盈</t>
    <phoneticPr fontId="2" type="noConversion"/>
  </si>
  <si>
    <t>日末浮盈</t>
    <phoneticPr fontId="2" type="noConversion"/>
  </si>
  <si>
    <t>总费用</t>
    <phoneticPr fontId="2" type="noConversion"/>
  </si>
  <si>
    <t>日初资金</t>
    <phoneticPr fontId="2" type="noConversion"/>
  </si>
  <si>
    <t>日初总值</t>
    <phoneticPr fontId="2" type="noConversion"/>
  </si>
  <si>
    <t>日末资金</t>
    <phoneticPr fontId="2" type="noConversion"/>
  </si>
  <si>
    <t>日末总值</t>
    <phoneticPr fontId="2" type="noConversion"/>
  </si>
  <si>
    <t>期货</t>
    <phoneticPr fontId="2" type="noConversion"/>
  </si>
  <si>
    <t>总</t>
    <phoneticPr fontId="2" type="noConversion"/>
  </si>
  <si>
    <t>收盘价算</t>
    <phoneticPr fontId="2" type="noConversion"/>
  </si>
  <si>
    <t>结算价算</t>
    <phoneticPr fontId="2" type="noConversion"/>
  </si>
  <si>
    <t>期货账户资金</t>
    <phoneticPr fontId="2" type="noConversion"/>
  </si>
  <si>
    <t>日初现金</t>
    <phoneticPr fontId="2" type="noConversion"/>
  </si>
  <si>
    <t>日初M2M</t>
    <phoneticPr fontId="2" type="noConversion"/>
  </si>
  <si>
    <t>日末现金</t>
    <phoneticPr fontId="2" type="noConversion"/>
  </si>
  <si>
    <t>日末M2M</t>
    <phoneticPr fontId="2" type="noConversion"/>
  </si>
  <si>
    <t>期货</t>
    <phoneticPr fontId="2" type="noConversion"/>
  </si>
  <si>
    <t>股票</t>
    <phoneticPr fontId="2" type="noConversion"/>
  </si>
  <si>
    <t>买入额</t>
  </si>
  <si>
    <t>买入费用</t>
  </si>
  <si>
    <t>卖出额</t>
  </si>
  <si>
    <t>卖出费用</t>
  </si>
  <si>
    <t>平仓盈利</t>
  </si>
  <si>
    <t>期初额</t>
  </si>
  <si>
    <t>期末额</t>
  </si>
  <si>
    <t>日初浮盈</t>
  </si>
  <si>
    <t>日末浮盈</t>
  </si>
  <si>
    <t>总费用</t>
  </si>
  <si>
    <t>日初资金</t>
  </si>
  <si>
    <t>日初总值</t>
  </si>
  <si>
    <t>日末资金</t>
  </si>
  <si>
    <t>日末总值</t>
  </si>
  <si>
    <t>期货</t>
  </si>
  <si>
    <t>总</t>
  </si>
  <si>
    <t>收盘价算</t>
  </si>
  <si>
    <t>结算价算</t>
  </si>
  <si>
    <t>期货账户资金</t>
  </si>
  <si>
    <t>日初现金</t>
  </si>
  <si>
    <t>日初M2M</t>
  </si>
  <si>
    <t>日末现金</t>
  </si>
  <si>
    <t>日末M2M</t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</si>
  <si>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</si>
  <si>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</si>
  <si>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</si>
  <si>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</si>
  <si>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收盘价算</t>
    <phoneticPr fontId="2" type="noConversion"/>
  </si>
  <si>
    <t>结算价算</t>
    <phoneticPr fontId="2" type="noConversion"/>
  </si>
  <si>
    <t>期货账户资金</t>
    <phoneticPr fontId="2" type="noConversion"/>
  </si>
  <si>
    <t>日初现金</t>
    <phoneticPr fontId="2" type="noConversion"/>
  </si>
  <si>
    <t>日初M2M</t>
    <phoneticPr fontId="2" type="noConversion"/>
  </si>
  <si>
    <t>日末现金</t>
    <phoneticPr fontId="2" type="noConversion"/>
  </si>
  <si>
    <t>日末M2M</t>
    <phoneticPr fontId="2" type="noConversion"/>
  </si>
  <si>
    <t>期货</t>
    <phoneticPr fontId="2" type="noConversion"/>
  </si>
  <si>
    <t>股票</t>
    <phoneticPr fontId="2" type="noConversion"/>
  </si>
  <si>
    <t>期货</t>
    <phoneticPr fontId="2" type="noConversion"/>
  </si>
  <si>
    <t>总</t>
    <phoneticPr fontId="2" type="noConversion"/>
  </si>
  <si>
    <t>收盘价算</t>
    <phoneticPr fontId="2" type="noConversion"/>
  </si>
  <si>
    <t>结算价算</t>
    <phoneticPr fontId="2" type="noConversion"/>
  </si>
  <si>
    <t>期货账户资金</t>
    <phoneticPr fontId="2" type="noConversion"/>
  </si>
  <si>
    <t>日初现金</t>
    <phoneticPr fontId="2" type="noConversion"/>
  </si>
  <si>
    <t>日初M2M</t>
    <phoneticPr fontId="2" type="noConversion"/>
  </si>
  <si>
    <t>日末现金</t>
    <phoneticPr fontId="2" type="noConversion"/>
  </si>
  <si>
    <t>日末M2M</t>
    <phoneticPr fontId="2" type="noConversion"/>
  </si>
  <si>
    <t>股票</t>
    <phoneticPr fontId="2" type="noConversion"/>
  </si>
  <si>
    <t>账户实际额</t>
    <phoneticPr fontId="2" type="noConversion"/>
  </si>
  <si>
    <t>分红及债券收益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</si>
</sst>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_ "/>
    <numFmt numFmtId="178" formatCode="#,##0.0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176" fontId="0" fillId="0" borderId="0" xfId="1" applyNumberFormat="1" applyFont="1" applyAlignment="1"/>
    <xf numFmtId="176" fontId="0" fillId="0" borderId="0" xfId="0" applyNumberFormat="1"/>
    <xf numFmtId="4" fontId="0" fillId="0" borderId="0" xfId="0" applyNumberFormat="1"/>
    <xf numFmtId="4" fontId="0" fillId="2" borderId="1" xfId="0" applyNumberFormat="1" applyFill="1" applyBorder="1"/>
    <xf numFmtId="4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0" xfId="0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0" xfId="0" applyFill="1" applyBorder="1" applyAlignment="1">
      <alignment horizontal="right" wrapText="1"/>
    </xf>
    <xf numFmtId="0" fontId="0" fillId="4" borderId="6" xfId="0" applyFill="1" applyBorder="1" applyAlignment="1">
      <alignment horizontal="right" wrapText="1"/>
    </xf>
    <xf numFmtId="0" fontId="0" fillId="5" borderId="5" xfId="0" applyFill="1" applyBorder="1" applyAlignment="1">
      <alignment horizontal="right" wrapText="1"/>
    </xf>
    <xf numFmtId="0" fontId="0" fillId="5" borderId="0" xfId="0" applyFill="1" applyBorder="1" applyAlignment="1">
      <alignment horizontal="right" wrapText="1"/>
    </xf>
    <xf numFmtId="0" fontId="0" fillId="5" borderId="6" xfId="0" applyFill="1" applyBorder="1" applyAlignment="1">
      <alignment horizontal="right" wrapText="1"/>
    </xf>
    <xf numFmtId="58" fontId="0" fillId="0" borderId="0" xfId="0" applyNumberFormat="1"/>
    <xf numFmtId="3" fontId="0" fillId="3" borderId="5" xfId="0" applyNumberFormat="1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4" borderId="5" xfId="0" applyNumberFormat="1" applyFill="1" applyBorder="1"/>
    <xf numFmtId="3" fontId="0" fillId="4" borderId="0" xfId="0" applyNumberFormat="1" applyFill="1" applyBorder="1"/>
    <xf numFmtId="3" fontId="0" fillId="4" borderId="6" xfId="0" applyNumberFormat="1" applyFill="1" applyBorder="1"/>
    <xf numFmtId="3" fontId="0" fillId="5" borderId="5" xfId="0" applyNumberFormat="1" applyFill="1" applyBorder="1"/>
    <xf numFmtId="3" fontId="0" fillId="5" borderId="0" xfId="0" applyNumberFormat="1" applyFill="1" applyBorder="1"/>
    <xf numFmtId="0" fontId="0" fillId="5" borderId="0" xfId="0" applyFill="1" applyBorder="1"/>
    <xf numFmtId="0" fontId="0" fillId="5" borderId="6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5" borderId="5" xfId="0" applyFill="1" applyBorder="1"/>
    <xf numFmtId="177" fontId="0" fillId="0" borderId="0" xfId="1" applyNumberFormat="1" applyFont="1" applyAlignment="1"/>
    <xf numFmtId="178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汇总!$C$2</c:f>
              <c:strCache>
                <c:ptCount val="1"/>
                <c:pt idx="0">
                  <c:v>总市值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汇总!$B$3:$B$13</c:f>
              <c:numCache>
                <c:formatCode>m"月"d"日"</c:formatCode>
                <c:ptCount val="11"/>
                <c:pt idx="0">
                  <c:v>41932</c:v>
                </c:pt>
                <c:pt idx="1">
                  <c:v>41933</c:v>
                </c:pt>
                <c:pt idx="2">
                  <c:v>41934</c:v>
                </c:pt>
                <c:pt idx="3">
                  <c:v>41935</c:v>
                </c:pt>
                <c:pt idx="4">
                  <c:v>41936</c:v>
                </c:pt>
                <c:pt idx="5">
                  <c:v>41939</c:v>
                </c:pt>
                <c:pt idx="6">
                  <c:v>41940</c:v>
                </c:pt>
                <c:pt idx="7">
                  <c:v>41941</c:v>
                </c:pt>
                <c:pt idx="8">
                  <c:v>41942</c:v>
                </c:pt>
                <c:pt idx="9">
                  <c:v>41943</c:v>
                </c:pt>
                <c:pt idx="10">
                  <c:v>41946</c:v>
                </c:pt>
              </c:numCache>
            </c:numRef>
          </c:cat>
          <c:val>
            <c:numRef>
              <c:f>汇总!$C$3:$C$13</c:f>
              <c:numCache>
                <c:formatCode>#,##0</c:formatCode>
                <c:ptCount val="11"/>
                <c:pt idx="0">
                  <c:v>10000000</c:v>
                </c:pt>
                <c:pt idx="1">
                  <c:v>10004226.359999999</c:v>
                </c:pt>
                <c:pt idx="2">
                  <c:v>9998395.1199999992</c:v>
                </c:pt>
                <c:pt idx="3">
                  <c:v>10000438.749999998</c:v>
                </c:pt>
                <c:pt idx="4">
                  <c:v>10014506.369999999</c:v>
                </c:pt>
                <c:pt idx="5">
                  <c:v>9995490.8599999994</c:v>
                </c:pt>
                <c:pt idx="6">
                  <c:v>10008344.239999996</c:v>
                </c:pt>
                <c:pt idx="7">
                  <c:v>10018335.859999996</c:v>
                </c:pt>
                <c:pt idx="8">
                  <c:v>10017975</c:v>
                </c:pt>
                <c:pt idx="9">
                  <c:v>9998373.6895824689</c:v>
                </c:pt>
                <c:pt idx="10">
                  <c:v>10025967.299582466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69952"/>
        <c:axId val="310970736"/>
      </c:lineChart>
      <c:dateAx>
        <c:axId val="3109699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970736"/>
        <c:crosses val="autoZero"/>
        <c:auto val="1"/>
        <c:lblOffset val="100"/>
        <c:baseTimeUnit val="days"/>
      </c:dateAx>
      <c:valAx>
        <c:axId val="3109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9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157162</xdr:rowOff>
    </xdr:from>
    <xdr:to>
      <xdr:col>9</xdr:col>
      <xdr:colOff>223837</xdr:colOff>
      <xdr:row>21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0132;&#26131;&#25968;&#25454;\20141031\&#35745;&#31639;&#27719;&#24635;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0132;&#26131;&#25968;&#25454;\20141103\&#35745;&#31639;&#27719;&#24635;11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32;&#26131;&#25968;&#25454;\&#21407;&#22987;&#25968;&#25454;\20141029\&#35745;&#31639;&#27719;&#24635;2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32;&#26131;&#25968;&#25454;\&#21407;&#22987;&#25968;&#25454;\20141028\&#35745;&#31639;&#27719;&#24635;2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32;&#26131;&#25968;&#25454;\&#21407;&#22987;&#25968;&#25454;\20141027\&#35745;&#31639;&#27719;&#24635;2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32;&#26131;&#25968;&#25454;\&#21407;&#22987;&#25968;&#25454;\20141024\&#35745;&#31639;&#27719;&#24635;2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32;&#26131;&#25968;&#25454;\&#21407;&#22987;&#25968;&#25454;\20141023\&#35745;&#31639;&#27719;&#24635;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32;&#26131;&#25968;&#25454;\&#21407;&#22987;&#25968;&#25454;\20141022\&#35745;&#31639;&#27719;&#24635;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32;&#26131;&#25968;&#25454;\&#21407;&#22987;&#25968;&#25454;\20141021\&#35745;&#31639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情"/>
      <sheetName val="上一日行情"/>
      <sheetName val="上一日计算汇总"/>
      <sheetName val="成交回报"/>
      <sheetName val="委托回报"/>
      <sheetName val="资金流水"/>
      <sheetName val="账户资金"/>
      <sheetName val="持仓汇总"/>
      <sheetName val="计算汇总"/>
      <sheetName val="持仓价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03">
          <cell r="G303">
            <v>7705404.6600000001</v>
          </cell>
          <cell r="I303">
            <v>955.06999999999925</v>
          </cell>
          <cell r="K303">
            <v>0</v>
          </cell>
          <cell r="M303">
            <v>0</v>
          </cell>
          <cell r="N303">
            <v>0</v>
          </cell>
          <cell r="P303">
            <v>7819237.8584175287</v>
          </cell>
          <cell r="S303">
            <v>120360.08158247119</v>
          </cell>
          <cell r="T303">
            <v>955.06999999999925</v>
          </cell>
        </row>
        <row r="304">
          <cell r="G304">
            <v>818844</v>
          </cell>
          <cell r="I304">
            <v>228.45</v>
          </cell>
          <cell r="K304">
            <v>0</v>
          </cell>
          <cell r="M304">
            <v>0</v>
          </cell>
          <cell r="N304">
            <v>0</v>
          </cell>
          <cell r="P304">
            <v>818844</v>
          </cell>
          <cell r="S304">
            <v>-138120.00000000044</v>
          </cell>
          <cell r="T304">
            <v>228.45</v>
          </cell>
        </row>
        <row r="305">
          <cell r="G305">
            <v>8524248.6600000001</v>
          </cell>
          <cell r="I305">
            <v>1183.5199999999993</v>
          </cell>
          <cell r="K305">
            <v>0</v>
          </cell>
          <cell r="M305">
            <v>0</v>
          </cell>
          <cell r="N305">
            <v>0</v>
          </cell>
          <cell r="P305">
            <v>8638081.8584175296</v>
          </cell>
          <cell r="S305">
            <v>-17759.918417529247</v>
          </cell>
          <cell r="T305">
            <v>1183.5199999999993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情"/>
      <sheetName val="上一日行情"/>
      <sheetName val="上一日计算汇总"/>
      <sheetName val="成交回报"/>
      <sheetName val="委托回报"/>
      <sheetName val="资金流水"/>
      <sheetName val="账户资金"/>
      <sheetName val="持仓汇总"/>
      <sheetName val="计算汇总"/>
      <sheetName val="持仓价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05">
          <cell r="G305">
            <v>0</v>
          </cell>
          <cell r="I305">
            <v>0</v>
          </cell>
          <cell r="K305">
            <v>7851360.1699999999</v>
          </cell>
          <cell r="M305">
            <v>8820.6199999999935</v>
          </cell>
          <cell r="N305">
            <v>145182.51000000007</v>
          </cell>
          <cell r="P305">
            <v>113060.19841752891</v>
          </cell>
          <cell r="S305">
            <v>903.8015824710867</v>
          </cell>
          <cell r="T305">
            <v>8820.6199999999935</v>
          </cell>
        </row>
        <row r="306">
          <cell r="G306">
            <v>0</v>
          </cell>
          <cell r="I306">
            <v>0</v>
          </cell>
          <cell r="K306">
            <v>8315640</v>
          </cell>
          <cell r="M306">
            <v>232.00000000000003</v>
          </cell>
          <cell r="N306">
            <v>-127200.00000000137</v>
          </cell>
          <cell r="P306">
            <v>0</v>
          </cell>
          <cell r="S306">
            <v>0</v>
          </cell>
          <cell r="T306">
            <v>232.00000000000003</v>
          </cell>
        </row>
        <row r="307">
          <cell r="G307">
            <v>0</v>
          </cell>
          <cell r="I307">
            <v>0</v>
          </cell>
          <cell r="K307">
            <v>16167000.17</v>
          </cell>
          <cell r="M307">
            <v>9052.6199999999935</v>
          </cell>
          <cell r="N307">
            <v>17982.5099999987</v>
          </cell>
          <cell r="P307">
            <v>113060.19841752891</v>
          </cell>
          <cell r="S307">
            <v>903.8015824710867</v>
          </cell>
          <cell r="T307">
            <v>9052.6199999999935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情"/>
      <sheetName val="上一日行情"/>
      <sheetName val="上一日计算汇总"/>
      <sheetName val="成交回报"/>
      <sheetName val="委托回报"/>
      <sheetName val="资金流水"/>
      <sheetName val="账户资金"/>
      <sheetName val="持仓汇总"/>
      <sheetName val="计算汇总"/>
      <sheetName val="持仓价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03">
          <cell r="G303">
            <v>3493740.54</v>
          </cell>
          <cell r="I303">
            <v>433.3399999999998</v>
          </cell>
          <cell r="K303">
            <v>6857966.3999999994</v>
          </cell>
          <cell r="M303">
            <v>7710.0999999999985</v>
          </cell>
          <cell r="N303">
            <v>20585.990000000027</v>
          </cell>
          <cell r="P303">
            <v>3577414.738417529</v>
          </cell>
          <cell r="S303">
            <v>-11140.958417528944</v>
          </cell>
          <cell r="T303">
            <v>8143.44</v>
          </cell>
        </row>
        <row r="304">
          <cell r="G304">
            <v>370590</v>
          </cell>
          <cell r="I304">
            <v>103.4</v>
          </cell>
          <cell r="K304">
            <v>611880.00000000023</v>
          </cell>
          <cell r="M304">
            <v>203.18</v>
          </cell>
          <cell r="N304">
            <v>-8700.0000000002728</v>
          </cell>
          <cell r="P304">
            <v>370590</v>
          </cell>
          <cell r="S304">
            <v>19500</v>
          </cell>
          <cell r="T304">
            <v>306.58000000000004</v>
          </cell>
        </row>
        <row r="305">
          <cell r="G305">
            <v>3864330.54</v>
          </cell>
          <cell r="I305">
            <v>536.73999999999978</v>
          </cell>
          <cell r="K305">
            <v>7469846.3999999994</v>
          </cell>
          <cell r="M305">
            <v>7913.2799999999988</v>
          </cell>
          <cell r="N305">
            <v>11885.989999999754</v>
          </cell>
          <cell r="P305">
            <v>3948004.738417529</v>
          </cell>
          <cell r="S305">
            <v>8359.0415824710562</v>
          </cell>
          <cell r="T305">
            <v>8450.02</v>
          </cell>
        </row>
      </sheetData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情"/>
      <sheetName val="上一日行情"/>
      <sheetName val="上一日计算汇总"/>
      <sheetName val="成交回报"/>
      <sheetName val="委托回报"/>
      <sheetName val="资金流水"/>
      <sheetName val="账户资金"/>
      <sheetName val="持仓汇总"/>
      <sheetName val="计算汇总"/>
      <sheetName val="持仓价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03">
          <cell r="G303">
            <v>6837380.4100000001</v>
          </cell>
          <cell r="I303">
            <v>850.21999999999991</v>
          </cell>
          <cell r="K303">
            <v>6788555.5499999998</v>
          </cell>
          <cell r="M303">
            <v>7637.4899999999952</v>
          </cell>
          <cell r="N303">
            <v>-67977.517310822863</v>
          </cell>
          <cell r="P303">
            <v>6921054.6084175287</v>
          </cell>
          <cell r="S303">
            <v>5403.3915824710721</v>
          </cell>
          <cell r="T303">
            <v>8487.7100000000028</v>
          </cell>
        </row>
        <row r="304">
          <cell r="G304">
            <v>727380</v>
          </cell>
          <cell r="I304">
            <v>202.95</v>
          </cell>
          <cell r="K304">
            <v>621780.00000000186</v>
          </cell>
          <cell r="M304">
            <v>200</v>
          </cell>
          <cell r="N304">
            <v>90496.799999999435</v>
          </cell>
          <cell r="P304">
            <v>727380</v>
          </cell>
          <cell r="S304">
            <v>-3600.0000000008185</v>
          </cell>
          <cell r="T304">
            <v>402.95</v>
          </cell>
        </row>
        <row r="305">
          <cell r="G305">
            <v>7564760.4100000001</v>
          </cell>
          <cell r="I305">
            <v>1053.1699999999998</v>
          </cell>
          <cell r="K305">
            <v>7410335.5500000017</v>
          </cell>
          <cell r="M305">
            <v>7837.4899999999952</v>
          </cell>
          <cell r="N305">
            <v>22519.282689176573</v>
          </cell>
          <cell r="P305">
            <v>7648434.6084175287</v>
          </cell>
          <cell r="S305">
            <v>1803.3915824702535</v>
          </cell>
          <cell r="T305">
            <v>8890.6600000000035</v>
          </cell>
        </row>
      </sheetData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情"/>
      <sheetName val="上一日行情"/>
      <sheetName val="上一日计算汇总"/>
      <sheetName val="成交回报"/>
      <sheetName val="委托回报"/>
      <sheetName val="资金流水"/>
      <sheetName val="账户资金"/>
      <sheetName val="持仓汇总"/>
      <sheetName val="计算汇总"/>
      <sheetName val="持仓价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87">
          <cell r="G287">
            <v>0</v>
          </cell>
          <cell r="I287">
            <v>0</v>
          </cell>
          <cell r="K287">
            <v>0</v>
          </cell>
          <cell r="M287">
            <v>0</v>
          </cell>
          <cell r="N287">
            <v>0</v>
          </cell>
          <cell r="P287">
            <v>6940207.2657283526</v>
          </cell>
          <cell r="S287">
            <v>-113118.16572835171</v>
          </cell>
          <cell r="T287">
            <v>0</v>
          </cell>
        </row>
        <row r="288">
          <cell r="G288">
            <v>0</v>
          </cell>
          <cell r="I288">
            <v>0</v>
          </cell>
          <cell r="K288">
            <v>0</v>
          </cell>
          <cell r="M288">
            <v>0</v>
          </cell>
          <cell r="N288">
            <v>0</v>
          </cell>
          <cell r="P288">
            <v>725869.68</v>
          </cell>
          <cell r="S288">
            <v>115696.80000000108</v>
          </cell>
          <cell r="T288">
            <v>0</v>
          </cell>
        </row>
        <row r="289">
          <cell r="G289">
            <v>0</v>
          </cell>
          <cell r="I289">
            <v>0</v>
          </cell>
          <cell r="K289">
            <v>0</v>
          </cell>
          <cell r="M289">
            <v>0</v>
          </cell>
          <cell r="N289">
            <v>0</v>
          </cell>
          <cell r="P289">
            <v>7666076.9457283523</v>
          </cell>
          <cell r="S289">
            <v>2578.6342716493673</v>
          </cell>
          <cell r="T289">
            <v>0</v>
          </cell>
        </row>
      </sheetData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情"/>
      <sheetName val="上一日行情"/>
      <sheetName val="上一日计算汇总"/>
      <sheetName val="成交回报"/>
      <sheetName val="委托回报"/>
      <sheetName val="资金流水"/>
      <sheetName val="账户资金"/>
      <sheetName val="持仓汇总"/>
      <sheetName val="计算汇总"/>
      <sheetName val="持仓价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7">
          <cell r="G287">
            <v>4143202.82</v>
          </cell>
          <cell r="I287">
            <v>517.3199999999996</v>
          </cell>
          <cell r="K287">
            <v>4152783.64</v>
          </cell>
          <cell r="M287">
            <v>4671.01</v>
          </cell>
          <cell r="N287">
            <v>-57267.411196101079</v>
          </cell>
          <cell r="P287">
            <v>6940207.2657283526</v>
          </cell>
          <cell r="S287">
            <v>-47302.655728351754</v>
          </cell>
          <cell r="T287">
            <v>5188.3299999999972</v>
          </cell>
        </row>
        <row r="288">
          <cell r="G288">
            <v>433242.00000000006</v>
          </cell>
          <cell r="I288">
            <v>120.87</v>
          </cell>
          <cell r="K288">
            <v>433962.00000000029</v>
          </cell>
          <cell r="M288">
            <v>120.9</v>
          </cell>
          <cell r="N288">
            <v>56275.199999998586</v>
          </cell>
          <cell r="P288">
            <v>725869.68</v>
          </cell>
          <cell r="S288">
            <v>68896.800000001356</v>
          </cell>
          <cell r="T288">
            <v>241.77</v>
          </cell>
        </row>
        <row r="289">
          <cell r="G289">
            <v>4576444.82</v>
          </cell>
          <cell r="I289">
            <v>638.1899999999996</v>
          </cell>
          <cell r="K289">
            <v>4586745.6400000006</v>
          </cell>
          <cell r="M289">
            <v>4791.91</v>
          </cell>
          <cell r="N289">
            <v>-992.21119610249298</v>
          </cell>
          <cell r="P289">
            <v>7666076.9457283523</v>
          </cell>
          <cell r="S289">
            <v>21594.144271649602</v>
          </cell>
          <cell r="T289">
            <v>5430.0999999999976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情"/>
      <sheetName val="上一日行情"/>
      <sheetName val="上一日计算汇总"/>
      <sheetName val="成交回报"/>
      <sheetName val="委托回报"/>
      <sheetName val="资金流水"/>
      <sheetName val="账户资金"/>
      <sheetName val="持仓汇总"/>
      <sheetName val="计算汇总"/>
      <sheetName val="持仓价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87">
          <cell r="G287">
            <v>102134.51999999999</v>
          </cell>
          <cell r="I287">
            <v>11.620000000000003</v>
          </cell>
          <cell r="K287">
            <v>102113.8</v>
          </cell>
          <cell r="M287">
            <v>113.83</v>
          </cell>
          <cell r="N287">
            <v>-477.74974221388294</v>
          </cell>
          <cell r="P287">
            <v>7007055.4969244516</v>
          </cell>
          <cell r="S287">
            <v>-97787.786924452754</v>
          </cell>
          <cell r="T287">
            <v>125.44999999999995</v>
          </cell>
        </row>
        <row r="288">
          <cell r="G288">
            <v>0</v>
          </cell>
          <cell r="I288">
            <v>0</v>
          </cell>
          <cell r="K288">
            <v>0</v>
          </cell>
          <cell r="M288">
            <v>0</v>
          </cell>
          <cell r="N288">
            <v>0</v>
          </cell>
          <cell r="P288">
            <v>731569.2</v>
          </cell>
          <cell r="S288">
            <v>98891.999999999825</v>
          </cell>
          <cell r="T288">
            <v>0</v>
          </cell>
        </row>
        <row r="289">
          <cell r="G289">
            <v>102134.51999999999</v>
          </cell>
          <cell r="I289">
            <v>11.620000000000003</v>
          </cell>
          <cell r="K289">
            <v>102113.8</v>
          </cell>
          <cell r="M289">
            <v>113.83</v>
          </cell>
          <cell r="N289">
            <v>-477.74974221388294</v>
          </cell>
          <cell r="P289">
            <v>7738624.6969244517</v>
          </cell>
          <cell r="S289">
            <v>1104.2130755470716</v>
          </cell>
          <cell r="T289">
            <v>125.44999999999995</v>
          </cell>
        </row>
      </sheetData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情"/>
      <sheetName val="上一日行情"/>
      <sheetName val="上一日计算汇总"/>
      <sheetName val="成交回报"/>
      <sheetName val="委托回报"/>
      <sheetName val="资金流水"/>
      <sheetName val="账户资金"/>
      <sheetName val="持仓汇总"/>
      <sheetName val="计算汇总"/>
      <sheetName val="持仓价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85">
          <cell r="G285">
            <v>4242870.0999999996</v>
          </cell>
          <cell r="I285">
            <v>527.89000000000033</v>
          </cell>
          <cell r="K285">
            <v>699928.74</v>
          </cell>
          <cell r="M285">
            <v>787.02000000000032</v>
          </cell>
          <cell r="N285">
            <v>-218.59333333332498</v>
          </cell>
          <cell r="P285">
            <v>7007512.5266666664</v>
          </cell>
          <cell r="S285">
            <v>-31434.616666666669</v>
          </cell>
          <cell r="T285">
            <v>1314.9099999999983</v>
          </cell>
        </row>
        <row r="286">
          <cell r="G286">
            <v>437838</v>
          </cell>
          <cell r="I286">
            <v>122.17</v>
          </cell>
          <cell r="K286">
            <v>75422.999999999956</v>
          </cell>
          <cell r="M286">
            <v>20.43</v>
          </cell>
          <cell r="N286">
            <v>2148.0000000000928</v>
          </cell>
          <cell r="P286">
            <v>731569.2</v>
          </cell>
          <cell r="S286">
            <v>29891.999999999825</v>
          </cell>
          <cell r="T286">
            <v>142.6</v>
          </cell>
        </row>
        <row r="287">
          <cell r="G287">
            <v>4680708.0999999996</v>
          </cell>
          <cell r="I287">
            <v>650.06000000000029</v>
          </cell>
          <cell r="K287">
            <v>775351.74</v>
          </cell>
          <cell r="M287">
            <v>807.45000000000027</v>
          </cell>
          <cell r="N287">
            <v>1929.4066666667677</v>
          </cell>
          <cell r="P287">
            <v>7739081.7266666666</v>
          </cell>
          <cell r="S287">
            <v>-1542.6166666668432</v>
          </cell>
          <cell r="T287">
            <v>1457.5099999999982</v>
          </cell>
        </row>
      </sheetData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情"/>
      <sheetName val="成交回报"/>
      <sheetName val="委托回报"/>
      <sheetName val="资金流水"/>
      <sheetName val="账户资金"/>
      <sheetName val="持仓汇总"/>
      <sheetName val="计算汇总"/>
      <sheetName val="持仓价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81">
          <cell r="G281">
            <v>3464789.76</v>
          </cell>
          <cell r="I281">
            <v>431.71000000000015</v>
          </cell>
          <cell r="K281">
            <v>0</v>
          </cell>
          <cell r="M281">
            <v>0</v>
          </cell>
          <cell r="N281">
            <v>0</v>
          </cell>
          <cell r="P281">
            <v>3464789.76</v>
          </cell>
          <cell r="S281">
            <v>-7779.4799999999768</v>
          </cell>
          <cell r="T281">
            <v>431.71000000000015</v>
          </cell>
        </row>
        <row r="282">
          <cell r="G282">
            <v>367164</v>
          </cell>
          <cell r="I282">
            <v>102.44999999999999</v>
          </cell>
          <cell r="K282">
            <v>0</v>
          </cell>
          <cell r="M282">
            <v>0</v>
          </cell>
          <cell r="N282">
            <v>0</v>
          </cell>
          <cell r="P282">
            <v>367164</v>
          </cell>
          <cell r="S282">
            <v>12540.000000000191</v>
          </cell>
          <cell r="T282">
            <v>102.44999999999999</v>
          </cell>
        </row>
        <row r="283">
          <cell r="G283">
            <v>3831953.76</v>
          </cell>
          <cell r="I283">
            <v>534.16000000000008</v>
          </cell>
          <cell r="P283">
            <v>3831953.76</v>
          </cell>
          <cell r="S283">
            <v>4760.5200000002142</v>
          </cell>
          <cell r="T283">
            <v>534.16000000000008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opLeftCell="J1" workbookViewId="0">
      <selection activeCell="S4" sqref="S4"/>
    </sheetView>
  </sheetViews>
  <sheetFormatPr defaultRowHeight="13.5" x14ac:dyDescent="0.15"/>
  <cols>
    <col min="2" max="2" width="11.25" customWidth="1"/>
    <col min="8" max="11" width="13.875" bestFit="1" customWidth="1"/>
    <col min="12" max="12" width="14.375" customWidth="1"/>
    <col min="13" max="15" width="17.875" bestFit="1" customWidth="1"/>
    <col min="16" max="16" width="13.875" bestFit="1" customWidth="1"/>
    <col min="17" max="17" width="14.875" customWidth="1"/>
    <col min="18" max="18" width="12.75" bestFit="1" customWidth="1"/>
    <col min="19" max="19" width="24.875" customWidth="1"/>
    <col min="20" max="20" width="9.5" bestFit="1" customWidth="1"/>
  </cols>
  <sheetData>
    <row r="1" spans="1:2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31</v>
      </c>
      <c r="O1" t="s">
        <v>13</v>
      </c>
    </row>
    <row r="2" spans="1:20" x14ac:dyDescent="0.15">
      <c r="A2" t="s">
        <v>14</v>
      </c>
      <c r="B2">
        <f>[1]计算汇总!G303</f>
        <v>7705404.6600000001</v>
      </c>
      <c r="C2">
        <f>[1]计算汇总!I303</f>
        <v>955.06999999999925</v>
      </c>
      <c r="D2">
        <f>[1]计算汇总!K303</f>
        <v>0</v>
      </c>
      <c r="E2">
        <f>[1]计算汇总!M303</f>
        <v>0</v>
      </c>
      <c r="F2">
        <f>[1]计算汇总!N303</f>
        <v>0</v>
      </c>
      <c r="G2">
        <v>113833.19841752891</v>
      </c>
      <c r="H2">
        <f>[1]计算汇总!P303</f>
        <v>7819237.8584175287</v>
      </c>
      <c r="I2">
        <v>657.80158247108716</v>
      </c>
      <c r="J2">
        <f>[1]计算汇总!S303</f>
        <v>120360.08158247119</v>
      </c>
      <c r="K2">
        <f>[1]计算汇总!T303</f>
        <v>955.06999999999925</v>
      </c>
      <c r="L2" s="3">
        <v>8244302.7595824711</v>
      </c>
      <c r="M2" s="1">
        <v>8358793.7595824711</v>
      </c>
      <c r="N2" s="1">
        <f>L2-H2-K2+G2+F2</f>
        <v>537943.02958247135</v>
      </c>
      <c r="O2" s="2">
        <f>N2+H2+J2</f>
        <v>8477540.969582472</v>
      </c>
      <c r="Q2" s="3">
        <v>8477584.4700000007</v>
      </c>
      <c r="R2" s="5">
        <f>O2-Q2</f>
        <v>-43.500417528674006</v>
      </c>
      <c r="S2" s="6"/>
    </row>
    <row r="3" spans="1:20" x14ac:dyDescent="0.15">
      <c r="A3" t="s">
        <v>140</v>
      </c>
      <c r="B3">
        <f>[1]计算汇总!G304</f>
        <v>818844</v>
      </c>
      <c r="C3">
        <f>[1]计算汇总!I304</f>
        <v>228.45</v>
      </c>
      <c r="D3">
        <f>[1]计算汇总!K304</f>
        <v>0</v>
      </c>
      <c r="E3">
        <f>[1]计算汇总!M304</f>
        <v>0</v>
      </c>
      <c r="F3">
        <f>[1]计算汇总!N304</f>
        <v>0</v>
      </c>
      <c r="G3">
        <v>0</v>
      </c>
      <c r="H3">
        <f>[1]计算汇总!P304</f>
        <v>818844</v>
      </c>
      <c r="I3">
        <v>0</v>
      </c>
      <c r="J3">
        <f>[1]计算汇总!S304</f>
        <v>-138120.00000000044</v>
      </c>
      <c r="K3">
        <f>[1]计算汇总!T304</f>
        <v>228.45</v>
      </c>
      <c r="L3" s="1">
        <v>1659321.1699999997</v>
      </c>
      <c r="M3" s="1">
        <v>1659321.1699999997</v>
      </c>
      <c r="N3" s="1">
        <f>L3-H3-K3+G3+F3</f>
        <v>840248.71999999974</v>
      </c>
      <c r="O3" s="2">
        <f>N3+H3+J3</f>
        <v>1520972.7199999993</v>
      </c>
      <c r="Q3" s="3">
        <v>1538132.37</v>
      </c>
      <c r="R3" s="2">
        <f>O3-Q3</f>
        <v>-17159.650000000838</v>
      </c>
      <c r="S3" s="2"/>
      <c r="T3" s="2"/>
    </row>
    <row r="4" spans="1:20" x14ac:dyDescent="0.15">
      <c r="A4" t="s">
        <v>141</v>
      </c>
      <c r="B4">
        <f>[1]计算汇总!G305</f>
        <v>8524248.6600000001</v>
      </c>
      <c r="C4">
        <f>[1]计算汇总!I305</f>
        <v>1183.5199999999993</v>
      </c>
      <c r="D4">
        <f>[1]计算汇总!K305</f>
        <v>0</v>
      </c>
      <c r="E4">
        <f>[1]计算汇总!M305</f>
        <v>0</v>
      </c>
      <c r="F4">
        <f>[1]计算汇总!N305</f>
        <v>0</v>
      </c>
      <c r="G4">
        <v>113833.19841752891</v>
      </c>
      <c r="H4">
        <f>[1]计算汇总!P305</f>
        <v>8638081.8584175296</v>
      </c>
      <c r="I4">
        <v>657.80158247108716</v>
      </c>
      <c r="J4">
        <f>[1]计算汇总!S305</f>
        <v>-17759.918417529247</v>
      </c>
      <c r="K4">
        <f>[1]计算汇总!T305</f>
        <v>1183.5199999999993</v>
      </c>
      <c r="L4" s="1">
        <v>9903483.9295824692</v>
      </c>
      <c r="M4" s="1">
        <v>10017974.929582469</v>
      </c>
      <c r="N4" s="1">
        <f>L4-H4-K4+G4+F4</f>
        <v>1378051.7495824685</v>
      </c>
      <c r="O4" s="2">
        <f t="shared" ref="O4" si="0">N4+H4+J4</f>
        <v>9998373.6895824689</v>
      </c>
      <c r="Q4" s="4">
        <v>10015716.84</v>
      </c>
      <c r="R4" s="2">
        <f>O4-Q4</f>
        <v>-17343.150417530909</v>
      </c>
      <c r="S4" s="2">
        <f>R4-R3</f>
        <v>-183.50041753007099</v>
      </c>
    </row>
    <row r="5" spans="1:20" x14ac:dyDescent="0.15">
      <c r="Q5" s="46"/>
      <c r="S5" s="6"/>
    </row>
    <row r="6" spans="1:20" x14ac:dyDescent="0.15">
      <c r="O6" t="s">
        <v>142</v>
      </c>
      <c r="Q6" t="s">
        <v>143</v>
      </c>
    </row>
    <row r="8" spans="1:20" x14ac:dyDescent="0.15">
      <c r="O8" s="2"/>
    </row>
    <row r="9" spans="1:20" x14ac:dyDescent="0.15">
      <c r="I9" s="7">
        <v>8359952</v>
      </c>
    </row>
    <row r="10" spans="1:20" x14ac:dyDescent="0.15">
      <c r="B10">
        <v>3577414.7379999999</v>
      </c>
      <c r="I10" s="7">
        <v>1658524</v>
      </c>
      <c r="M10" s="7"/>
      <c r="N10" s="7"/>
      <c r="O10" s="7"/>
    </row>
    <row r="11" spans="1:20" x14ac:dyDescent="0.15">
      <c r="B11">
        <v>370590</v>
      </c>
      <c r="I11" s="7">
        <v>10018336</v>
      </c>
      <c r="M11" s="7"/>
      <c r="N11" s="7"/>
      <c r="O11" s="7"/>
    </row>
    <row r="12" spans="1:20" x14ac:dyDescent="0.15">
      <c r="B12">
        <v>3948004.7379999999</v>
      </c>
      <c r="M12" s="7" t="s">
        <v>144</v>
      </c>
      <c r="N12" t="s">
        <v>145</v>
      </c>
      <c r="O12" t="s">
        <v>146</v>
      </c>
      <c r="P12" t="s">
        <v>147</v>
      </c>
      <c r="Q12" t="s">
        <v>148</v>
      </c>
    </row>
    <row r="13" spans="1:20" x14ac:dyDescent="0.15">
      <c r="M13" s="7" t="s">
        <v>140</v>
      </c>
      <c r="N13" s="45">
        <f>L3</f>
        <v>1659321.1699999997</v>
      </c>
      <c r="O13" s="45">
        <f>M3</f>
        <v>1659321.1699999997</v>
      </c>
      <c r="P13" s="45">
        <f>N3</f>
        <v>840248.71999999974</v>
      </c>
      <c r="Q13" s="45">
        <f>O3</f>
        <v>1520972.7199999993</v>
      </c>
      <c r="R13" s="7"/>
      <c r="S13" s="7"/>
      <c r="T13" s="7"/>
    </row>
    <row r="14" spans="1:20" x14ac:dyDescent="0.15">
      <c r="M14" s="7" t="s">
        <v>149</v>
      </c>
      <c r="N14" s="45">
        <f>L2</f>
        <v>8244302.7595824711</v>
      </c>
      <c r="O14" s="45">
        <f>M2</f>
        <v>8358793.7595824711</v>
      </c>
      <c r="P14" s="45">
        <f>N2</f>
        <v>537943.02958247135</v>
      </c>
      <c r="Q14" s="45">
        <f>O2</f>
        <v>8477540.969582472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4" sqref="F4"/>
    </sheetView>
  </sheetViews>
  <sheetFormatPr defaultRowHeight="13.5" x14ac:dyDescent="0.15"/>
  <cols>
    <col min="2" max="2" width="11.25" customWidth="1"/>
    <col min="8" max="11" width="13.875" bestFit="1" customWidth="1"/>
    <col min="12" max="12" width="14.375" customWidth="1"/>
    <col min="13" max="13" width="13.875" bestFit="1" customWidth="1"/>
    <col min="14" max="14" width="13.875" customWidth="1"/>
    <col min="15" max="15" width="12.75" bestFit="1" customWidth="1"/>
    <col min="17" max="17" width="14.875" customWidth="1"/>
    <col min="19" max="19" width="11.625" bestFit="1" customWidth="1"/>
  </cols>
  <sheetData>
    <row r="1" spans="1:19" x14ac:dyDescent="0.1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9" x14ac:dyDescent="0.15">
      <c r="A2" t="s">
        <v>14</v>
      </c>
      <c r="B2">
        <f>[8]计算汇总!G285</f>
        <v>4242870.0999999996</v>
      </c>
      <c r="C2">
        <f>[8]计算汇总!I285</f>
        <v>527.89000000000033</v>
      </c>
      <c r="D2">
        <f>[8]计算汇总!K285</f>
        <v>699928.74</v>
      </c>
      <c r="E2">
        <f>[8]计算汇总!M285</f>
        <v>787.02000000000032</v>
      </c>
      <c r="F2">
        <f>[8]计算汇总!N285</f>
        <v>-218.59333333332498</v>
      </c>
      <c r="G2">
        <v>3464789.76</v>
      </c>
      <c r="H2">
        <f>[8]计算汇总!P285</f>
        <v>7007512.5266666664</v>
      </c>
      <c r="I2">
        <v>-7779.4799999999768</v>
      </c>
      <c r="J2">
        <f>[8]计算汇总!S285</f>
        <v>-31434.616666666669</v>
      </c>
      <c r="K2">
        <f>[8]计算汇总!T285</f>
        <v>1314.9099999999983</v>
      </c>
      <c r="L2" s="1">
        <v>5034778.53</v>
      </c>
      <c r="M2" s="1">
        <v>8491788.8099999987</v>
      </c>
      <c r="N2" s="1">
        <f>L2-H2-K2+G2+F2</f>
        <v>1490522.2600000005</v>
      </c>
      <c r="O2" s="2">
        <f>N2+H2+J2</f>
        <v>8466600.1699999999</v>
      </c>
      <c r="Q2" s="3">
        <v>8466600.1699999999</v>
      </c>
    </row>
    <row r="3" spans="1:19" x14ac:dyDescent="0.15">
      <c r="A3" t="s">
        <v>15</v>
      </c>
      <c r="B3">
        <f>[8]计算汇总!G286</f>
        <v>437838</v>
      </c>
      <c r="C3">
        <f>[8]计算汇总!I286</f>
        <v>122.17</v>
      </c>
      <c r="D3">
        <f>[8]计算汇总!K286</f>
        <v>75422.999999999956</v>
      </c>
      <c r="E3">
        <f>[8]计算汇总!M286</f>
        <v>20.43</v>
      </c>
      <c r="F3">
        <f>[8]计算汇总!N286</f>
        <v>2148.0000000000928</v>
      </c>
      <c r="G3">
        <v>367164</v>
      </c>
      <c r="H3">
        <f>[8]计算汇总!P286</f>
        <v>731569.2</v>
      </c>
      <c r="I3">
        <v>12540.000000000191</v>
      </c>
      <c r="J3">
        <f>[8]计算汇总!S286</f>
        <v>29891.999999999825</v>
      </c>
      <c r="K3">
        <f>[8]计算汇总!T286</f>
        <v>142.6</v>
      </c>
      <c r="L3" s="1">
        <v>1132733.55</v>
      </c>
      <c r="M3" s="1">
        <v>1512437.5500000003</v>
      </c>
      <c r="N3" s="1">
        <f t="shared" ref="N3:N4" si="0">L3-H3-K3+G3+F3</f>
        <v>770333.75000000023</v>
      </c>
      <c r="O3" s="2">
        <f t="shared" ref="O3:O4" si="1">N3+H3+J3</f>
        <v>1531794.95</v>
      </c>
      <c r="Q3" s="3">
        <v>1526994.95</v>
      </c>
      <c r="R3" s="2"/>
      <c r="S3" s="2"/>
    </row>
    <row r="4" spans="1:19" x14ac:dyDescent="0.15">
      <c r="A4" t="s">
        <v>33</v>
      </c>
      <c r="B4">
        <f>[8]计算汇总!G287</f>
        <v>4680708.0999999996</v>
      </c>
      <c r="C4">
        <f>[8]计算汇总!I287</f>
        <v>650.06000000000029</v>
      </c>
      <c r="D4">
        <f>[8]计算汇总!K287</f>
        <v>775351.74</v>
      </c>
      <c r="E4">
        <f>[8]计算汇总!M287</f>
        <v>807.45000000000027</v>
      </c>
      <c r="F4">
        <f>[8]计算汇总!N287</f>
        <v>1929.4066666667677</v>
      </c>
      <c r="G4">
        <v>3831953.76</v>
      </c>
      <c r="H4">
        <f>[8]计算汇总!P287</f>
        <v>7739081.7266666666</v>
      </c>
      <c r="I4">
        <v>4760.5200000002142</v>
      </c>
      <c r="J4">
        <f>[8]计算汇总!S287</f>
        <v>-1542.6166666668432</v>
      </c>
      <c r="K4">
        <f>[8]计算汇总!T287</f>
        <v>1457.5099999999982</v>
      </c>
      <c r="L4" s="1">
        <v>6167512.0800000001</v>
      </c>
      <c r="M4" s="1">
        <v>10004226.359999999</v>
      </c>
      <c r="N4" s="1">
        <f t="shared" si="0"/>
        <v>2260856.0100000002</v>
      </c>
      <c r="O4" s="2">
        <f t="shared" si="1"/>
        <v>9998395.1199999992</v>
      </c>
      <c r="Q4" s="4">
        <v>9993595.1199999992</v>
      </c>
    </row>
    <row r="7" spans="1:19" x14ac:dyDescent="0.15">
      <c r="M7" s="2"/>
      <c r="O7" s="2"/>
    </row>
    <row r="8" spans="1:19" x14ac:dyDescent="0.15">
      <c r="O8" t="s">
        <v>34</v>
      </c>
      <c r="Q8" t="s">
        <v>35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J20" sqref="J20"/>
    </sheetView>
  </sheetViews>
  <sheetFormatPr defaultRowHeight="13.5" x14ac:dyDescent="0.15"/>
  <cols>
    <col min="2" max="2" width="11.25" customWidth="1"/>
    <col min="12" max="13" width="13.875" bestFit="1" customWidth="1"/>
    <col min="14" max="14" width="13.875" customWidth="1"/>
    <col min="15" max="15" width="12.75" bestFit="1" customWidth="1"/>
    <col min="17" max="17" width="14.875" customWidth="1"/>
    <col min="19" max="19" width="11.625" bestFit="1" customWidth="1"/>
  </cols>
  <sheetData>
    <row r="1" spans="1:1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9" x14ac:dyDescent="0.15">
      <c r="A2" t="s">
        <v>14</v>
      </c>
      <c r="B2">
        <f>[9]计算汇总!G281</f>
        <v>3464789.76</v>
      </c>
      <c r="C2">
        <f>[9]计算汇总!I281</f>
        <v>431.71000000000015</v>
      </c>
      <c r="D2">
        <f>[9]计算汇总!K281</f>
        <v>0</v>
      </c>
      <c r="E2">
        <f>[9]计算汇总!M281</f>
        <v>0</v>
      </c>
      <c r="F2">
        <f>[9]计算汇总!N281</f>
        <v>0</v>
      </c>
      <c r="G2">
        <v>0</v>
      </c>
      <c r="H2">
        <f>[9]计算汇总!P281</f>
        <v>3464789.76</v>
      </c>
      <c r="I2">
        <v>0</v>
      </c>
      <c r="J2">
        <f>[9]计算汇总!S281</f>
        <v>-7779.4799999999768</v>
      </c>
      <c r="K2">
        <f>[9]计算汇总!T281</f>
        <v>431.71000000000015</v>
      </c>
      <c r="L2" s="1">
        <v>8500000</v>
      </c>
      <c r="M2" s="1">
        <v>8500000</v>
      </c>
      <c r="N2" s="1">
        <f>L2-H2-K2+G2+F2</f>
        <v>5034778.53</v>
      </c>
      <c r="O2" s="2">
        <f>M2-K2+J2+F2-I2</f>
        <v>8491788.8099999987</v>
      </c>
      <c r="Q2" s="3">
        <v>8491788.8100000005</v>
      </c>
    </row>
    <row r="3" spans="1:19" x14ac:dyDescent="0.15">
      <c r="A3" t="s">
        <v>15</v>
      </c>
      <c r="B3">
        <f>[9]计算汇总!G282</f>
        <v>367164</v>
      </c>
      <c r="C3">
        <f>[9]计算汇总!I282</f>
        <v>102.44999999999999</v>
      </c>
      <c r="D3">
        <f>[9]计算汇总!K282</f>
        <v>0</v>
      </c>
      <c r="E3">
        <f>[9]计算汇总!M282</f>
        <v>0</v>
      </c>
      <c r="F3">
        <f>[9]计算汇总!N282</f>
        <v>0</v>
      </c>
      <c r="G3">
        <v>0</v>
      </c>
      <c r="H3">
        <f>[9]计算汇总!P282</f>
        <v>367164</v>
      </c>
      <c r="I3">
        <v>0</v>
      </c>
      <c r="J3">
        <f>[9]计算汇总!S282</f>
        <v>12540.000000000191</v>
      </c>
      <c r="K3">
        <f>[9]计算汇总!T282</f>
        <v>102.44999999999999</v>
      </c>
      <c r="L3" s="1">
        <v>1500000</v>
      </c>
      <c r="M3" s="1">
        <v>1500000</v>
      </c>
      <c r="N3" s="1">
        <f t="shared" ref="N3:N4" si="0">L3-H3-K3+G3+F3</f>
        <v>1132733.55</v>
      </c>
      <c r="O3" s="2">
        <f t="shared" ref="O3:O4" si="1">M3-K3+J3+F3-I3</f>
        <v>1512437.5500000003</v>
      </c>
      <c r="Q3" s="3">
        <v>1510037.55</v>
      </c>
      <c r="R3" s="2">
        <v>2399.9999999998636</v>
      </c>
      <c r="S3" s="2">
        <f>O3-Q3</f>
        <v>2400.0000000002328</v>
      </c>
    </row>
    <row r="4" spans="1:19" x14ac:dyDescent="0.15">
      <c r="A4" t="s">
        <v>16</v>
      </c>
      <c r="B4">
        <f>[9]计算汇总!G283</f>
        <v>3831953.76</v>
      </c>
      <c r="C4">
        <f>[9]计算汇总!I283</f>
        <v>534.16000000000008</v>
      </c>
      <c r="D4">
        <f>[9]计算汇总!K283</f>
        <v>0</v>
      </c>
      <c r="E4">
        <f>[9]计算汇总!M283</f>
        <v>0</v>
      </c>
      <c r="F4">
        <f>[9]计算汇总!N283</f>
        <v>0</v>
      </c>
      <c r="G4">
        <v>0</v>
      </c>
      <c r="H4">
        <f>[9]计算汇总!P283</f>
        <v>3831953.76</v>
      </c>
      <c r="I4">
        <v>0</v>
      </c>
      <c r="J4">
        <f>[9]计算汇总!S283</f>
        <v>4760.5200000002142</v>
      </c>
      <c r="K4">
        <f>[9]计算汇总!T283</f>
        <v>534.16000000000008</v>
      </c>
      <c r="L4" s="1">
        <f>L2+L3</f>
        <v>10000000</v>
      </c>
      <c r="M4" s="1">
        <f>M2+M3</f>
        <v>10000000</v>
      </c>
      <c r="N4" s="1">
        <f t="shared" si="0"/>
        <v>6167512.0800000001</v>
      </c>
      <c r="O4" s="2">
        <f t="shared" si="1"/>
        <v>10004226.359999999</v>
      </c>
      <c r="Q4" s="4">
        <v>10001826.359999999</v>
      </c>
    </row>
    <row r="8" spans="1:19" x14ac:dyDescent="0.15">
      <c r="O8" t="s">
        <v>17</v>
      </c>
      <c r="Q8" t="s">
        <v>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opLeftCell="H1" workbookViewId="0">
      <selection activeCell="R4" sqref="R4"/>
    </sheetView>
  </sheetViews>
  <sheetFormatPr defaultRowHeight="13.5" x14ac:dyDescent="0.15"/>
  <cols>
    <col min="2" max="2" width="11.25" customWidth="1"/>
    <col min="8" max="11" width="13.875" bestFit="1" customWidth="1"/>
    <col min="12" max="12" width="14.375" customWidth="1"/>
    <col min="13" max="15" width="17.875" bestFit="1" customWidth="1"/>
    <col min="16" max="16" width="13.875" bestFit="1" customWidth="1"/>
    <col min="17" max="17" width="14.875" customWidth="1"/>
    <col min="18" max="18" width="12.75" bestFit="1" customWidth="1"/>
    <col min="19" max="19" width="24.875" customWidth="1"/>
    <col min="20" max="20" width="9.5" bestFit="1" customWidth="1"/>
  </cols>
  <sheetData>
    <row r="1" spans="1:2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31</v>
      </c>
      <c r="O1" t="s">
        <v>13</v>
      </c>
    </row>
    <row r="2" spans="1:20" x14ac:dyDescent="0.15">
      <c r="A2" t="s">
        <v>14</v>
      </c>
      <c r="B2">
        <f>[2]计算汇总!G305</f>
        <v>0</v>
      </c>
      <c r="C2">
        <f>[2]计算汇总!I305</f>
        <v>0</v>
      </c>
      <c r="D2">
        <f>[2]计算汇总!K305</f>
        <v>7851360.1699999999</v>
      </c>
      <c r="E2">
        <f>[2]计算汇总!M305</f>
        <v>8820.6199999999935</v>
      </c>
      <c r="F2">
        <f>[2]计算汇总!N305</f>
        <v>145182.51000000007</v>
      </c>
      <c r="G2">
        <v>7819237.8584175287</v>
      </c>
      <c r="H2">
        <f>[2]计算汇总!P305</f>
        <v>113060.19841752891</v>
      </c>
      <c r="I2">
        <v>120360.08158247119</v>
      </c>
      <c r="J2">
        <f>[2]计算汇总!S305</f>
        <v>903.8015824710867</v>
      </c>
      <c r="K2">
        <f>[2]计算汇总!T305</f>
        <v>8820.6199999999935</v>
      </c>
      <c r="L2" s="3">
        <v>537943.02958247135</v>
      </c>
      <c r="M2" s="1">
        <v>8477540.969582472</v>
      </c>
      <c r="N2" s="1">
        <f>L2-H2-K2+G2+F2</f>
        <v>8380482.5795824714</v>
      </c>
      <c r="O2" s="2">
        <f>N2+H2+J2</f>
        <v>8494446.5795824714</v>
      </c>
      <c r="Q2" s="3">
        <v>8495208.3100000005</v>
      </c>
      <c r="R2" s="5">
        <f>O2-Q2</f>
        <v>-761.73041752912104</v>
      </c>
      <c r="S2" s="6"/>
    </row>
    <row r="3" spans="1:20" x14ac:dyDescent="0.15">
      <c r="A3" t="s">
        <v>15</v>
      </c>
      <c r="B3">
        <f>[2]计算汇总!G306</f>
        <v>0</v>
      </c>
      <c r="C3">
        <f>[2]计算汇总!I306</f>
        <v>0</v>
      </c>
      <c r="D3">
        <f>[2]计算汇总!K306</f>
        <v>8315640</v>
      </c>
      <c r="E3">
        <f>[2]计算汇总!M306</f>
        <v>232.00000000000003</v>
      </c>
      <c r="F3">
        <f>[2]计算汇总!N306</f>
        <v>-127200.00000000137</v>
      </c>
      <c r="G3">
        <v>818844</v>
      </c>
      <c r="H3">
        <f>[2]计算汇总!P306</f>
        <v>0</v>
      </c>
      <c r="I3">
        <v>-138120.00000000044</v>
      </c>
      <c r="J3">
        <f>[2]计算汇总!S306</f>
        <v>0</v>
      </c>
      <c r="K3">
        <f>[2]计算汇总!T306</f>
        <v>232.00000000000003</v>
      </c>
      <c r="L3" s="1">
        <v>840248.71999999974</v>
      </c>
      <c r="M3" s="1">
        <v>1520972.7199999993</v>
      </c>
      <c r="N3" s="1">
        <f>L3-H3-K3+G3+F3</f>
        <v>1531660.7199999983</v>
      </c>
      <c r="O3" s="2">
        <f>N3+H3+J3</f>
        <v>1531660.7199999983</v>
      </c>
      <c r="Q3" s="3">
        <v>1531660.37</v>
      </c>
      <c r="R3" s="2">
        <f>O3-Q3</f>
        <v>0.34999999823048711</v>
      </c>
      <c r="S3" s="2"/>
      <c r="T3" s="2"/>
    </row>
    <row r="4" spans="1:20" x14ac:dyDescent="0.15">
      <c r="A4" t="s">
        <v>16</v>
      </c>
      <c r="B4">
        <f>[2]计算汇总!G307</f>
        <v>0</v>
      </c>
      <c r="C4">
        <f>[2]计算汇总!I307</f>
        <v>0</v>
      </c>
      <c r="D4">
        <f>[2]计算汇总!K307</f>
        <v>16167000.17</v>
      </c>
      <c r="E4">
        <f>[2]计算汇总!M307</f>
        <v>9052.6199999999935</v>
      </c>
      <c r="F4">
        <f>[2]计算汇总!N307</f>
        <v>17982.5099999987</v>
      </c>
      <c r="G4">
        <v>8638081.8584175296</v>
      </c>
      <c r="H4">
        <f>[2]计算汇总!P307</f>
        <v>113060.19841752891</v>
      </c>
      <c r="I4">
        <v>-17759.918417529247</v>
      </c>
      <c r="J4">
        <f>[2]计算汇总!S307</f>
        <v>903.8015824710867</v>
      </c>
      <c r="K4">
        <f>[2]计算汇总!T307</f>
        <v>9052.6199999999935</v>
      </c>
      <c r="L4" s="1">
        <v>1378051.7495824685</v>
      </c>
      <c r="M4" s="1">
        <v>9998373.6895824689</v>
      </c>
      <c r="N4" s="1">
        <f>L4-H4-K4+G4+F4</f>
        <v>9912003.2995824665</v>
      </c>
      <c r="O4" s="2">
        <f t="shared" ref="O4" si="0">N4+H4+J4</f>
        <v>10025967.299582466</v>
      </c>
      <c r="Q4" s="4">
        <v>10026868.68</v>
      </c>
      <c r="R4" s="2">
        <f>O4-Q4</f>
        <v>-901.38041753321886</v>
      </c>
    </row>
    <row r="5" spans="1:20" x14ac:dyDescent="0.15">
      <c r="Q5" s="46"/>
      <c r="S5" s="6"/>
    </row>
    <row r="6" spans="1:20" x14ac:dyDescent="0.15">
      <c r="O6" t="s">
        <v>131</v>
      </c>
      <c r="Q6" t="s">
        <v>132</v>
      </c>
    </row>
    <row r="8" spans="1:20" x14ac:dyDescent="0.15">
      <c r="O8" s="2"/>
    </row>
    <row r="9" spans="1:20" x14ac:dyDescent="0.15">
      <c r="I9" s="7">
        <v>8359952</v>
      </c>
    </row>
    <row r="10" spans="1:20" x14ac:dyDescent="0.15">
      <c r="B10">
        <v>3577414.7379999999</v>
      </c>
      <c r="I10" s="7">
        <v>1658524</v>
      </c>
      <c r="M10" s="7"/>
      <c r="N10" s="7"/>
      <c r="O10" s="7"/>
    </row>
    <row r="11" spans="1:20" x14ac:dyDescent="0.15">
      <c r="B11">
        <v>370590</v>
      </c>
      <c r="I11" s="7">
        <v>10018336</v>
      </c>
      <c r="M11" s="7"/>
      <c r="N11" s="7"/>
      <c r="O11" s="7"/>
    </row>
    <row r="12" spans="1:20" x14ac:dyDescent="0.15">
      <c r="B12">
        <v>3948004.7379999999</v>
      </c>
      <c r="M12" s="7" t="s">
        <v>133</v>
      </c>
      <c r="N12" t="s">
        <v>134</v>
      </c>
      <c r="O12" t="s">
        <v>135</v>
      </c>
      <c r="P12" t="s">
        <v>136</v>
      </c>
      <c r="Q12" t="s">
        <v>137</v>
      </c>
    </row>
    <row r="13" spans="1:20" x14ac:dyDescent="0.15">
      <c r="M13" s="7" t="s">
        <v>138</v>
      </c>
      <c r="N13" s="45">
        <f>L3</f>
        <v>840248.71999999974</v>
      </c>
      <c r="O13" s="45">
        <f>M3</f>
        <v>1520972.7199999993</v>
      </c>
      <c r="P13" s="45">
        <f>N3</f>
        <v>1531660.7199999983</v>
      </c>
      <c r="Q13" s="45">
        <f>O3</f>
        <v>1531660.7199999983</v>
      </c>
      <c r="R13" s="7"/>
      <c r="S13" s="7"/>
      <c r="T13" s="7"/>
    </row>
    <row r="14" spans="1:20" x14ac:dyDescent="0.15">
      <c r="M14" s="7" t="s">
        <v>139</v>
      </c>
      <c r="N14" s="45">
        <f>L2</f>
        <v>537943.02958247135</v>
      </c>
      <c r="O14" s="45">
        <f>M2</f>
        <v>8477540.969582472</v>
      </c>
      <c r="P14" s="45">
        <f>N2</f>
        <v>8380482.5795824714</v>
      </c>
      <c r="Q14" s="45">
        <f>O2</f>
        <v>8494446.5795824714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J2" sqref="J2"/>
    </sheetView>
  </sheetViews>
  <sheetFormatPr defaultRowHeight="13.5" x14ac:dyDescent="0.15"/>
  <cols>
    <col min="2" max="2" width="9.25" bestFit="1" customWidth="1"/>
    <col min="3" max="3" width="11.75" style="38" bestFit="1" customWidth="1"/>
    <col min="4" max="4" width="11.625" style="39" bestFit="1" customWidth="1"/>
    <col min="5" max="5" width="11" style="39" bestFit="1" customWidth="1"/>
    <col min="6" max="6" width="9" style="40"/>
    <col min="7" max="7" width="10.5" style="41" bestFit="1" customWidth="1"/>
    <col min="8" max="9" width="10.5" style="42" bestFit="1" customWidth="1"/>
    <col min="10" max="10" width="10.5" style="43" bestFit="1" customWidth="1"/>
    <col min="11" max="11" width="10.5" style="44" customWidth="1"/>
    <col min="12" max="12" width="10.5" style="36" bestFit="1" customWidth="1"/>
    <col min="13" max="13" width="9" style="36"/>
    <col min="14" max="14" width="9" style="37"/>
    <col min="16" max="16" width="11.625" bestFit="1" customWidth="1"/>
  </cols>
  <sheetData>
    <row r="1" spans="1:16" x14ac:dyDescent="0.15">
      <c r="C1" s="8"/>
      <c r="D1" s="9"/>
      <c r="E1" s="9"/>
      <c r="F1" s="10"/>
      <c r="G1" s="11" t="s">
        <v>46</v>
      </c>
      <c r="H1" s="12"/>
      <c r="I1" s="12"/>
      <c r="J1" s="13"/>
      <c r="K1" s="14" t="s">
        <v>47</v>
      </c>
      <c r="L1" s="15"/>
      <c r="M1" s="15"/>
      <c r="N1" s="16"/>
    </row>
    <row r="2" spans="1:16" s="17" customFormat="1" ht="40.5" x14ac:dyDescent="0.15">
      <c r="A2" s="17" t="s">
        <v>48</v>
      </c>
      <c r="B2" s="17" t="s">
        <v>49</v>
      </c>
      <c r="C2" s="18" t="s">
        <v>50</v>
      </c>
      <c r="D2" s="19" t="s">
        <v>51</v>
      </c>
      <c r="E2" s="19" t="s">
        <v>52</v>
      </c>
      <c r="F2" s="20" t="s">
        <v>28</v>
      </c>
      <c r="G2" s="21" t="s">
        <v>53</v>
      </c>
      <c r="H2" s="22" t="s">
        <v>54</v>
      </c>
      <c r="I2" s="22" t="s">
        <v>55</v>
      </c>
      <c r="J2" s="23" t="s">
        <v>56</v>
      </c>
      <c r="K2" s="24" t="s">
        <v>53</v>
      </c>
      <c r="L2" s="25" t="s">
        <v>54</v>
      </c>
      <c r="M2" s="25" t="s">
        <v>57</v>
      </c>
      <c r="N2" s="26" t="s">
        <v>56</v>
      </c>
      <c r="O2" s="17" t="s">
        <v>151</v>
      </c>
      <c r="P2" s="17" t="s">
        <v>150</v>
      </c>
    </row>
    <row r="3" spans="1:16" x14ac:dyDescent="0.15">
      <c r="A3" t="s">
        <v>58</v>
      </c>
      <c r="B3" s="27">
        <v>41932</v>
      </c>
      <c r="C3" s="28">
        <v>10000000</v>
      </c>
      <c r="D3" s="29">
        <v>10000000</v>
      </c>
      <c r="E3" s="29">
        <v>0</v>
      </c>
      <c r="F3" s="30">
        <v>0</v>
      </c>
      <c r="G3" s="31">
        <v>8500000</v>
      </c>
      <c r="H3" s="32">
        <v>8500000</v>
      </c>
      <c r="I3" s="32">
        <v>0</v>
      </c>
      <c r="J3" s="33">
        <v>0</v>
      </c>
      <c r="K3" s="34">
        <v>1500000</v>
      </c>
      <c r="L3" s="35">
        <v>1500000</v>
      </c>
      <c r="M3" s="36">
        <v>0</v>
      </c>
      <c r="N3" s="37">
        <v>0</v>
      </c>
      <c r="O3" s="7">
        <f>G3+K3-C3</f>
        <v>0</v>
      </c>
      <c r="P3" s="7">
        <f>O3+C3</f>
        <v>10000000</v>
      </c>
    </row>
    <row r="4" spans="1:16" x14ac:dyDescent="0.15">
      <c r="A4" t="s">
        <v>127</v>
      </c>
      <c r="B4" s="27">
        <v>41933</v>
      </c>
      <c r="C4" s="28">
        <f>'1021'!O4+$O3</f>
        <v>10004226.359999999</v>
      </c>
      <c r="D4" s="29">
        <f>'1021'!N4</f>
        <v>6167512.0800000001</v>
      </c>
      <c r="E4" s="29">
        <f>'1021'!$H$4+'1021'!J4</f>
        <v>3836714.28</v>
      </c>
      <c r="F4" s="30">
        <f>'1021'!K4</f>
        <v>534.16000000000008</v>
      </c>
      <c r="G4" s="31">
        <f>'1021'!O2</f>
        <v>8491788.8099999987</v>
      </c>
      <c r="H4" s="32">
        <f>'1021'!N2</f>
        <v>5034778.53</v>
      </c>
      <c r="I4" s="32">
        <f>'1021'!H2+'1021'!J2</f>
        <v>3457010.28</v>
      </c>
      <c r="J4" s="33">
        <f>'1021'!K2</f>
        <v>431.71000000000015</v>
      </c>
      <c r="K4" s="34">
        <f>'1021'!O3</f>
        <v>1512437.5500000003</v>
      </c>
      <c r="L4" s="35">
        <f>'1021'!N3</f>
        <v>1132733.55</v>
      </c>
      <c r="M4" s="36">
        <f>'1021'!$H$3+'1021'!$J$3</f>
        <v>379704.00000000017</v>
      </c>
      <c r="N4" s="37">
        <f>'1021'!K3</f>
        <v>102.44999999999999</v>
      </c>
      <c r="O4" s="7">
        <f>G4+K4-C4</f>
        <v>0</v>
      </c>
      <c r="P4" s="7">
        <f t="shared" ref="P4:P13" si="0">O4+C4</f>
        <v>10004226.359999999</v>
      </c>
    </row>
    <row r="5" spans="1:16" x14ac:dyDescent="0.15">
      <c r="A5" t="s">
        <v>128</v>
      </c>
      <c r="B5" s="27">
        <v>41934</v>
      </c>
      <c r="C5" s="28">
        <f>'1022'!$O$4</f>
        <v>9998395.1199999992</v>
      </c>
      <c r="D5" s="29">
        <f>'1022'!$N$4</f>
        <v>2260856.0100000002</v>
      </c>
      <c r="E5" s="29">
        <f>'1022'!$H$4+'1022'!$I$4</f>
        <v>7743842.2466666671</v>
      </c>
      <c r="F5" s="30">
        <f>'1022'!$K$4</f>
        <v>1457.5099999999982</v>
      </c>
      <c r="G5" s="31">
        <f>'1022'!$O$2</f>
        <v>8466600.1699999999</v>
      </c>
      <c r="H5" s="32">
        <f>'1022'!$N$2</f>
        <v>1490522.2600000005</v>
      </c>
      <c r="I5" s="32">
        <f>'1022'!$H$2+'1022'!$J$2</f>
        <v>6976077.9100000001</v>
      </c>
      <c r="J5" s="33">
        <f>'1022'!$K$2</f>
        <v>1314.9099999999983</v>
      </c>
      <c r="K5" s="34">
        <f>'1022'!$O$3</f>
        <v>1531794.95</v>
      </c>
      <c r="L5" s="35">
        <f>'1022'!$N$3</f>
        <v>770333.75000000023</v>
      </c>
      <c r="M5" s="36">
        <f>'1022'!$H$3+'1022'!$J$3</f>
        <v>761461.19999999972</v>
      </c>
      <c r="N5" s="37">
        <f>'1022'!$K$3</f>
        <v>142.6</v>
      </c>
      <c r="O5" s="7">
        <f t="shared" ref="O5:O11" si="1">G5+K5-C5</f>
        <v>0</v>
      </c>
      <c r="P5" s="7">
        <f t="shared" si="0"/>
        <v>9998395.1199999992</v>
      </c>
    </row>
    <row r="6" spans="1:16" x14ac:dyDescent="0.15">
      <c r="A6" t="s">
        <v>129</v>
      </c>
      <c r="B6" s="27">
        <v>41935</v>
      </c>
      <c r="C6" s="28">
        <f>'1023'!$O$4</f>
        <v>10000438.749999998</v>
      </c>
      <c r="D6" s="29">
        <f>'1023'!$N$4</f>
        <v>2260709.8400000003</v>
      </c>
      <c r="E6" s="29">
        <f>'1023'!$H$4+'1023'!$I$4</f>
        <v>7737082.0802577846</v>
      </c>
      <c r="F6" s="30">
        <f>'1023'!$K$4</f>
        <v>125.44999999999995</v>
      </c>
      <c r="G6" s="31">
        <f>'1023'!$O$2</f>
        <v>8399643.7999999989</v>
      </c>
      <c r="H6" s="32">
        <f>'1023'!$N$2</f>
        <v>1490376.0900000015</v>
      </c>
      <c r="I6" s="32">
        <f>'1023'!$H$2+'1023'!$J$2</f>
        <v>6909267.709999999</v>
      </c>
      <c r="J6" s="33">
        <f>'1023'!$K$2</f>
        <v>125.44999999999995</v>
      </c>
      <c r="K6" s="34">
        <f>'1023'!$O$3</f>
        <v>1600794.95</v>
      </c>
      <c r="L6" s="35">
        <f>'1023'!$N$3</f>
        <v>770333.75000000023</v>
      </c>
      <c r="M6" s="36">
        <f>'1023'!$H$3+'1023'!$J$3</f>
        <v>830461.19999999972</v>
      </c>
      <c r="N6" s="37">
        <f>'1023'!$K$3</f>
        <v>0</v>
      </c>
      <c r="O6" s="7">
        <f t="shared" si="1"/>
        <v>0</v>
      </c>
      <c r="P6" s="7">
        <f t="shared" si="0"/>
        <v>10000438.749999998</v>
      </c>
    </row>
    <row r="7" spans="1:16" x14ac:dyDescent="0.15">
      <c r="A7" t="s">
        <v>130</v>
      </c>
      <c r="B7" s="27">
        <v>41936</v>
      </c>
      <c r="C7" s="28">
        <f>'1024'!$O$4</f>
        <v>10014506.369999999</v>
      </c>
      <c r="D7" s="29">
        <f>'1024'!$N$4</f>
        <v>2326835.279999997</v>
      </c>
      <c r="E7" s="29">
        <f>'1024'!$H$4+'1024'!$I$4</f>
        <v>7667181.1588038998</v>
      </c>
      <c r="F7" s="30">
        <f>'1024'!$K$4</f>
        <v>5430.0999999999976</v>
      </c>
      <c r="G7" s="31">
        <f>'1024'!$O$2</f>
        <v>8387673.1900000013</v>
      </c>
      <c r="H7" s="32">
        <f>'1024'!$N$2</f>
        <v>1494768.5799999996</v>
      </c>
      <c r="I7" s="32">
        <f>'1024'!$H$2+'1024'!$J$2</f>
        <v>6892904.6100000013</v>
      </c>
      <c r="J7" s="33">
        <f>'1024'!$K$2</f>
        <v>5188.3299999999972</v>
      </c>
      <c r="K7" s="34">
        <f>'1024'!$O$3</f>
        <v>1626833.1800000002</v>
      </c>
      <c r="L7" s="35">
        <f>'1024'!$N$3</f>
        <v>832066.69999999867</v>
      </c>
      <c r="M7" s="36">
        <f>'1024'!$H$3+'1024'!$J$3</f>
        <v>794766.48000000138</v>
      </c>
      <c r="N7" s="37">
        <f>'1024'!$K$3</f>
        <v>241.77</v>
      </c>
      <c r="O7" s="7">
        <f t="shared" si="1"/>
        <v>0</v>
      </c>
      <c r="P7" s="7">
        <f t="shared" si="0"/>
        <v>10014506.369999999</v>
      </c>
    </row>
    <row r="8" spans="1:16" x14ac:dyDescent="0.15">
      <c r="A8" t="s">
        <v>58</v>
      </c>
      <c r="B8" s="27">
        <v>41939</v>
      </c>
      <c r="C8" s="28">
        <f>'1027'!$O$4</f>
        <v>9995490.8599999994</v>
      </c>
      <c r="D8" s="29">
        <f>'1027'!$N$4</f>
        <v>2326835.2799999975</v>
      </c>
      <c r="E8" s="29">
        <f>'1027'!$H$4+'1027'!$I$4</f>
        <v>7687671.0900000017</v>
      </c>
      <c r="F8" s="30">
        <f>'1027'!$K$4</f>
        <v>0</v>
      </c>
      <c r="G8" s="31">
        <f>'1027'!$O$2</f>
        <v>8321997.6800000006</v>
      </c>
      <c r="H8" s="32">
        <f>'1027'!$N$2</f>
        <v>1494908.58</v>
      </c>
      <c r="I8" s="32">
        <f>'1027'!$H$2+'1027'!$J$2</f>
        <v>6827089.1000000006</v>
      </c>
      <c r="J8" s="33">
        <f>'1027'!$K$2</f>
        <v>0</v>
      </c>
      <c r="K8" s="34">
        <f>'1027'!$O$3</f>
        <v>1673633.1799999997</v>
      </c>
      <c r="L8" s="35">
        <f>'1027'!$N$3</f>
        <v>832066.69999999867</v>
      </c>
      <c r="M8" s="36">
        <f>'1027'!$H$3+'1027'!$J$3</f>
        <v>841566.48000000115</v>
      </c>
      <c r="N8" s="37">
        <f>'1027'!$K$3</f>
        <v>0</v>
      </c>
      <c r="O8" s="7">
        <f t="shared" si="1"/>
        <v>140</v>
      </c>
      <c r="P8" s="7">
        <f t="shared" si="0"/>
        <v>9995630.8599999994</v>
      </c>
    </row>
    <row r="9" spans="1:16" x14ac:dyDescent="0.15">
      <c r="A9" t="s">
        <v>127</v>
      </c>
      <c r="B9" s="27">
        <v>41940</v>
      </c>
      <c r="C9" s="28">
        <f>'1028'!$O$4</f>
        <v>10008344.239999996</v>
      </c>
      <c r="D9" s="29">
        <f>'1028'!$N$4</f>
        <v>2358106.2399999974</v>
      </c>
      <c r="E9" s="29">
        <f>'1028'!$H$4+'1028'!$I$4</f>
        <v>7651013.2426891783</v>
      </c>
      <c r="F9" s="30">
        <f>'1028'!$K$4</f>
        <v>8890.6600000000035</v>
      </c>
      <c r="G9" s="31">
        <f>'1028'!$O$2</f>
        <v>8364054.0100000007</v>
      </c>
      <c r="H9" s="32">
        <f>'1028'!$N$2</f>
        <v>1437596.0100000012</v>
      </c>
      <c r="I9" s="32">
        <f>'1028'!$H$2+'1028'!$J$2</f>
        <v>6926458</v>
      </c>
      <c r="J9" s="33">
        <f>'1028'!$K$2</f>
        <v>8487.7100000000028</v>
      </c>
      <c r="K9" s="34">
        <f>'1028'!$O$3</f>
        <v>1644430.2299999972</v>
      </c>
      <c r="L9" s="35">
        <f>'1028'!$N$3</f>
        <v>920650.22999999824</v>
      </c>
      <c r="M9" s="36">
        <f>'1028'!$H$3+'1028'!$J$3</f>
        <v>723779.99999999919</v>
      </c>
      <c r="N9" s="37">
        <f>'1028'!$K$3</f>
        <v>402.95</v>
      </c>
      <c r="O9" s="7">
        <f t="shared" si="1"/>
        <v>140.00000000186265</v>
      </c>
      <c r="P9" s="7">
        <f t="shared" si="0"/>
        <v>10008484.239999998</v>
      </c>
    </row>
    <row r="10" spans="1:16" x14ac:dyDescent="0.15">
      <c r="A10" t="s">
        <v>128</v>
      </c>
      <c r="B10" s="27">
        <v>41941</v>
      </c>
      <c r="C10" s="28">
        <f>'1029'!$O$4</f>
        <v>10018335.859999996</v>
      </c>
      <c r="D10" s="29">
        <f>'1029'!$N$4</f>
        <v>6061972.0799999963</v>
      </c>
      <c r="E10" s="29">
        <f>'1029'!$H$4+'1029'!$I$4</f>
        <v>3949808.1299999994</v>
      </c>
      <c r="F10" s="30">
        <f>'1029'!$K$4</f>
        <v>8450.02</v>
      </c>
      <c r="G10" s="31">
        <f>'1029'!$O$2</f>
        <v>8359952.2100000009</v>
      </c>
      <c r="H10" s="32">
        <f>'1029'!$N$2</f>
        <v>4793678.4300000016</v>
      </c>
      <c r="I10" s="32">
        <f>'1029'!$H$2+'1029'!$J$2</f>
        <v>3566273.7800000003</v>
      </c>
      <c r="J10" s="33">
        <f>'1029'!$K$2</f>
        <v>8143.44</v>
      </c>
      <c r="K10" s="34">
        <f>'1029'!$O$3</f>
        <v>1658523.649999998</v>
      </c>
      <c r="L10" s="35">
        <f>'1029'!$N$3</f>
        <v>1268433.649999998</v>
      </c>
      <c r="M10" s="36">
        <f>'1029'!$H$3+'1029'!$J$3</f>
        <v>390090</v>
      </c>
      <c r="N10" s="37">
        <f>'1029'!$K$3</f>
        <v>306.58000000000004</v>
      </c>
      <c r="O10" s="7">
        <f t="shared" si="1"/>
        <v>140.00000000372529</v>
      </c>
      <c r="P10" s="7">
        <f t="shared" si="0"/>
        <v>10018475.859999999</v>
      </c>
    </row>
    <row r="11" spans="1:16" x14ac:dyDescent="0.15">
      <c r="A11" t="s">
        <v>129</v>
      </c>
      <c r="B11" s="27">
        <v>41942</v>
      </c>
      <c r="C11" s="28">
        <f>'1030'!$O$4</f>
        <v>10017975</v>
      </c>
      <c r="D11" s="29">
        <f>'1030'!$N$4</f>
        <v>9903484</v>
      </c>
      <c r="E11" s="29">
        <f>'1030'!$H$4+'1030'!$I$4</f>
        <v>122192.239982</v>
      </c>
      <c r="F11" s="30">
        <f>'1030'!$K$4</f>
        <v>3986.4</v>
      </c>
      <c r="G11" s="31">
        <f>'1030'!$O$2</f>
        <v>8358794</v>
      </c>
      <c r="H11" s="32">
        <f>'1030'!$N$2</f>
        <v>8244303</v>
      </c>
      <c r="I11" s="32">
        <f>'1030'!$H$2+'1030'!$J$2</f>
        <v>114490.9999825</v>
      </c>
      <c r="J11" s="33">
        <f>'1030'!$K$2</f>
        <v>3883.57</v>
      </c>
      <c r="K11" s="34">
        <f>'1030'!$O$3</f>
        <v>1659321</v>
      </c>
      <c r="L11" s="35">
        <f>'1030'!$N$3</f>
        <v>1659321</v>
      </c>
      <c r="M11" s="36">
        <f>'1030'!$H$3+'1030'!$J$3</f>
        <v>0</v>
      </c>
      <c r="N11" s="37">
        <f>'1030'!$K$3</f>
        <v>102.83</v>
      </c>
      <c r="O11" s="7">
        <f t="shared" si="1"/>
        <v>140</v>
      </c>
      <c r="P11" s="7">
        <f t="shared" si="0"/>
        <v>10018115</v>
      </c>
    </row>
    <row r="12" spans="1:16" x14ac:dyDescent="0.15">
      <c r="A12" t="s">
        <v>130</v>
      </c>
      <c r="B12" s="27">
        <v>41943</v>
      </c>
      <c r="C12" s="28">
        <f>'1031'!$O$4</f>
        <v>9998373.6895824689</v>
      </c>
      <c r="D12" s="29">
        <f>'1031'!$N$4</f>
        <v>1378051.7495824685</v>
      </c>
      <c r="E12" s="29">
        <f>'1031'!$H$4+'1031'!$I$4</f>
        <v>8638739.6600000001</v>
      </c>
      <c r="F12" s="30">
        <f>'1031'!$K$4</f>
        <v>1183.5199999999993</v>
      </c>
      <c r="G12" s="31">
        <f>'1031'!$O$2</f>
        <v>8477540.969582472</v>
      </c>
      <c r="H12" s="32">
        <f>'1031'!$N$2</f>
        <v>537943.02958247135</v>
      </c>
      <c r="I12" s="32">
        <f>'1031'!$H$2+'1031'!$J$2</f>
        <v>7939597.9399999995</v>
      </c>
      <c r="J12" s="33">
        <f>'1031'!$K$2</f>
        <v>955.06999999999925</v>
      </c>
      <c r="K12" s="34">
        <f>'1031'!$O$3</f>
        <v>1520972.7199999993</v>
      </c>
      <c r="L12" s="35">
        <f>'1031'!$N$3</f>
        <v>840248.71999999974</v>
      </c>
      <c r="M12" s="36">
        <f>'1031'!$H$3+'1031'!$J$3</f>
        <v>680723.99999999953</v>
      </c>
      <c r="N12" s="37">
        <f>'1031'!$K$3</f>
        <v>228.45</v>
      </c>
      <c r="O12" s="7">
        <v>184</v>
      </c>
      <c r="P12" s="7">
        <f t="shared" si="0"/>
        <v>9998557.6895824689</v>
      </c>
    </row>
    <row r="13" spans="1:16" x14ac:dyDescent="0.15">
      <c r="A13" t="s">
        <v>58</v>
      </c>
      <c r="B13" s="27">
        <v>41946</v>
      </c>
      <c r="C13" s="28">
        <f>'1103'!$O$4</f>
        <v>10025967.299582466</v>
      </c>
      <c r="D13" s="29">
        <f>'1103'!$N$4</f>
        <v>9912003.2995824665</v>
      </c>
      <c r="E13" s="29">
        <f>'1103'!$H$4+'1103'!$I$4</f>
        <v>95300.279999999664</v>
      </c>
      <c r="F13" s="30">
        <f>'1103'!$K$4</f>
        <v>9052.6199999999935</v>
      </c>
      <c r="G13" s="31">
        <f>'1103'!$O$2</f>
        <v>8494446.5795824714</v>
      </c>
      <c r="H13" s="32">
        <f>'1103'!$N$2</f>
        <v>8380482.5795824714</v>
      </c>
      <c r="I13" s="32">
        <f>'1103'!$H$2+'1103'!$J$2</f>
        <v>113964</v>
      </c>
      <c r="J13" s="33">
        <f>'1103'!$K$2</f>
        <v>8820.6199999999935</v>
      </c>
      <c r="K13" s="34">
        <f>'1103'!$O$3</f>
        <v>1531660.7199999983</v>
      </c>
      <c r="L13" s="35">
        <f>'1103'!$N$3</f>
        <v>1531660.7199999983</v>
      </c>
      <c r="M13" s="36">
        <f>'1103'!$H$3+'1103'!$J$3</f>
        <v>0</v>
      </c>
      <c r="N13" s="37">
        <f>'1103'!$K$3</f>
        <v>232.00000000000003</v>
      </c>
      <c r="O13" s="7">
        <v>901</v>
      </c>
      <c r="P13" s="7">
        <f t="shared" si="0"/>
        <v>10026868.299582466</v>
      </c>
    </row>
    <row r="14" spans="1:16" x14ac:dyDescent="0.15">
      <c r="A14" t="s">
        <v>127</v>
      </c>
      <c r="B14" s="27">
        <v>41947</v>
      </c>
    </row>
    <row r="15" spans="1:16" x14ac:dyDescent="0.15">
      <c r="A15" t="s">
        <v>128</v>
      </c>
      <c r="B15" s="27">
        <v>41948</v>
      </c>
    </row>
    <row r="16" spans="1:16" x14ac:dyDescent="0.15">
      <c r="A16" t="s">
        <v>129</v>
      </c>
      <c r="B16" s="27">
        <v>41949</v>
      </c>
    </row>
    <row r="17" spans="1:2" x14ac:dyDescent="0.15">
      <c r="A17" t="s">
        <v>130</v>
      </c>
      <c r="B17" s="27">
        <v>41950</v>
      </c>
    </row>
    <row r="18" spans="1:2" x14ac:dyDescent="0.15">
      <c r="A18" t="s">
        <v>58</v>
      </c>
      <c r="B18" s="27">
        <v>41953</v>
      </c>
    </row>
    <row r="19" spans="1:2" x14ac:dyDescent="0.15">
      <c r="A19" t="s">
        <v>127</v>
      </c>
      <c r="B19" s="27">
        <v>41954</v>
      </c>
    </row>
    <row r="20" spans="1:2" x14ac:dyDescent="0.15">
      <c r="A20" t="s">
        <v>128</v>
      </c>
      <c r="B20" s="27">
        <v>41955</v>
      </c>
    </row>
    <row r="21" spans="1:2" x14ac:dyDescent="0.15">
      <c r="A21" t="s">
        <v>129</v>
      </c>
      <c r="B21" s="27">
        <v>41956</v>
      </c>
    </row>
    <row r="22" spans="1:2" x14ac:dyDescent="0.15">
      <c r="A22" t="s">
        <v>130</v>
      </c>
      <c r="B22" s="27">
        <v>41957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F4" sqref="F4"/>
    </sheetView>
  </sheetViews>
  <sheetFormatPr defaultRowHeight="13.5" x14ac:dyDescent="0.15"/>
  <cols>
    <col min="9" max="9" width="13.875" bestFit="1" customWidth="1"/>
    <col min="12" max="12" width="13.875" bestFit="1" customWidth="1"/>
    <col min="13" max="13" width="13" bestFit="1" customWidth="1"/>
    <col min="14" max="14" width="10.5" bestFit="1" customWidth="1"/>
    <col min="15" max="16" width="11.625" bestFit="1" customWidth="1"/>
    <col min="17" max="17" width="15" bestFit="1" customWidth="1"/>
  </cols>
  <sheetData>
    <row r="1" spans="1:18" x14ac:dyDescent="0.15"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</row>
    <row r="2" spans="1:18" x14ac:dyDescent="0.15">
      <c r="A2" t="s">
        <v>14</v>
      </c>
      <c r="B2">
        <v>0</v>
      </c>
      <c r="C2">
        <v>0</v>
      </c>
      <c r="D2">
        <v>3454508</v>
      </c>
      <c r="E2">
        <v>3883.57</v>
      </c>
      <c r="F2">
        <v>-9073.2099999999991</v>
      </c>
      <c r="G2">
        <v>3577415</v>
      </c>
      <c r="H2">
        <v>113833.19839999999</v>
      </c>
      <c r="I2">
        <v>-11140.958420000001</v>
      </c>
      <c r="J2">
        <v>657.80158249999999</v>
      </c>
      <c r="K2">
        <v>3883.57</v>
      </c>
      <c r="L2" s="3">
        <v>4793678</v>
      </c>
      <c r="M2" s="7">
        <v>8359952</v>
      </c>
      <c r="N2" s="7">
        <v>8244303</v>
      </c>
      <c r="O2" s="7">
        <v>8358794</v>
      </c>
      <c r="Q2" s="3">
        <v>8358794.1900000004</v>
      </c>
      <c r="R2">
        <v>-0.43</v>
      </c>
    </row>
    <row r="3" spans="1:18" x14ac:dyDescent="0.15">
      <c r="A3" t="s">
        <v>118</v>
      </c>
      <c r="B3">
        <v>0</v>
      </c>
      <c r="C3">
        <v>0</v>
      </c>
      <c r="D3">
        <v>3685500</v>
      </c>
      <c r="E3">
        <v>102.83</v>
      </c>
      <c r="F3">
        <v>20400</v>
      </c>
      <c r="G3">
        <v>370590</v>
      </c>
      <c r="H3">
        <v>0</v>
      </c>
      <c r="I3">
        <v>19500</v>
      </c>
      <c r="J3">
        <v>0</v>
      </c>
      <c r="K3">
        <v>102.83</v>
      </c>
      <c r="L3" s="7">
        <v>1268434</v>
      </c>
      <c r="M3" s="7">
        <v>1658524</v>
      </c>
      <c r="N3" s="7">
        <v>1659321</v>
      </c>
      <c r="O3" s="7">
        <v>1659321</v>
      </c>
      <c r="Q3" s="3">
        <v>1659320.82</v>
      </c>
      <c r="R3">
        <v>0</v>
      </c>
    </row>
    <row r="4" spans="1:18" x14ac:dyDescent="0.15">
      <c r="A4" t="s">
        <v>119</v>
      </c>
      <c r="B4">
        <v>0</v>
      </c>
      <c r="C4">
        <v>0</v>
      </c>
      <c r="D4">
        <v>7140008</v>
      </c>
      <c r="E4">
        <v>3986.4</v>
      </c>
      <c r="F4">
        <v>11326.79</v>
      </c>
      <c r="G4">
        <v>3948005</v>
      </c>
      <c r="H4">
        <v>113833.19839999999</v>
      </c>
      <c r="I4">
        <v>8359.0415819999998</v>
      </c>
      <c r="J4">
        <v>657.80158249999999</v>
      </c>
      <c r="K4">
        <v>3986.4</v>
      </c>
      <c r="L4" s="7">
        <v>6061972</v>
      </c>
      <c r="M4" s="7">
        <v>10018336</v>
      </c>
      <c r="N4" s="7">
        <v>9903484</v>
      </c>
      <c r="O4" s="7">
        <v>10017975</v>
      </c>
      <c r="Q4" s="3">
        <v>10018115.01</v>
      </c>
    </row>
    <row r="6" spans="1:18" x14ac:dyDescent="0.15">
      <c r="O6" t="s">
        <v>120</v>
      </c>
      <c r="Q6" t="s">
        <v>121</v>
      </c>
    </row>
    <row r="9" spans="1:18" x14ac:dyDescent="0.15">
      <c r="I9" s="7">
        <v>8359952</v>
      </c>
    </row>
    <row r="10" spans="1:18" x14ac:dyDescent="0.15">
      <c r="B10">
        <v>3577414.74</v>
      </c>
      <c r="I10" s="7">
        <v>1658524</v>
      </c>
    </row>
    <row r="11" spans="1:18" x14ac:dyDescent="0.15">
      <c r="B11">
        <v>370590</v>
      </c>
      <c r="I11" s="7">
        <v>10018336</v>
      </c>
    </row>
    <row r="12" spans="1:18" x14ac:dyDescent="0.15">
      <c r="B12">
        <v>3948004.74</v>
      </c>
      <c r="M12" t="s">
        <v>122</v>
      </c>
      <c r="N12" t="s">
        <v>123</v>
      </c>
      <c r="O12" t="s">
        <v>124</v>
      </c>
      <c r="P12" t="s">
        <v>125</v>
      </c>
      <c r="Q12" t="s">
        <v>126</v>
      </c>
    </row>
    <row r="13" spans="1:18" x14ac:dyDescent="0.15">
      <c r="M13" t="s">
        <v>118</v>
      </c>
      <c r="N13">
        <v>1268434</v>
      </c>
      <c r="O13">
        <v>1658524</v>
      </c>
      <c r="P13">
        <v>1659321.17</v>
      </c>
      <c r="Q13">
        <v>1659321.17</v>
      </c>
    </row>
    <row r="14" spans="1:18" x14ac:dyDescent="0.15">
      <c r="M14" t="s">
        <v>14</v>
      </c>
      <c r="N14">
        <v>4793678</v>
      </c>
      <c r="O14">
        <v>8359952</v>
      </c>
      <c r="P14">
        <v>8244302.7599999998</v>
      </c>
      <c r="Q14">
        <v>8358793.7599999998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F20" sqref="F20"/>
    </sheetView>
  </sheetViews>
  <sheetFormatPr defaultRowHeight="13.5" x14ac:dyDescent="0.15"/>
  <cols>
    <col min="2" max="2" width="11.25" customWidth="1"/>
    <col min="8" max="11" width="13.875" bestFit="1" customWidth="1"/>
    <col min="12" max="12" width="14.375" customWidth="1"/>
    <col min="13" max="15" width="17.875" bestFit="1" customWidth="1"/>
    <col min="16" max="16" width="13.875" bestFit="1" customWidth="1"/>
    <col min="17" max="17" width="14.875" customWidth="1"/>
    <col min="18" max="18" width="12.75" bestFit="1" customWidth="1"/>
    <col min="19" max="19" width="24.875" customWidth="1"/>
  </cols>
  <sheetData>
    <row r="1" spans="1:20" x14ac:dyDescent="0.15">
      <c r="B1" t="s">
        <v>0</v>
      </c>
      <c r="C1" t="s">
        <v>1</v>
      </c>
      <c r="D1" t="s">
        <v>2</v>
      </c>
      <c r="E1" t="s">
        <v>3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</row>
    <row r="2" spans="1:20" x14ac:dyDescent="0.15">
      <c r="A2" t="s">
        <v>14</v>
      </c>
      <c r="B2">
        <f>[3]计算汇总!G303</f>
        <v>3493740.54</v>
      </c>
      <c r="C2">
        <f>[3]计算汇总!I303</f>
        <v>433.3399999999998</v>
      </c>
      <c r="D2">
        <f>[3]计算汇总!K303</f>
        <v>6857966.3999999994</v>
      </c>
      <c r="E2">
        <f>[3]计算汇总!M303</f>
        <v>7710.0999999999985</v>
      </c>
      <c r="F2">
        <f>[3]计算汇总!N303</f>
        <v>20585.990000000027</v>
      </c>
      <c r="G2">
        <v>6921054.6084175287</v>
      </c>
      <c r="H2">
        <f>[3]计算汇总!P303</f>
        <v>3577414.738417529</v>
      </c>
      <c r="I2">
        <v>5403.3915824710721</v>
      </c>
      <c r="J2">
        <f>[3]计算汇总!S303</f>
        <v>-11140.958417528944</v>
      </c>
      <c r="K2">
        <f>[3]计算汇总!T303</f>
        <v>8143.44</v>
      </c>
      <c r="L2" s="3">
        <v>1437596.0100000012</v>
      </c>
      <c r="M2" s="1">
        <v>8364054.0100000007</v>
      </c>
      <c r="N2" s="1">
        <f>L2-H2-K2+G2+F2</f>
        <v>4793678.4300000016</v>
      </c>
      <c r="O2" s="2">
        <f>N2+H2+J2</f>
        <v>8359952.2100000009</v>
      </c>
      <c r="Q2" s="3">
        <v>8359952.21</v>
      </c>
      <c r="R2" s="5">
        <f>O2-Q2</f>
        <v>0</v>
      </c>
      <c r="S2" s="6"/>
    </row>
    <row r="3" spans="1:20" x14ac:dyDescent="0.15">
      <c r="A3" t="s">
        <v>93</v>
      </c>
      <c r="B3">
        <f>[3]计算汇总!G304</f>
        <v>370590</v>
      </c>
      <c r="C3">
        <f>[3]计算汇总!I304</f>
        <v>103.4</v>
      </c>
      <c r="D3">
        <f>[3]计算汇总!K304</f>
        <v>611880.00000000023</v>
      </c>
      <c r="E3">
        <f>[3]计算汇总!M304</f>
        <v>203.18</v>
      </c>
      <c r="F3">
        <f>[3]计算汇总!N304</f>
        <v>-8700.0000000002728</v>
      </c>
      <c r="G3">
        <v>727380</v>
      </c>
      <c r="H3">
        <f>[3]计算汇总!P304</f>
        <v>370590</v>
      </c>
      <c r="I3">
        <v>-3600.0000000008185</v>
      </c>
      <c r="J3">
        <f>[3]计算汇总!S304</f>
        <v>19500</v>
      </c>
      <c r="K3">
        <f>[3]计算汇总!T304</f>
        <v>306.58000000000004</v>
      </c>
      <c r="L3" s="1">
        <v>920650.22999999824</v>
      </c>
      <c r="M3" s="1">
        <v>1644430.2299999972</v>
      </c>
      <c r="N3" s="1">
        <f t="shared" ref="N3:N4" si="0">L3-H3-K3+G3+F3</f>
        <v>1268433.649999998</v>
      </c>
      <c r="O3" s="2">
        <f>N3+H3+J3</f>
        <v>1658523.649999998</v>
      </c>
      <c r="Q3" s="3">
        <v>1666323.65</v>
      </c>
      <c r="R3" s="2">
        <f>O3-Q3</f>
        <v>-7800.0000000018626</v>
      </c>
      <c r="S3" s="2"/>
    </row>
    <row r="4" spans="1:20" x14ac:dyDescent="0.15">
      <c r="A4" t="s">
        <v>94</v>
      </c>
      <c r="B4">
        <f>[3]计算汇总!G305</f>
        <v>3864330.54</v>
      </c>
      <c r="C4">
        <f>[3]计算汇总!I305</f>
        <v>536.73999999999978</v>
      </c>
      <c r="D4">
        <f>[3]计算汇总!K305</f>
        <v>7469846.3999999994</v>
      </c>
      <c r="E4">
        <f>[3]计算汇总!M305</f>
        <v>7913.2799999999988</v>
      </c>
      <c r="F4">
        <f>[3]计算汇总!N305</f>
        <v>11885.989999999754</v>
      </c>
      <c r="G4">
        <v>7648434.6084175287</v>
      </c>
      <c r="H4">
        <f>[3]计算汇总!P305</f>
        <v>3948004.738417529</v>
      </c>
      <c r="I4">
        <v>1803.3915824702535</v>
      </c>
      <c r="J4">
        <f>[3]计算汇总!S305</f>
        <v>8359.0415824710562</v>
      </c>
      <c r="K4">
        <f>[3]计算汇总!T305</f>
        <v>8450.02</v>
      </c>
      <c r="L4" s="1">
        <v>2358106.2399999974</v>
      </c>
      <c r="M4" s="1">
        <v>10008344.239999996</v>
      </c>
      <c r="N4" s="1">
        <f t="shared" si="0"/>
        <v>6061972.0799999963</v>
      </c>
      <c r="O4" s="2">
        <f t="shared" ref="O4" si="1">N4+H4+J4</f>
        <v>10018335.859999996</v>
      </c>
      <c r="Q4" s="4">
        <v>10026275.859999999</v>
      </c>
    </row>
    <row r="5" spans="1:20" x14ac:dyDescent="0.15">
      <c r="S5" s="6"/>
    </row>
    <row r="6" spans="1:20" x14ac:dyDescent="0.15">
      <c r="O6" t="s">
        <v>95</v>
      </c>
      <c r="Q6" t="s">
        <v>96</v>
      </c>
    </row>
    <row r="8" spans="1:20" x14ac:dyDescent="0.15">
      <c r="O8" s="2"/>
    </row>
    <row r="10" spans="1:20" x14ac:dyDescent="0.15">
      <c r="M10" s="7"/>
      <c r="N10" s="7"/>
      <c r="O10" s="7"/>
    </row>
    <row r="11" spans="1:20" x14ac:dyDescent="0.15">
      <c r="M11" s="7"/>
      <c r="N11" s="7"/>
      <c r="O11" s="7"/>
    </row>
    <row r="12" spans="1:20" x14ac:dyDescent="0.15">
      <c r="M12" s="7" t="s">
        <v>97</v>
      </c>
      <c r="N12" t="s">
        <v>98</v>
      </c>
      <c r="O12" t="s">
        <v>99</v>
      </c>
      <c r="P12" t="s">
        <v>100</v>
      </c>
      <c r="Q12" t="s">
        <v>101</v>
      </c>
    </row>
    <row r="13" spans="1:20" x14ac:dyDescent="0.15">
      <c r="M13" s="7" t="s">
        <v>102</v>
      </c>
      <c r="N13" s="45">
        <f>L3</f>
        <v>920650.22999999824</v>
      </c>
      <c r="O13" s="45">
        <f>M3</f>
        <v>1644430.2299999972</v>
      </c>
      <c r="P13" s="45">
        <f>N3</f>
        <v>1268433.649999998</v>
      </c>
      <c r="Q13" s="45">
        <f>O3</f>
        <v>1658523.649999998</v>
      </c>
      <c r="R13" s="7"/>
      <c r="S13" s="7"/>
      <c r="T13" s="7"/>
    </row>
    <row r="14" spans="1:20" x14ac:dyDescent="0.15">
      <c r="M14" s="7" t="s">
        <v>103</v>
      </c>
      <c r="N14" s="45">
        <f>L2</f>
        <v>1437596.0100000012</v>
      </c>
      <c r="O14" s="45">
        <f>M2</f>
        <v>8364054.0100000007</v>
      </c>
      <c r="P14" s="45">
        <f>N2</f>
        <v>4793678.4300000016</v>
      </c>
      <c r="Q14" s="45">
        <f>O2</f>
        <v>8359952.2100000009</v>
      </c>
    </row>
    <row r="16" spans="1:20" x14ac:dyDescent="0.15">
      <c r="M16" s="7"/>
      <c r="N16" s="7"/>
      <c r="O16" s="7"/>
    </row>
    <row r="18" spans="15:15" x14ac:dyDescent="0.15">
      <c r="O18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F20" sqref="F20"/>
    </sheetView>
  </sheetViews>
  <sheetFormatPr defaultRowHeight="13.5" x14ac:dyDescent="0.15"/>
  <cols>
    <col min="2" max="2" width="11.25" customWidth="1"/>
    <col min="8" max="11" width="13.875" bestFit="1" customWidth="1"/>
    <col min="12" max="12" width="14.375" customWidth="1"/>
    <col min="13" max="13" width="17.875" bestFit="1" customWidth="1"/>
    <col min="14" max="15" width="17.75" bestFit="1" customWidth="1"/>
    <col min="17" max="17" width="14.875" customWidth="1"/>
    <col min="18" max="18" width="12.75" bestFit="1" customWidth="1"/>
    <col min="19" max="19" width="24.875" customWidth="1"/>
  </cols>
  <sheetData>
    <row r="1" spans="1:2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</row>
    <row r="2" spans="1:20" x14ac:dyDescent="0.15">
      <c r="A2" t="s">
        <v>14</v>
      </c>
      <c r="B2">
        <f>[4]计算汇总!G303</f>
        <v>6837380.4100000001</v>
      </c>
      <c r="C2">
        <f>[4]计算汇总!I303</f>
        <v>850.21999999999991</v>
      </c>
      <c r="D2">
        <f>[4]计算汇总!K303</f>
        <v>6788555.5499999998</v>
      </c>
      <c r="E2">
        <f>[4]计算汇总!M303</f>
        <v>7637.4899999999952</v>
      </c>
      <c r="F2">
        <f>[4]计算汇总!N303</f>
        <v>-67977.517310822863</v>
      </c>
      <c r="G2">
        <v>6940207.2657283526</v>
      </c>
      <c r="H2">
        <f>[4]计算汇总!P303</f>
        <v>6921054.6084175287</v>
      </c>
      <c r="I2">
        <v>-113118.16572835171</v>
      </c>
      <c r="J2">
        <f>[4]计算汇总!S303</f>
        <v>5403.3915824710721</v>
      </c>
      <c r="K2">
        <f>[4]计算汇总!T303</f>
        <v>8487.7100000000028</v>
      </c>
      <c r="L2" s="3">
        <v>1494908.58</v>
      </c>
      <c r="M2" s="1">
        <v>8321997.6800000006</v>
      </c>
      <c r="N2" s="1">
        <f>L2-H2-K2+G2+F2</f>
        <v>1437596.0100000012</v>
      </c>
      <c r="O2" s="2">
        <f>N2+H2+J2</f>
        <v>8364054.0100000007</v>
      </c>
      <c r="Q2" s="3">
        <v>8364054.0099999998</v>
      </c>
      <c r="R2" s="5">
        <f>O2-Q2</f>
        <v>0</v>
      </c>
      <c r="S2" s="6"/>
    </row>
    <row r="3" spans="1:20" x14ac:dyDescent="0.15">
      <c r="A3" t="s">
        <v>15</v>
      </c>
      <c r="B3">
        <f>[4]计算汇总!G304</f>
        <v>727380</v>
      </c>
      <c r="C3">
        <f>[4]计算汇总!I304</f>
        <v>202.95</v>
      </c>
      <c r="D3">
        <f>[4]计算汇总!K304</f>
        <v>621780.00000000186</v>
      </c>
      <c r="E3">
        <f>[4]计算汇总!M304</f>
        <v>200</v>
      </c>
      <c r="F3">
        <f>[4]计算汇总!N304</f>
        <v>90496.799999999435</v>
      </c>
      <c r="G3">
        <v>725869.68</v>
      </c>
      <c r="H3">
        <f>[4]计算汇总!P304</f>
        <v>727380</v>
      </c>
      <c r="I3">
        <v>115696.80000000108</v>
      </c>
      <c r="J3">
        <f>[4]计算汇总!S304</f>
        <v>-3600.0000000008185</v>
      </c>
      <c r="K3">
        <f>[4]计算汇总!T304</f>
        <v>402.95</v>
      </c>
      <c r="L3" s="1">
        <v>832066.69999999867</v>
      </c>
      <c r="M3" s="1">
        <v>1673633.1799999997</v>
      </c>
      <c r="N3" s="1">
        <f t="shared" ref="N3:N4" si="0">L3-H3-K3+G3+F3</f>
        <v>920650.22999999824</v>
      </c>
      <c r="O3" s="2">
        <f t="shared" ref="O3:O4" si="1">N3+H3+J3</f>
        <v>1644430.2299999972</v>
      </c>
      <c r="Q3" s="3">
        <v>1662430.23</v>
      </c>
      <c r="R3" s="2">
        <f>O3-Q3</f>
        <v>-18000.000000002794</v>
      </c>
      <c r="S3" s="2"/>
    </row>
    <row r="4" spans="1:20" x14ac:dyDescent="0.15">
      <c r="A4" t="s">
        <v>67</v>
      </c>
      <c r="B4">
        <f>[4]计算汇总!G305</f>
        <v>7564760.4100000001</v>
      </c>
      <c r="C4">
        <f>[4]计算汇总!I305</f>
        <v>1053.1699999999998</v>
      </c>
      <c r="D4">
        <f>[4]计算汇总!K305</f>
        <v>7410335.5500000017</v>
      </c>
      <c r="E4">
        <f>[4]计算汇总!M305</f>
        <v>7837.4899999999952</v>
      </c>
      <c r="F4">
        <f>[4]计算汇总!N305</f>
        <v>22519.282689176573</v>
      </c>
      <c r="G4">
        <v>7666076.9457283523</v>
      </c>
      <c r="H4">
        <f>[4]计算汇总!P305</f>
        <v>7648434.6084175287</v>
      </c>
      <c r="I4">
        <v>2578.6342716493673</v>
      </c>
      <c r="J4">
        <f>[4]计算汇总!S305</f>
        <v>1803.3915824702535</v>
      </c>
      <c r="K4">
        <f>[4]计算汇总!T305</f>
        <v>8890.6600000000035</v>
      </c>
      <c r="L4" s="1">
        <v>2326835.2799999975</v>
      </c>
      <c r="M4" s="1">
        <v>9995490.8599999994</v>
      </c>
      <c r="N4" s="1">
        <f t="shared" si="0"/>
        <v>2358106.2399999974</v>
      </c>
      <c r="O4" s="2">
        <f t="shared" si="1"/>
        <v>10008344.239999996</v>
      </c>
      <c r="Q4" s="4">
        <v>10026484.24</v>
      </c>
    </row>
    <row r="5" spans="1:20" x14ac:dyDescent="0.15">
      <c r="S5" s="6"/>
    </row>
    <row r="6" spans="1:20" x14ac:dyDescent="0.15">
      <c r="O6" t="s">
        <v>68</v>
      </c>
      <c r="Q6" t="s">
        <v>69</v>
      </c>
    </row>
    <row r="8" spans="1:20" x14ac:dyDescent="0.15">
      <c r="O8" s="2"/>
    </row>
    <row r="9" spans="1:20" x14ac:dyDescent="0.15">
      <c r="L9" t="s">
        <v>70</v>
      </c>
      <c r="M9" t="s">
        <v>71</v>
      </c>
      <c r="N9" t="s">
        <v>72</v>
      </c>
      <c r="O9" t="s">
        <v>73</v>
      </c>
    </row>
    <row r="10" spans="1:20" x14ac:dyDescent="0.15">
      <c r="L10" t="s">
        <v>74</v>
      </c>
      <c r="M10" s="7">
        <v>46603448865</v>
      </c>
      <c r="N10" s="7">
        <v>45600000000</v>
      </c>
      <c r="O10" s="7">
        <v>1003448865</v>
      </c>
    </row>
    <row r="11" spans="1:20" x14ac:dyDescent="0.15">
      <c r="L11" t="s">
        <v>75</v>
      </c>
      <c r="M11" s="7">
        <v>46603448865</v>
      </c>
      <c r="N11" s="7">
        <v>45600000000</v>
      </c>
      <c r="O11" s="7">
        <v>1003448865</v>
      </c>
    </row>
    <row r="12" spans="1:20" x14ac:dyDescent="0.15">
      <c r="L12" t="s">
        <v>76</v>
      </c>
      <c r="M12" s="7">
        <v>7658141</v>
      </c>
      <c r="N12" s="7">
        <v>6940361</v>
      </c>
      <c r="O12" s="7">
        <v>717780</v>
      </c>
    </row>
    <row r="13" spans="1:20" x14ac:dyDescent="0.15">
      <c r="L13" t="s">
        <v>77</v>
      </c>
      <c r="M13" s="7">
        <v>46611107006</v>
      </c>
      <c r="N13" s="7">
        <v>45606940361</v>
      </c>
      <c r="O13" s="7">
        <v>1004166645</v>
      </c>
      <c r="R13" s="7"/>
      <c r="S13" s="7"/>
      <c r="T13" s="7"/>
    </row>
    <row r="14" spans="1:20" x14ac:dyDescent="0.15">
      <c r="L14" t="s">
        <v>78</v>
      </c>
      <c r="M14" s="7">
        <v>46611099103</v>
      </c>
      <c r="N14" s="7">
        <v>45606926458</v>
      </c>
      <c r="O14" s="7">
        <v>1004172645</v>
      </c>
    </row>
    <row r="15" spans="1:20" x14ac:dyDescent="0.15">
      <c r="L15" t="s">
        <v>79</v>
      </c>
      <c r="M15">
        <v>0</v>
      </c>
      <c r="N15">
        <v>0</v>
      </c>
      <c r="O15">
        <v>0</v>
      </c>
    </row>
    <row r="16" spans="1:20" x14ac:dyDescent="0.15">
      <c r="L16" t="s">
        <v>80</v>
      </c>
      <c r="M16" s="7">
        <v>9707</v>
      </c>
      <c r="N16" s="7">
        <v>19307</v>
      </c>
      <c r="O16" s="7">
        <v>-9600</v>
      </c>
    </row>
    <row r="17" spans="12:15" x14ac:dyDescent="0.15">
      <c r="L17" t="s">
        <v>81</v>
      </c>
      <c r="M17">
        <v>0</v>
      </c>
      <c r="N17">
        <v>0</v>
      </c>
      <c r="O17">
        <v>0</v>
      </c>
    </row>
    <row r="18" spans="12:15" x14ac:dyDescent="0.15">
      <c r="L18" t="s">
        <v>82</v>
      </c>
      <c r="M18" s="7">
        <v>9707</v>
      </c>
      <c r="N18" s="7">
        <v>19307</v>
      </c>
      <c r="O18" s="7">
        <v>-9600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F20" sqref="F20"/>
    </sheetView>
  </sheetViews>
  <sheetFormatPr defaultRowHeight="13.5" x14ac:dyDescent="0.15"/>
  <cols>
    <col min="2" max="2" width="11.25" customWidth="1"/>
    <col min="8" max="11" width="13.875" bestFit="1" customWidth="1"/>
    <col min="12" max="12" width="14.375" customWidth="1"/>
    <col min="13" max="13" width="13.875" bestFit="1" customWidth="1"/>
    <col min="14" max="14" width="13.875" customWidth="1"/>
    <col min="15" max="15" width="12.75" bestFit="1" customWidth="1"/>
    <col min="17" max="17" width="14.875" customWidth="1"/>
    <col min="18" max="18" width="12.75" bestFit="1" customWidth="1"/>
    <col min="19" max="19" width="24.875" customWidth="1"/>
  </cols>
  <sheetData>
    <row r="1" spans="1:20" x14ac:dyDescent="0.1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20" x14ac:dyDescent="0.15">
      <c r="A2" t="s">
        <v>14</v>
      </c>
      <c r="B2">
        <f>[5]计算汇总!G287</f>
        <v>0</v>
      </c>
      <c r="C2">
        <f>[5]计算汇总!I287</f>
        <v>0</v>
      </c>
      <c r="D2">
        <f>[5]计算汇总!K287</f>
        <v>0</v>
      </c>
      <c r="E2">
        <f>[5]计算汇总!M287</f>
        <v>0</v>
      </c>
      <c r="F2">
        <f>[5]计算汇总!N287</f>
        <v>0</v>
      </c>
      <c r="G2">
        <v>6940207.2657283526</v>
      </c>
      <c r="H2">
        <f>[5]计算汇总!P287</f>
        <v>6940207.2657283526</v>
      </c>
      <c r="I2">
        <v>-47302.655728351754</v>
      </c>
      <c r="J2">
        <f>[5]计算汇总!S287</f>
        <v>-113118.16572835171</v>
      </c>
      <c r="K2">
        <f>[5]计算汇总!T287</f>
        <v>0</v>
      </c>
      <c r="L2" s="3">
        <v>1494908.58</v>
      </c>
      <c r="M2" s="1">
        <v>8387673.1900000013</v>
      </c>
      <c r="N2" s="1">
        <f>L2-H2-K2+G2+F2</f>
        <v>1494908.58</v>
      </c>
      <c r="O2" s="2">
        <f>N2+H2+J2</f>
        <v>8321997.6800000006</v>
      </c>
      <c r="Q2" s="3">
        <v>8321997.6799999997</v>
      </c>
      <c r="R2" s="5"/>
      <c r="S2" s="6"/>
    </row>
    <row r="3" spans="1:20" x14ac:dyDescent="0.15">
      <c r="A3" t="s">
        <v>15</v>
      </c>
      <c r="B3">
        <f>[5]计算汇总!G288</f>
        <v>0</v>
      </c>
      <c r="C3">
        <f>[5]计算汇总!I288</f>
        <v>0</v>
      </c>
      <c r="D3">
        <f>[5]计算汇总!K288</f>
        <v>0</v>
      </c>
      <c r="E3">
        <f>[5]计算汇总!M288</f>
        <v>0</v>
      </c>
      <c r="F3">
        <f>[5]计算汇总!N288</f>
        <v>0</v>
      </c>
      <c r="G3">
        <v>725869.68</v>
      </c>
      <c r="H3">
        <f>[5]计算汇总!P288</f>
        <v>725869.68</v>
      </c>
      <c r="I3">
        <v>68896.800000001356</v>
      </c>
      <c r="J3">
        <f>[5]计算汇总!S288</f>
        <v>115696.80000000108</v>
      </c>
      <c r="K3">
        <f>[5]计算汇总!T288</f>
        <v>0</v>
      </c>
      <c r="L3" s="1">
        <v>832066.69999999867</v>
      </c>
      <c r="M3" s="1">
        <v>1626833.1800000002</v>
      </c>
      <c r="N3" s="1">
        <f t="shared" ref="N3:N4" si="0">L3-H3-K3+G3+F3</f>
        <v>832066.69999999867</v>
      </c>
      <c r="O3" s="2">
        <f t="shared" ref="O3:O4" si="1">N3+H3+J3</f>
        <v>1673633.1799999997</v>
      </c>
      <c r="Q3" s="3">
        <v>1680233.18</v>
      </c>
      <c r="R3" s="2">
        <f>O3-Q3</f>
        <v>-6600.0000000002328</v>
      </c>
      <c r="S3" s="2"/>
    </row>
    <row r="4" spans="1:20" x14ac:dyDescent="0.15">
      <c r="A4" t="s">
        <v>16</v>
      </c>
      <c r="B4">
        <f>[5]计算汇总!G289</f>
        <v>0</v>
      </c>
      <c r="C4">
        <f>[5]计算汇总!I289</f>
        <v>0</v>
      </c>
      <c r="D4">
        <f>[5]计算汇总!K289</f>
        <v>0</v>
      </c>
      <c r="E4">
        <f>[5]计算汇总!M289</f>
        <v>0</v>
      </c>
      <c r="F4">
        <f>[5]计算汇总!N289</f>
        <v>0</v>
      </c>
      <c r="G4">
        <v>7666076.9457283523</v>
      </c>
      <c r="H4">
        <f>[5]计算汇总!P289</f>
        <v>7666076.9457283523</v>
      </c>
      <c r="I4">
        <v>21594.144271649602</v>
      </c>
      <c r="J4">
        <f>[5]计算汇总!S289</f>
        <v>2578.6342716493673</v>
      </c>
      <c r="K4">
        <f>[5]计算汇总!T289</f>
        <v>0</v>
      </c>
      <c r="L4" s="1">
        <v>2326835.279999997</v>
      </c>
      <c r="M4" s="1">
        <v>10014506.369999999</v>
      </c>
      <c r="N4" s="1">
        <f t="shared" si="0"/>
        <v>2326835.2799999975</v>
      </c>
      <c r="O4" s="2">
        <f t="shared" si="1"/>
        <v>9995490.8599999994</v>
      </c>
      <c r="Q4" s="4">
        <v>10002230.859999999</v>
      </c>
    </row>
    <row r="5" spans="1:20" x14ac:dyDescent="0.15">
      <c r="S5" s="6"/>
    </row>
    <row r="6" spans="1:20" x14ac:dyDescent="0.15">
      <c r="O6" t="s">
        <v>44</v>
      </c>
      <c r="Q6" t="s">
        <v>45</v>
      </c>
    </row>
    <row r="8" spans="1:20" x14ac:dyDescent="0.15">
      <c r="O8" s="2"/>
    </row>
    <row r="13" spans="1:20" x14ac:dyDescent="0.15">
      <c r="R13" s="7"/>
      <c r="S13" s="7"/>
      <c r="T13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K10" sqref="K10"/>
    </sheetView>
  </sheetViews>
  <sheetFormatPr defaultRowHeight="13.5" x14ac:dyDescent="0.15"/>
  <cols>
    <col min="2" max="2" width="11.25" customWidth="1"/>
    <col min="8" max="11" width="13.875" bestFit="1" customWidth="1"/>
    <col min="12" max="12" width="14.375" customWidth="1"/>
    <col min="13" max="13" width="13.875" bestFit="1" customWidth="1"/>
    <col min="14" max="14" width="13.875" customWidth="1"/>
    <col min="15" max="15" width="12.75" bestFit="1" customWidth="1"/>
    <col min="17" max="17" width="14.875" customWidth="1"/>
    <col min="18" max="18" width="12.75" bestFit="1" customWidth="1"/>
    <col min="19" max="19" width="24.875" customWidth="1"/>
  </cols>
  <sheetData>
    <row r="1" spans="1:20" x14ac:dyDescent="0.1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20" x14ac:dyDescent="0.15">
      <c r="A2" t="s">
        <v>14</v>
      </c>
      <c r="B2">
        <f>[6]计算汇总!G287</f>
        <v>4143202.82</v>
      </c>
      <c r="C2">
        <f>[6]计算汇总!I287</f>
        <v>517.3199999999996</v>
      </c>
      <c r="D2">
        <f>[6]计算汇总!K287</f>
        <v>4152783.64</v>
      </c>
      <c r="E2">
        <f>[6]计算汇总!M287</f>
        <v>4671.01</v>
      </c>
      <c r="F2">
        <f>[6]计算汇总!N287</f>
        <v>-57267.411196101079</v>
      </c>
      <c r="G2">
        <v>7007055.4969244516</v>
      </c>
      <c r="H2">
        <f>[6]计算汇总!P287</f>
        <v>6940207.2657283526</v>
      </c>
      <c r="I2">
        <v>-97787.786924452754</v>
      </c>
      <c r="J2">
        <f>[6]计算汇总!S287</f>
        <v>-47302.655728351754</v>
      </c>
      <c r="K2">
        <f>[6]计算汇总!T287</f>
        <v>5188.3299999999972</v>
      </c>
      <c r="L2" s="1">
        <v>1490376.0900000015</v>
      </c>
      <c r="M2" s="1">
        <v>8399643.7999999989</v>
      </c>
      <c r="N2" s="1">
        <f>L2-H2-K2+G2+F2</f>
        <v>1494768.5799999996</v>
      </c>
      <c r="O2" s="2">
        <f>N2+H2+J2</f>
        <v>8387673.1900000013</v>
      </c>
      <c r="Q2" s="3">
        <v>8387813.1900000004</v>
      </c>
      <c r="R2" s="5">
        <f>Q2-O2</f>
        <v>139.99999999906868</v>
      </c>
      <c r="S2" s="6"/>
    </row>
    <row r="3" spans="1:20" x14ac:dyDescent="0.15">
      <c r="A3" t="s">
        <v>15</v>
      </c>
      <c r="B3">
        <f>[6]计算汇总!G288</f>
        <v>433242.00000000006</v>
      </c>
      <c r="C3">
        <f>[6]计算汇总!I288</f>
        <v>120.87</v>
      </c>
      <c r="D3">
        <f>[6]计算汇总!K288</f>
        <v>433962.00000000029</v>
      </c>
      <c r="E3">
        <f>[6]计算汇总!M288</f>
        <v>120.9</v>
      </c>
      <c r="F3">
        <f>[6]计算汇总!N288</f>
        <v>56275.199999998586</v>
      </c>
      <c r="G3">
        <v>731569.2</v>
      </c>
      <c r="H3">
        <f>[6]计算汇总!P288</f>
        <v>725869.68</v>
      </c>
      <c r="I3">
        <v>98891.999999999825</v>
      </c>
      <c r="J3">
        <f>[6]计算汇总!S288</f>
        <v>68896.800000001356</v>
      </c>
      <c r="K3">
        <f>[6]计算汇总!T288</f>
        <v>241.77</v>
      </c>
      <c r="L3" s="1">
        <v>770333.75000000023</v>
      </c>
      <c r="M3" s="1">
        <v>1600794.95</v>
      </c>
      <c r="N3" s="1">
        <f t="shared" ref="N3:N4" si="0">L3-H3-K3+G3+F3</f>
        <v>832066.69999999867</v>
      </c>
      <c r="O3" s="2">
        <f t="shared" ref="O3:O4" si="1">N3+H3+J3</f>
        <v>1626833.1800000002</v>
      </c>
      <c r="Q3" s="3">
        <v>1610633.18</v>
      </c>
      <c r="R3" s="2">
        <f>O3-Q3</f>
        <v>16200.000000000233</v>
      </c>
      <c r="S3" s="2"/>
    </row>
    <row r="4" spans="1:20" x14ac:dyDescent="0.15">
      <c r="A4" t="s">
        <v>16</v>
      </c>
      <c r="B4">
        <f>[6]计算汇总!G289</f>
        <v>4576444.82</v>
      </c>
      <c r="C4">
        <f>[6]计算汇总!I289</f>
        <v>638.1899999999996</v>
      </c>
      <c r="D4">
        <f>[6]计算汇总!K289</f>
        <v>4586745.6400000006</v>
      </c>
      <c r="E4">
        <f>[6]计算汇总!M289</f>
        <v>4791.91</v>
      </c>
      <c r="F4">
        <f>[6]计算汇总!N289</f>
        <v>-992.21119610249298</v>
      </c>
      <c r="G4">
        <v>7738624.6969244517</v>
      </c>
      <c r="H4">
        <f>[6]计算汇总!P289</f>
        <v>7666076.9457283523</v>
      </c>
      <c r="I4">
        <v>1104.2130755470716</v>
      </c>
      <c r="J4">
        <f>[6]计算汇总!S289</f>
        <v>21594.144271649602</v>
      </c>
      <c r="K4">
        <f>[6]计算汇总!T289</f>
        <v>5430.0999999999976</v>
      </c>
      <c r="L4" s="1">
        <v>2260709.8400000003</v>
      </c>
      <c r="M4" s="1">
        <v>10000438.749999998</v>
      </c>
      <c r="N4" s="1">
        <f t="shared" si="0"/>
        <v>2326835.279999997</v>
      </c>
      <c r="O4" s="2">
        <f t="shared" si="1"/>
        <v>10014506.369999999</v>
      </c>
      <c r="Q4" s="4">
        <v>9998446.3699999992</v>
      </c>
    </row>
    <row r="5" spans="1:20" ht="54" x14ac:dyDescent="0.15">
      <c r="S5" s="6" t="s">
        <v>41</v>
      </c>
    </row>
    <row r="6" spans="1:20" x14ac:dyDescent="0.15">
      <c r="O6" t="s">
        <v>42</v>
      </c>
      <c r="Q6" t="s">
        <v>43</v>
      </c>
    </row>
    <row r="8" spans="1:20" x14ac:dyDescent="0.15">
      <c r="O8" s="2"/>
    </row>
    <row r="9" spans="1:20" x14ac:dyDescent="0.15">
      <c r="N9" s="5"/>
    </row>
    <row r="10" spans="1:20" x14ac:dyDescent="0.15">
      <c r="N10" s="3"/>
    </row>
    <row r="13" spans="1:20" x14ac:dyDescent="0.15">
      <c r="R13" s="7"/>
      <c r="S13" s="7"/>
      <c r="T13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"/>
  <sheetViews>
    <sheetView workbookViewId="0">
      <selection activeCell="K10" sqref="K10"/>
    </sheetView>
  </sheetViews>
  <sheetFormatPr defaultRowHeight="13.5" x14ac:dyDescent="0.15"/>
  <cols>
    <col min="2" max="2" width="11.25" customWidth="1"/>
    <col min="8" max="11" width="13.875" bestFit="1" customWidth="1"/>
    <col min="12" max="12" width="14.375" customWidth="1"/>
    <col min="13" max="13" width="13.875" bestFit="1" customWidth="1"/>
    <col min="14" max="14" width="13.875" customWidth="1"/>
    <col min="15" max="15" width="12.75" bestFit="1" customWidth="1"/>
    <col min="17" max="17" width="14.875" customWidth="1"/>
    <col min="18" max="18" width="9.5" bestFit="1" customWidth="1"/>
    <col min="19" max="19" width="11.625" bestFit="1" customWidth="1"/>
  </cols>
  <sheetData>
    <row r="1" spans="1:19" x14ac:dyDescent="0.1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36</v>
      </c>
      <c r="I1" t="s">
        <v>37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9" x14ac:dyDescent="0.15">
      <c r="A2" t="s">
        <v>14</v>
      </c>
      <c r="B2">
        <f>[7]计算汇总!G287</f>
        <v>102134.51999999999</v>
      </c>
      <c r="C2">
        <f>[7]计算汇总!I287</f>
        <v>11.620000000000003</v>
      </c>
      <c r="D2">
        <f>[7]计算汇总!K287</f>
        <v>102113.8</v>
      </c>
      <c r="E2">
        <f>[7]计算汇总!M287</f>
        <v>113.83</v>
      </c>
      <c r="F2">
        <f>[7]计算汇总!N287</f>
        <v>-477.74974221388294</v>
      </c>
      <c r="G2">
        <v>7007512.5266666664</v>
      </c>
      <c r="H2">
        <f>[7]计算汇总!P287</f>
        <v>7007055.4969244516</v>
      </c>
      <c r="I2">
        <v>-31434.616666666669</v>
      </c>
      <c r="J2">
        <f>[7]计算汇总!S287</f>
        <v>-97787.786924452754</v>
      </c>
      <c r="K2">
        <f>[7]计算汇总!T287</f>
        <v>125.44999999999995</v>
      </c>
      <c r="L2" s="1">
        <v>1490522.2600000005</v>
      </c>
      <c r="M2" s="1">
        <v>8466600.1699999999</v>
      </c>
      <c r="N2" s="1">
        <f>L2-H2-K2+G2+F2</f>
        <v>1490376.0900000015</v>
      </c>
      <c r="O2" s="2">
        <f>N2+H2+J2</f>
        <v>8399643.7999999989</v>
      </c>
      <c r="Q2" s="3">
        <v>8399637.6300000008</v>
      </c>
      <c r="R2" s="5">
        <f>O2-Q2</f>
        <v>6.169999998062849</v>
      </c>
    </row>
    <row r="3" spans="1:19" x14ac:dyDescent="0.15">
      <c r="A3" t="s">
        <v>15</v>
      </c>
      <c r="B3">
        <f>[7]计算汇总!G288</f>
        <v>0</v>
      </c>
      <c r="C3">
        <f>[7]计算汇总!I288</f>
        <v>0</v>
      </c>
      <c r="D3">
        <f>[7]计算汇总!K288</f>
        <v>0</v>
      </c>
      <c r="E3">
        <f>[7]计算汇总!M288</f>
        <v>0</v>
      </c>
      <c r="F3">
        <f>[7]计算汇总!N288</f>
        <v>0</v>
      </c>
      <c r="G3">
        <v>731569.2</v>
      </c>
      <c r="H3">
        <f>[7]计算汇总!P288</f>
        <v>731569.2</v>
      </c>
      <c r="I3">
        <v>29891.999999999825</v>
      </c>
      <c r="J3">
        <f>[7]计算汇总!S288</f>
        <v>98891.999999999825</v>
      </c>
      <c r="K3">
        <f>[7]计算汇总!T288</f>
        <v>0</v>
      </c>
      <c r="L3" s="1">
        <v>770333.75000000023</v>
      </c>
      <c r="M3" s="1">
        <v>1531794.95</v>
      </c>
      <c r="N3" s="1">
        <f t="shared" ref="N3:N4" si="0">L3-H3-K3+G3+F3</f>
        <v>770333.75000000023</v>
      </c>
      <c r="O3" s="2">
        <f t="shared" ref="O3:O4" si="1">N3+H3+J3</f>
        <v>1600794.95</v>
      </c>
      <c r="Q3" s="3">
        <v>1598394.95</v>
      </c>
      <c r="R3" s="2">
        <f>O3-Q3</f>
        <v>2400</v>
      </c>
      <c r="S3" s="2"/>
    </row>
    <row r="4" spans="1:19" x14ac:dyDescent="0.15">
      <c r="A4" t="s">
        <v>38</v>
      </c>
      <c r="B4">
        <f>[7]计算汇总!G289</f>
        <v>102134.51999999999</v>
      </c>
      <c r="C4">
        <f>[7]计算汇总!I289</f>
        <v>11.620000000000003</v>
      </c>
      <c r="D4">
        <f>[7]计算汇总!K289</f>
        <v>102113.8</v>
      </c>
      <c r="E4">
        <f>[7]计算汇总!M289</f>
        <v>113.83</v>
      </c>
      <c r="F4">
        <f>[7]计算汇总!N289</f>
        <v>-477.74974221388294</v>
      </c>
      <c r="G4">
        <v>7739081.7266666666</v>
      </c>
      <c r="H4">
        <f>[7]计算汇总!P289</f>
        <v>7738624.6969244517</v>
      </c>
      <c r="I4">
        <v>-1542.6166666668432</v>
      </c>
      <c r="J4">
        <f>[7]计算汇总!S289</f>
        <v>1104.2130755470716</v>
      </c>
      <c r="K4">
        <f>[7]计算汇总!T289</f>
        <v>125.44999999999995</v>
      </c>
      <c r="L4" s="1">
        <v>2260856.0100000002</v>
      </c>
      <c r="M4" s="1">
        <v>9998395.1199999992</v>
      </c>
      <c r="N4" s="1">
        <f t="shared" si="0"/>
        <v>2260709.8400000003</v>
      </c>
      <c r="O4" s="2">
        <f t="shared" si="1"/>
        <v>10000438.749999998</v>
      </c>
      <c r="Q4" s="4">
        <v>9998032.5800000001</v>
      </c>
    </row>
    <row r="7" spans="1:19" x14ac:dyDescent="0.15">
      <c r="O7" s="2"/>
    </row>
    <row r="8" spans="1:19" x14ac:dyDescent="0.15">
      <c r="O8" t="s">
        <v>39</v>
      </c>
      <c r="Q8" t="s">
        <v>40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1031</vt:lpstr>
      <vt:lpstr>1103</vt:lpstr>
      <vt:lpstr>汇总</vt:lpstr>
      <vt:lpstr>1030</vt:lpstr>
      <vt:lpstr>1029</vt:lpstr>
      <vt:lpstr>1028</vt:lpstr>
      <vt:lpstr>1027</vt:lpstr>
      <vt:lpstr>1024</vt:lpstr>
      <vt:lpstr>1023</vt:lpstr>
      <vt:lpstr>1022</vt:lpstr>
      <vt:lpstr>1021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2014-11-04T10:34:20Z</dcterms:modified>
</cp:coreProperties>
</file>