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阳光工匠光伏网\青学\论坛资料上传\精品资料分类\CN 储能\"/>
    </mc:Choice>
  </mc:AlternateContent>
  <xr:revisionPtr revIDLastSave="0" documentId="8_{0AE99747-086D-4FD5-91E2-F9E5B4FD4C7B}" xr6:coauthVersionLast="45" xr6:coauthVersionMax="45" xr10:uidLastSave="{00000000-0000-0000-0000-000000000000}"/>
  <bookViews>
    <workbookView xWindow="-120" yWindow="-120" windowWidth="29040" windowHeight="15840" activeTab="1"/>
  </bookViews>
  <sheets>
    <sheet name="0.95" sheetId="1" r:id="rId1"/>
    <sheet name="1.15" sheetId="2" r:id="rId2"/>
    <sheet name="分析比较" sheetId="3" r:id="rId3"/>
  </sheets>
  <calcPr calcId="181029"/>
</workbook>
</file>

<file path=xl/calcChain.xml><?xml version="1.0" encoding="utf-8"?>
<calcChain xmlns="http://schemas.openxmlformats.org/spreadsheetml/2006/main">
  <c r="H11" i="1" l="1"/>
  <c r="C11" i="3"/>
  <c r="B11" i="3"/>
  <c r="C5" i="3"/>
  <c r="B5" i="3"/>
  <c r="C3" i="3"/>
  <c r="B3" i="3"/>
  <c r="C44" i="2"/>
  <c r="C38" i="2"/>
  <c r="C17" i="2"/>
  <c r="J13" i="2"/>
  <c r="J12" i="2"/>
  <c r="J11" i="2"/>
  <c r="J10" i="2"/>
  <c r="J9" i="2"/>
  <c r="J8" i="2"/>
  <c r="C8" i="2"/>
  <c r="C10" i="2"/>
  <c r="J7" i="2"/>
  <c r="J13" i="1"/>
  <c r="J12" i="1"/>
  <c r="J11" i="1"/>
  <c r="J10" i="1"/>
  <c r="J9" i="1"/>
  <c r="J8" i="1"/>
  <c r="J7" i="1"/>
  <c r="C44" i="1"/>
  <c r="C38" i="1"/>
  <c r="C8" i="1"/>
  <c r="C10" i="1"/>
  <c r="C40" i="1"/>
  <c r="C42" i="1"/>
  <c r="C41" i="1"/>
  <c r="C17" i="1"/>
  <c r="C47" i="1"/>
  <c r="C47" i="2"/>
  <c r="H6" i="2"/>
  <c r="I6" i="2"/>
  <c r="C35" i="1"/>
  <c r="C39" i="1"/>
  <c r="C11" i="2"/>
  <c r="C41" i="2"/>
  <c r="C35" i="2"/>
  <c r="C39" i="2"/>
  <c r="C40" i="2"/>
  <c r="C42" i="2"/>
  <c r="B4" i="3"/>
  <c r="B10" i="3"/>
  <c r="H6" i="1"/>
  <c r="I6" i="1"/>
  <c r="C45" i="1"/>
  <c r="C46" i="1"/>
  <c r="B7" i="3"/>
  <c r="B8" i="3"/>
  <c r="B9" i="3"/>
  <c r="C11" i="1"/>
  <c r="C4" i="3"/>
  <c r="C10" i="3"/>
  <c r="K6" i="1"/>
  <c r="L6" i="1"/>
  <c r="H7" i="1"/>
  <c r="I7" i="1"/>
  <c r="K13" i="1"/>
  <c r="K8" i="1"/>
  <c r="K9" i="1"/>
  <c r="K7" i="1"/>
  <c r="L7" i="1"/>
  <c r="H8" i="1"/>
  <c r="I8" i="1"/>
  <c r="K10" i="1"/>
  <c r="K11" i="1"/>
  <c r="K12" i="1"/>
  <c r="C45" i="2"/>
  <c r="C46" i="2"/>
  <c r="C7" i="3"/>
  <c r="C8" i="3"/>
  <c r="C9" i="3"/>
  <c r="L8" i="1"/>
  <c r="H9" i="1"/>
  <c r="I9" i="1"/>
  <c r="K6" i="2"/>
  <c r="L6" i="2"/>
  <c r="H7" i="2"/>
  <c r="I7" i="2"/>
  <c r="K12" i="2"/>
  <c r="K8" i="2"/>
  <c r="K13" i="2"/>
  <c r="K7" i="2"/>
  <c r="K11" i="2"/>
  <c r="K9" i="2"/>
  <c r="K10" i="2"/>
  <c r="L7" i="2"/>
  <c r="H8" i="2"/>
  <c r="I8" i="2"/>
  <c r="L8" i="2"/>
  <c r="H9" i="2"/>
  <c r="I9" i="2"/>
  <c r="L9" i="1"/>
  <c r="H10" i="1"/>
  <c r="I10" i="1"/>
  <c r="L10" i="1"/>
  <c r="L9" i="2"/>
  <c r="H10" i="2"/>
  <c r="I10" i="2"/>
  <c r="L10" i="2"/>
  <c r="H11" i="2"/>
  <c r="I11" i="1"/>
  <c r="L11" i="1"/>
  <c r="H12" i="1"/>
  <c r="I11" i="2"/>
  <c r="L11" i="2"/>
  <c r="H12" i="2"/>
  <c r="I12" i="1"/>
  <c r="L12" i="1"/>
  <c r="H13" i="1"/>
  <c r="I12" i="2"/>
  <c r="L12" i="2"/>
  <c r="H13" i="2"/>
  <c r="I13" i="1"/>
  <c r="L13" i="1"/>
  <c r="I13" i="2"/>
  <c r="L13" i="2"/>
</calcChain>
</file>

<file path=xl/sharedStrings.xml><?xml version="1.0" encoding="utf-8"?>
<sst xmlns="http://schemas.openxmlformats.org/spreadsheetml/2006/main" count="125" uniqueCount="69">
  <si>
    <t>序号</t>
    <phoneticPr fontId="1" type="noConversion"/>
  </si>
  <si>
    <t>内容</t>
    <phoneticPr fontId="1" type="noConversion"/>
  </si>
  <si>
    <t>每度电储能成本 (未算充电电费) =</t>
    <phoneticPr fontId="1" type="noConversion"/>
  </si>
  <si>
    <t>数值</t>
    <phoneticPr fontId="1" type="noConversion"/>
  </si>
  <si>
    <t>备注</t>
    <phoneticPr fontId="1" type="noConversion"/>
  </si>
  <si>
    <r>
      <t>6</t>
    </r>
    <r>
      <rPr>
        <sz val="11"/>
        <color indexed="8"/>
        <rFont val="宋体"/>
        <family val="3"/>
        <charset val="134"/>
      </rPr>
      <t>0%DOD是铅碳电池最佳使用放电深度</t>
    </r>
    <phoneticPr fontId="1" type="noConversion"/>
  </si>
  <si>
    <t>表1</t>
    <phoneticPr fontId="1" type="noConversion"/>
  </si>
  <si>
    <t>储能成本分析 (铅碳电池/锂电池)</t>
    <phoneticPr fontId="1" type="noConversion"/>
  </si>
  <si>
    <t xml:space="preserve"> (铅碳电池)</t>
    <phoneticPr fontId="1" type="noConversion"/>
  </si>
  <si>
    <t>负载功率 (KW)</t>
    <phoneticPr fontId="3" type="noConversion"/>
  </si>
  <si>
    <t>放电时间 (小时)</t>
    <phoneticPr fontId="3" type="noConversion"/>
  </si>
  <si>
    <t>负载所需电池容量 (KWh)</t>
    <phoneticPr fontId="3" type="noConversion"/>
  </si>
  <si>
    <t>放电深度 (%)</t>
    <phoneticPr fontId="3" type="noConversion"/>
  </si>
  <si>
    <t>电池配置容量 (KWh)</t>
    <phoneticPr fontId="3" type="noConversion"/>
  </si>
  <si>
    <t>每KWh电池价钱 (RMB)</t>
    <phoneticPr fontId="3" type="noConversion"/>
  </si>
  <si>
    <t>储能电池价钱 (RMB)</t>
    <phoneticPr fontId="3" type="noConversion"/>
  </si>
  <si>
    <t>电池残值 (%)</t>
    <phoneticPr fontId="3" type="noConversion"/>
  </si>
  <si>
    <t>电池充放电效率</t>
    <phoneticPr fontId="3" type="noConversion"/>
  </si>
  <si>
    <t>循环次数</t>
    <phoneticPr fontId="3" type="noConversion"/>
  </si>
  <si>
    <t>每度电储能成本 (RMB)</t>
    <phoneticPr fontId="3" type="noConversion"/>
  </si>
  <si>
    <t>每度电峰谷电价差 (RMB)</t>
    <phoneticPr fontId="3" type="noConversion"/>
  </si>
  <si>
    <t>每度电扣除成本後储能利益 (RMB)</t>
    <phoneticPr fontId="3" type="noConversion"/>
  </si>
  <si>
    <t>每个储能系统每年电价差收益 (RMB)</t>
    <phoneticPr fontId="3" type="noConversion"/>
  </si>
  <si>
    <t>每个储能系统电池生命周期电价差总收益 (RMB)</t>
    <phoneticPr fontId="3" type="noConversion"/>
  </si>
  <si>
    <t>年份</t>
    <phoneticPr fontId="1" type="noConversion"/>
  </si>
  <si>
    <t>年初投资结馀</t>
    <phoneticPr fontId="1" type="noConversion"/>
  </si>
  <si>
    <t>当年利息</t>
    <phoneticPr fontId="1" type="noConversion"/>
  </si>
  <si>
    <t>当年开支</t>
    <phoneticPr fontId="1" type="noConversion"/>
  </si>
  <si>
    <t>当年收入</t>
    <phoneticPr fontId="1" type="noConversion"/>
  </si>
  <si>
    <t>年末投资结馀</t>
    <phoneticPr fontId="1" type="noConversion"/>
  </si>
  <si>
    <t>铅碳电池财务分析/现金流</t>
    <phoneticPr fontId="1" type="noConversion"/>
  </si>
  <si>
    <t>与系统寿命相同有关的其他成本</t>
    <phoneticPr fontId="1" type="noConversion"/>
  </si>
  <si>
    <t>与电池寿命相同有关的其他成本</t>
    <phoneticPr fontId="1" type="noConversion"/>
  </si>
  <si>
    <t>[(PCS和双向变流器成本 + 与系统寿命相同有关的其他成本)/与电池寿命比 + (电池成本 - 电池残值) + 与电池寿命相同有关的其他成本]/电池容量/DOD/循环次数/充电器效率/逆变器效率/电池充放电效率</t>
    <phoneticPr fontId="1" type="noConversion"/>
  </si>
  <si>
    <r>
      <t xml:space="preserve">每次峰价放电节省电费 </t>
    </r>
    <r>
      <rPr>
        <sz val="11"/>
        <color indexed="8"/>
        <rFont val="宋体"/>
        <family val="3"/>
        <charset val="134"/>
      </rPr>
      <t>(RMB)</t>
    </r>
    <phoneticPr fontId="1" type="noConversion"/>
  </si>
  <si>
    <r>
      <t xml:space="preserve">每次谷价充电支出 </t>
    </r>
    <r>
      <rPr>
        <sz val="11"/>
        <color indexed="8"/>
        <rFont val="宋体"/>
        <family val="3"/>
        <charset val="134"/>
      </rPr>
      <t>(RMB)</t>
    </r>
    <phoneticPr fontId="1" type="noConversion"/>
  </si>
  <si>
    <r>
      <t xml:space="preserve">每次实际节省电费 </t>
    </r>
    <r>
      <rPr>
        <sz val="11"/>
        <color indexed="8"/>
        <rFont val="宋体"/>
        <family val="3"/>
        <charset val="134"/>
      </rPr>
      <t>(RMB)</t>
    </r>
    <phoneticPr fontId="1" type="noConversion"/>
  </si>
  <si>
    <t>每年放电工作日数 (天)</t>
    <phoneticPr fontId="1" type="noConversion"/>
  </si>
  <si>
    <t>每个电池生命周期可用每数 (年)</t>
    <phoneticPr fontId="1" type="noConversion"/>
  </si>
  <si>
    <t xml:space="preserve">设备初始总投资 (RMB) </t>
    <phoneticPr fontId="3" type="noConversion"/>
  </si>
  <si>
    <t>1 集装箱及风道</t>
    <phoneticPr fontId="1" type="noConversion"/>
  </si>
  <si>
    <t>1 空调</t>
    <phoneticPr fontId="1" type="noConversion"/>
  </si>
  <si>
    <t>2 BMS及调试</t>
    <phoneticPr fontId="1" type="noConversion"/>
  </si>
  <si>
    <t>2 电池架及连接电缆</t>
    <phoneticPr fontId="1" type="noConversion"/>
  </si>
  <si>
    <t>3 直流开关</t>
    <phoneticPr fontId="1" type="noConversion"/>
  </si>
  <si>
    <t>3 电池搬运及安装</t>
    <phoneticPr fontId="1" type="noConversion"/>
  </si>
  <si>
    <t>光伏并网电价</t>
    <phoneticPr fontId="1" type="noConversion"/>
  </si>
  <si>
    <t>光伏并网电价</t>
    <phoneticPr fontId="1" type="noConversion"/>
  </si>
  <si>
    <t>充电电价 (RMB/kWh)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</si>
  <si>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C/DC</t>
    </r>
    <phoneticPr fontId="3" type="noConversion"/>
  </si>
  <si>
    <r>
      <t>D</t>
    </r>
    <r>
      <rPr>
        <sz val="11"/>
        <color theme="1"/>
        <rFont val="宋体"/>
        <family val="3"/>
        <charset val="134"/>
        <scheme val="minor"/>
      </rPr>
      <t>C/DC</t>
    </r>
    <r>
      <rPr>
        <sz val="11"/>
        <color indexed="8"/>
        <rFont val="宋体"/>
        <family val="3"/>
        <charset val="134"/>
      </rPr>
      <t>功率</t>
    </r>
    <phoneticPr fontId="3" type="noConversion"/>
  </si>
  <si>
    <r>
      <t>每KW的</t>
    </r>
    <r>
      <rPr>
        <sz val="11"/>
        <color theme="1"/>
        <rFont val="宋体"/>
        <family val="3"/>
        <charset val="134"/>
        <scheme val="minor"/>
      </rPr>
      <t>DC/DC</t>
    </r>
    <r>
      <rPr>
        <sz val="11"/>
        <color indexed="8"/>
        <rFont val="宋体"/>
        <family val="3"/>
        <charset val="134"/>
      </rPr>
      <t>价钱 (RMB)</t>
    </r>
    <phoneticPr fontId="3" type="noConversion"/>
  </si>
  <si>
    <r>
      <t>D</t>
    </r>
    <r>
      <rPr>
        <sz val="11"/>
        <color theme="1"/>
        <rFont val="宋体"/>
        <family val="3"/>
        <charset val="134"/>
        <scheme val="minor"/>
      </rPr>
      <t>C/DC</t>
    </r>
    <r>
      <rPr>
        <sz val="11"/>
        <color indexed="8"/>
        <rFont val="宋体"/>
        <family val="3"/>
        <charset val="134"/>
      </rPr>
      <t>价钱 (RMB)</t>
    </r>
    <phoneticPr fontId="3" type="noConversion"/>
  </si>
  <si>
    <r>
      <t>D</t>
    </r>
    <r>
      <rPr>
        <sz val="11"/>
        <color theme="1"/>
        <rFont val="宋体"/>
        <family val="3"/>
        <charset val="134"/>
        <scheme val="minor"/>
      </rPr>
      <t>C/DC</t>
    </r>
    <r>
      <rPr>
        <sz val="11"/>
        <color indexed="8"/>
        <rFont val="宋体"/>
        <family val="3"/>
        <charset val="134"/>
      </rPr>
      <t>与电池寿命比</t>
    </r>
    <phoneticPr fontId="3" type="noConversion"/>
  </si>
  <si>
    <t>充电器效率</t>
    <phoneticPr fontId="3" type="noConversion"/>
  </si>
  <si>
    <t>逆变器效率</t>
    <phoneticPr fontId="3" type="noConversion"/>
  </si>
  <si>
    <t>表2</t>
    <phoneticPr fontId="1" type="noConversion"/>
  </si>
  <si>
    <t>光伏并网电价 (RMB)</t>
  </si>
  <si>
    <t>系统投资 (RMB)</t>
  </si>
  <si>
    <t>电池残值 (RMB)</t>
  </si>
  <si>
    <t>每年收益 (RMB)</t>
  </si>
  <si>
    <t>连电池残值总收益 (RMB)</t>
  </si>
  <si>
    <t>不算资金成本净收益 (RMB)</t>
  </si>
  <si>
    <t>分析比较</t>
    <phoneticPr fontId="1" type="noConversion"/>
  </si>
  <si>
    <t>IRR</t>
    <phoneticPr fontId="1" type="noConversion"/>
  </si>
  <si>
    <t>生命周期循环收益 (RMB)</t>
    <phoneticPr fontId="1" type="noConversion"/>
  </si>
  <si>
    <t>IRR</t>
    <phoneticPr fontId="1" type="noConversion"/>
  </si>
  <si>
    <t>不算资金成本及电池残值的回本周期 (年)</t>
    <phoneticPr fontId="1" type="noConversion"/>
  </si>
  <si>
    <t>阳光工匠论坛（bbs.21spv.com）   光伏/储能/运维/能源/电力资料下载   QQ群：312095674   小编微信：15995027646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</si>
</sst>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2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8" fillId="0" borderId="0" xfId="0" applyFont="1">
      <alignment vertical="center"/>
    </xf>
    <xf numFmtId="43" fontId="6" fillId="0" borderId="0" xfId="6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43" fontId="6" fillId="0" borderId="1" xfId="6" applyFont="1" applyBorder="1">
      <alignment vertical="center"/>
    </xf>
    <xf numFmtId="9" fontId="6" fillId="0" borderId="1" xfId="1" applyFont="1" applyBorder="1">
      <alignment vertical="center"/>
    </xf>
    <xf numFmtId="0" fontId="0" fillId="0" borderId="4" xfId="0" applyFill="1" applyBorder="1">
      <alignment vertical="center"/>
    </xf>
    <xf numFmtId="43" fontId="6" fillId="0" borderId="5" xfId="6" applyFont="1" applyBorder="1">
      <alignment vertical="center"/>
    </xf>
    <xf numFmtId="0" fontId="0" fillId="0" borderId="3" xfId="0" applyFont="1" applyBorder="1" applyAlignment="1">
      <alignment vertical="center" wrapText="1"/>
    </xf>
    <xf numFmtId="43" fontId="6" fillId="0" borderId="1" xfId="6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43" fontId="6" fillId="0" borderId="7" xfId="6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43" fontId="6" fillId="0" borderId="10" xfId="6" applyFont="1" applyBorder="1">
      <alignment vertical="center"/>
    </xf>
    <xf numFmtId="0" fontId="0" fillId="0" borderId="11" xfId="0" applyFont="1" applyBorder="1">
      <alignment vertical="center"/>
    </xf>
    <xf numFmtId="0" fontId="10" fillId="0" borderId="0" xfId="0" applyFont="1">
      <alignment vertical="center"/>
    </xf>
    <xf numFmtId="0" fontId="7" fillId="0" borderId="1" xfId="0" applyFont="1" applyBorder="1">
      <alignment vertical="center"/>
    </xf>
    <xf numFmtId="9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3" fontId="6" fillId="0" borderId="16" xfId="6" applyFont="1" applyBorder="1">
      <alignment vertical="center"/>
    </xf>
    <xf numFmtId="43" fontId="6" fillId="0" borderId="17" xfId="6" applyFont="1" applyBorder="1">
      <alignment vertical="center"/>
    </xf>
    <xf numFmtId="43" fontId="0" fillId="0" borderId="16" xfId="0" applyNumberFormat="1" applyBorder="1">
      <alignment vertical="center"/>
    </xf>
    <xf numFmtId="0" fontId="0" fillId="0" borderId="18" xfId="0" applyBorder="1">
      <alignment vertical="center"/>
    </xf>
    <xf numFmtId="43" fontId="6" fillId="0" borderId="19" xfId="6" applyFont="1" applyBorder="1">
      <alignment vertical="center"/>
    </xf>
    <xf numFmtId="43" fontId="6" fillId="0" borderId="20" xfId="6" applyFont="1" applyBorder="1">
      <alignment vertical="center"/>
    </xf>
    <xf numFmtId="0" fontId="0" fillId="0" borderId="21" xfId="0" applyBorder="1">
      <alignment vertical="center"/>
    </xf>
    <xf numFmtId="43" fontId="6" fillId="0" borderId="22" xfId="6" applyFont="1" applyBorder="1">
      <alignment vertical="center"/>
    </xf>
    <xf numFmtId="43" fontId="6" fillId="0" borderId="23" xfId="6" applyFont="1" applyBorder="1">
      <alignment vertical="center"/>
    </xf>
    <xf numFmtId="43" fontId="0" fillId="0" borderId="22" xfId="0" applyNumberForma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ill="1" applyBorder="1">
      <alignment vertical="center"/>
    </xf>
    <xf numFmtId="43" fontId="6" fillId="0" borderId="0" xfId="6" applyFont="1" applyBorder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6" fillId="0" borderId="1" xfId="4" applyFont="1" applyBorder="1">
      <alignment vertical="center"/>
    </xf>
    <xf numFmtId="0" fontId="0" fillId="0" borderId="0" xfId="0" applyAlignment="1"/>
    <xf numFmtId="43" fontId="6" fillId="2" borderId="1" xfId="6" applyFont="1" applyFill="1" applyBorder="1">
      <alignment vertical="center"/>
    </xf>
    <xf numFmtId="0" fontId="11" fillId="0" borderId="0" xfId="0" applyFont="1">
      <alignment vertical="center"/>
    </xf>
    <xf numFmtId="3" fontId="11" fillId="0" borderId="1" xfId="0" applyNumberFormat="1" applyFont="1" applyBorder="1">
      <alignment vertical="center"/>
    </xf>
    <xf numFmtId="0" fontId="11" fillId="0" borderId="25" xfId="0" applyFont="1" applyBorder="1">
      <alignment vertical="center"/>
    </xf>
    <xf numFmtId="0" fontId="11" fillId="0" borderId="2" xfId="0" applyFont="1" applyBorder="1">
      <alignment vertical="center"/>
    </xf>
    <xf numFmtId="3" fontId="11" fillId="0" borderId="3" xfId="0" applyNumberFormat="1" applyFont="1" applyBorder="1">
      <alignment vertical="center"/>
    </xf>
    <xf numFmtId="0" fontId="11" fillId="0" borderId="4" xfId="0" applyFont="1" applyBorder="1">
      <alignment vertical="center"/>
    </xf>
    <xf numFmtId="43" fontId="11" fillId="0" borderId="1" xfId="6" applyFont="1" applyBorder="1">
      <alignment vertical="center"/>
    </xf>
    <xf numFmtId="43" fontId="11" fillId="0" borderId="3" xfId="6" applyFont="1" applyBorder="1">
      <alignment vertical="center"/>
    </xf>
    <xf numFmtId="10" fontId="0" fillId="0" borderId="0" xfId="0" applyNumberFormat="1">
      <alignment vertical="center"/>
    </xf>
    <xf numFmtId="43" fontId="11" fillId="0" borderId="26" xfId="0" applyNumberFormat="1" applyFont="1" applyBorder="1">
      <alignment vertical="center"/>
    </xf>
    <xf numFmtId="43" fontId="11" fillId="0" borderId="27" xfId="0" applyNumberFormat="1" applyFont="1" applyBorder="1">
      <alignment vertical="center"/>
    </xf>
    <xf numFmtId="10" fontId="11" fillId="0" borderId="5" xfId="0" applyNumberFormat="1" applyFont="1" applyBorder="1">
      <alignment vertical="center"/>
    </xf>
    <xf numFmtId="10" fontId="11" fillId="0" borderId="24" xfId="0" applyNumberFormat="1" applyFont="1" applyBorder="1">
      <alignment vertical="center"/>
    </xf>
    <xf numFmtId="0" fontId="8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3" fontId="6" fillId="0" borderId="0" xfId="6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0" fillId="0" borderId="0" xfId="0" applyAlignment="1" applyProtection="1">
      <protection locked="0"/>
    </xf>
    <xf numFmtId="0" fontId="7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10" fontId="0" fillId="0" borderId="0" xfId="0" applyNumberFormat="1" applyProtection="1">
      <alignment vertical="center"/>
      <protection locked="0"/>
    </xf>
    <xf numFmtId="9" fontId="0" fillId="0" borderId="0" xfId="0" applyNumberFormat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43" fontId="6" fillId="0" borderId="10" xfId="6" applyFont="1" applyBorder="1" applyProtection="1">
      <alignment vertical="center"/>
      <protection locked="0"/>
    </xf>
    <xf numFmtId="0" fontId="0" fillId="0" borderId="11" xfId="0" applyFont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43" fontId="6" fillId="0" borderId="7" xfId="6" applyFont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43" fontId="6" fillId="0" borderId="16" xfId="6" applyFont="1" applyBorder="1" applyProtection="1">
      <alignment vertical="center"/>
      <protection locked="0"/>
    </xf>
    <xf numFmtId="43" fontId="6" fillId="0" borderId="17" xfId="6" applyFont="1" applyBorder="1" applyProtection="1">
      <alignment vertical="center"/>
      <protection locked="0"/>
    </xf>
    <xf numFmtId="43" fontId="0" fillId="0" borderId="16" xfId="0" applyNumberForma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43" fontId="6" fillId="0" borderId="1" xfId="6" applyFon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43" fontId="6" fillId="0" borderId="19" xfId="6" applyFont="1" applyBorder="1" applyProtection="1">
      <alignment vertical="center"/>
      <protection locked="0"/>
    </xf>
    <xf numFmtId="43" fontId="6" fillId="0" borderId="20" xfId="6" applyFont="1" applyBorder="1" applyProtection="1">
      <alignment vertical="center"/>
      <protection locked="0"/>
    </xf>
    <xf numFmtId="9" fontId="6" fillId="0" borderId="1" xfId="1" applyFont="1" applyBorder="1" applyProtection="1">
      <alignment vertical="center"/>
      <protection locked="0"/>
    </xf>
    <xf numFmtId="0" fontId="0" fillId="0" borderId="3" xfId="0" applyFont="1" applyBorder="1" applyAlignment="1" applyProtection="1">
      <alignment vertical="center" wrapText="1"/>
      <protection locked="0"/>
    </xf>
    <xf numFmtId="43" fontId="6" fillId="0" borderId="1" xfId="6" applyNumberFormat="1" applyFont="1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43" fontId="6" fillId="0" borderId="22" xfId="6" applyFont="1" applyBorder="1" applyProtection="1">
      <alignment vertical="center"/>
      <protection locked="0"/>
    </xf>
    <xf numFmtId="43" fontId="6" fillId="0" borderId="23" xfId="6" applyFont="1" applyBorder="1" applyProtection="1">
      <alignment vertical="center"/>
      <protection locked="0"/>
    </xf>
    <xf numFmtId="43" fontId="0" fillId="0" borderId="22" xfId="0" applyNumberFormat="1" applyBorder="1" applyProtection="1">
      <alignment vertical="center"/>
      <protection locked="0"/>
    </xf>
    <xf numFmtId="0" fontId="6" fillId="0" borderId="1" xfId="4" applyFont="1" applyBorder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7" fillId="0" borderId="1" xfId="0" applyFont="1" applyBorder="1" applyProtection="1">
      <alignment vertical="center"/>
      <protection locked="0"/>
    </xf>
    <xf numFmtId="43" fontId="6" fillId="2" borderId="1" xfId="6" applyFont="1" applyFill="1" applyBorder="1" applyProtection="1">
      <alignment vertical="center"/>
      <protection locked="0"/>
    </xf>
    <xf numFmtId="0" fontId="0" fillId="0" borderId="3" xfId="0" applyFont="1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4" xfId="0" applyFill="1" applyBorder="1" applyProtection="1">
      <alignment vertical="center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43" fontId="6" fillId="0" borderId="5" xfId="6" applyFont="1" applyBorder="1" applyProtection="1">
      <alignment vertical="center"/>
      <protection locked="0"/>
    </xf>
    <xf numFmtId="0" fontId="0" fillId="0" borderId="24" xfId="0" applyBorder="1" applyAlignment="1" applyProtection="1">
      <alignment horizontal="left" vertical="center" wrapText="1"/>
      <protection locked="0"/>
    </xf>
    <xf numFmtId="0" fontId="0" fillId="0" borderId="0" xfId="0" applyFill="1" applyBorder="1" applyProtection="1">
      <alignment vertical="center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43" fontId="6" fillId="0" borderId="0" xfId="6" applyFont="1" applyBorder="1" applyProtection="1">
      <alignment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Protection="1">
      <alignment vertical="center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left" vertical="center" wrapText="1"/>
    </xf>
  </cellXfs>
  <cellStyles count="8">
    <cellStyle name="百分比" xfId="1" builtinId="5"/>
    <cellStyle name="百分比 2" xfId="2"/>
    <cellStyle name="百分比 3" xfId="3"/>
    <cellStyle name="常规" xfId="0" builtinId="0"/>
    <cellStyle name="常规 2" xfId="4"/>
    <cellStyle name="常规 3" xfId="5"/>
    <cellStyle name="千位分隔" xfId="6" builtinId="3"/>
    <cellStyle name="千位分隔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7" zoomScale="90" zoomScaleNormal="90" workbookViewId="0">
      <selection activeCell="F22" sqref="F22"/>
    </sheetView>
  </sheetViews>
  <sheetFormatPr defaultRowHeight="13.5"/>
  <cols>
    <col min="1" max="1" width="6.125" style="66" customWidth="1"/>
    <col min="2" max="2" width="46.75" style="66" customWidth="1"/>
    <col min="3" max="3" width="18.375" style="67" customWidth="1"/>
    <col min="4" max="4" width="19" style="66" customWidth="1"/>
    <col min="5" max="5" width="9" style="66"/>
    <col min="6" max="6" width="12.75" style="66" customWidth="1"/>
    <col min="7" max="7" width="8.75" style="66" customWidth="1"/>
    <col min="8" max="8" width="19.875" style="66" customWidth="1"/>
    <col min="9" max="9" width="18.5" style="66" customWidth="1"/>
    <col min="10" max="10" width="17.375" style="66" customWidth="1"/>
    <col min="11" max="11" width="18.5" style="66" customWidth="1"/>
    <col min="12" max="12" width="19.25" style="66" customWidth="1"/>
    <col min="13" max="16384" width="9" style="66"/>
  </cols>
  <sheetData>
    <row r="1" spans="1:12" ht="20.25">
      <c r="A1" s="65" t="s">
        <v>7</v>
      </c>
    </row>
    <row r="2" spans="1:12" ht="14.25">
      <c r="A2" s="68" t="s">
        <v>2</v>
      </c>
    </row>
    <row r="3" spans="1:12" ht="47.25" customHeight="1">
      <c r="A3" s="119" t="s">
        <v>33</v>
      </c>
      <c r="B3" s="119"/>
      <c r="C3" s="119"/>
      <c r="D3" s="119"/>
      <c r="I3" s="69" t="s">
        <v>64</v>
      </c>
    </row>
    <row r="4" spans="1:12" ht="14.25" thickBot="1">
      <c r="A4" s="70" t="s">
        <v>6</v>
      </c>
      <c r="B4" s="71" t="s">
        <v>8</v>
      </c>
      <c r="G4" s="70" t="s">
        <v>30</v>
      </c>
      <c r="I4" s="72">
        <v>9.2399999999999996E-2</v>
      </c>
      <c r="J4" s="73"/>
    </row>
    <row r="5" spans="1:12" ht="14.25" thickBot="1">
      <c r="A5" s="74" t="s">
        <v>0</v>
      </c>
      <c r="B5" s="75" t="s">
        <v>1</v>
      </c>
      <c r="C5" s="76" t="s">
        <v>3</v>
      </c>
      <c r="D5" s="77" t="s">
        <v>4</v>
      </c>
      <c r="G5" s="78" t="s">
        <v>24</v>
      </c>
      <c r="H5" s="79" t="s">
        <v>25</v>
      </c>
      <c r="I5" s="80" t="s">
        <v>26</v>
      </c>
      <c r="J5" s="79" t="s">
        <v>27</v>
      </c>
      <c r="K5" s="80" t="s">
        <v>28</v>
      </c>
      <c r="L5" s="79" t="s">
        <v>29</v>
      </c>
    </row>
    <row r="6" spans="1:12">
      <c r="A6" s="81">
        <v>1</v>
      </c>
      <c r="B6" s="82" t="s">
        <v>9</v>
      </c>
      <c r="C6" s="83">
        <v>10000</v>
      </c>
      <c r="D6" s="84"/>
      <c r="G6" s="85">
        <v>1</v>
      </c>
      <c r="H6" s="86">
        <f>-$C$47</f>
        <v>-417895949.99825001</v>
      </c>
      <c r="I6" s="87">
        <f>$I$4*H6</f>
        <v>-38613585.779838301</v>
      </c>
      <c r="J6" s="86"/>
      <c r="K6" s="87">
        <f>$C$45</f>
        <v>13870000</v>
      </c>
      <c r="L6" s="88">
        <f>SUM(H6,I6,J6)+K6</f>
        <v>-442639535.77808833</v>
      </c>
    </row>
    <row r="7" spans="1:12">
      <c r="A7" s="89">
        <v>2</v>
      </c>
      <c r="B7" s="90" t="s">
        <v>10</v>
      </c>
      <c r="C7" s="91">
        <v>4</v>
      </c>
      <c r="D7" s="92"/>
      <c r="G7" s="93">
        <v>2</v>
      </c>
      <c r="H7" s="94">
        <f>L6</f>
        <v>-442639535.77808833</v>
      </c>
      <c r="I7" s="95">
        <f t="shared" ref="I7:I13" si="0">$I$4*H7</f>
        <v>-40899893.105895363</v>
      </c>
      <c r="J7" s="94">
        <f t="shared" ref="J7:J13" si="1">$J$6</f>
        <v>0</v>
      </c>
      <c r="K7" s="87">
        <f t="shared" ref="K7:K12" si="2">$C$45</f>
        <v>13870000</v>
      </c>
      <c r="L7" s="88">
        <f t="shared" ref="L7:L12" si="3">SUM(H7,I7,J7)+K7</f>
        <v>-469669428.88398367</v>
      </c>
    </row>
    <row r="8" spans="1:12">
      <c r="A8" s="89">
        <v>3</v>
      </c>
      <c r="B8" s="90" t="s">
        <v>11</v>
      </c>
      <c r="C8" s="91">
        <f>C6*C7</f>
        <v>40000</v>
      </c>
      <c r="D8" s="92"/>
      <c r="G8" s="93">
        <v>3</v>
      </c>
      <c r="H8" s="94">
        <f t="shared" ref="H8:H13" si="4">L7</f>
        <v>-469669428.88398367</v>
      </c>
      <c r="I8" s="95">
        <f t="shared" si="0"/>
        <v>-43397455.228880093</v>
      </c>
      <c r="J8" s="94">
        <f t="shared" si="1"/>
        <v>0</v>
      </c>
      <c r="K8" s="87">
        <f t="shared" si="2"/>
        <v>13870000</v>
      </c>
      <c r="L8" s="88">
        <f t="shared" si="3"/>
        <v>-499196884.11286378</v>
      </c>
    </row>
    <row r="9" spans="1:12" ht="27">
      <c r="A9" s="89">
        <v>4</v>
      </c>
      <c r="B9" s="90" t="s">
        <v>12</v>
      </c>
      <c r="C9" s="96">
        <v>0.6</v>
      </c>
      <c r="D9" s="97" t="s">
        <v>5</v>
      </c>
      <c r="G9" s="93">
        <v>4</v>
      </c>
      <c r="H9" s="94">
        <f t="shared" si="4"/>
        <v>-499196884.11286378</v>
      </c>
      <c r="I9" s="95">
        <f t="shared" si="0"/>
        <v>-46125792.09202861</v>
      </c>
      <c r="J9" s="94">
        <f t="shared" si="1"/>
        <v>0</v>
      </c>
      <c r="K9" s="87">
        <f t="shared" si="2"/>
        <v>13870000</v>
      </c>
      <c r="L9" s="88">
        <f t="shared" si="3"/>
        <v>-531452676.2048924</v>
      </c>
    </row>
    <row r="10" spans="1:12">
      <c r="A10" s="89">
        <v>5</v>
      </c>
      <c r="B10" s="90" t="s">
        <v>13</v>
      </c>
      <c r="C10" s="98">
        <f>C8/C9</f>
        <v>66666.666666666672</v>
      </c>
      <c r="D10" s="92"/>
      <c r="G10" s="93">
        <v>5</v>
      </c>
      <c r="H10" s="94">
        <f t="shared" si="4"/>
        <v>-531452676.2048924</v>
      </c>
      <c r="I10" s="95">
        <f t="shared" si="0"/>
        <v>-49106227.281332053</v>
      </c>
      <c r="J10" s="94">
        <f t="shared" si="1"/>
        <v>0</v>
      </c>
      <c r="K10" s="87">
        <f t="shared" si="2"/>
        <v>13870000</v>
      </c>
      <c r="L10" s="88">
        <f t="shared" si="3"/>
        <v>-566688903.48622441</v>
      </c>
    </row>
    <row r="11" spans="1:12">
      <c r="A11" s="89">
        <v>6</v>
      </c>
      <c r="B11" s="90" t="s">
        <v>14</v>
      </c>
      <c r="C11" s="91">
        <f>C12/C10</f>
        <v>4564.3499999999995</v>
      </c>
      <c r="D11" s="92"/>
      <c r="G11" s="93">
        <v>6</v>
      </c>
      <c r="H11" s="94">
        <f>L10</f>
        <v>-566688903.48622441</v>
      </c>
      <c r="I11" s="95">
        <f t="shared" si="0"/>
        <v>-52362054.682127133</v>
      </c>
      <c r="J11" s="94">
        <f t="shared" si="1"/>
        <v>0</v>
      </c>
      <c r="K11" s="87">
        <f t="shared" si="2"/>
        <v>13870000</v>
      </c>
      <c r="L11" s="88">
        <f t="shared" si="3"/>
        <v>-605180958.16835153</v>
      </c>
    </row>
    <row r="12" spans="1:12">
      <c r="A12" s="89">
        <v>7</v>
      </c>
      <c r="B12" s="90" t="s">
        <v>15</v>
      </c>
      <c r="C12" s="91">
        <v>304290000</v>
      </c>
      <c r="D12" s="92"/>
      <c r="G12" s="93">
        <v>7</v>
      </c>
      <c r="H12" s="94">
        <f t="shared" si="4"/>
        <v>-605180958.16835153</v>
      </c>
      <c r="I12" s="95">
        <f t="shared" si="0"/>
        <v>-55918720.534755677</v>
      </c>
      <c r="J12" s="94">
        <f t="shared" si="1"/>
        <v>0</v>
      </c>
      <c r="K12" s="87">
        <f t="shared" si="2"/>
        <v>13870000</v>
      </c>
      <c r="L12" s="88">
        <f t="shared" si="3"/>
        <v>-647229678.70310724</v>
      </c>
    </row>
    <row r="13" spans="1:12" ht="14.25" thickBot="1">
      <c r="A13" s="89">
        <v>8</v>
      </c>
      <c r="B13" s="90" t="s">
        <v>16</v>
      </c>
      <c r="C13" s="96">
        <v>0.25</v>
      </c>
      <c r="D13" s="92"/>
      <c r="G13" s="99">
        <v>8</v>
      </c>
      <c r="H13" s="100">
        <f t="shared" si="4"/>
        <v>-647229678.70310724</v>
      </c>
      <c r="I13" s="101">
        <f t="shared" si="0"/>
        <v>-59804022.312167108</v>
      </c>
      <c r="J13" s="100">
        <f t="shared" si="1"/>
        <v>0</v>
      </c>
      <c r="K13" s="101">
        <f>$C$45+C12*C13</f>
        <v>89942500</v>
      </c>
      <c r="L13" s="102">
        <f>SUM(H13,I13,J13)+K13</f>
        <v>-617091201.01527429</v>
      </c>
    </row>
    <row r="14" spans="1:12">
      <c r="A14" s="89">
        <v>9</v>
      </c>
      <c r="B14" s="103" t="s">
        <v>49</v>
      </c>
      <c r="C14" s="91">
        <v>0</v>
      </c>
      <c r="D14" s="92"/>
    </row>
    <row r="15" spans="1:12">
      <c r="A15" s="89">
        <v>10</v>
      </c>
      <c r="B15" s="103" t="s">
        <v>50</v>
      </c>
      <c r="C15" s="91">
        <v>52500</v>
      </c>
      <c r="D15" s="92"/>
    </row>
    <row r="16" spans="1:12">
      <c r="A16" s="89">
        <v>11</v>
      </c>
      <c r="B16" s="103" t="s">
        <v>51</v>
      </c>
      <c r="C16" s="91">
        <v>333.33333329999999</v>
      </c>
      <c r="D16" s="92"/>
      <c r="H16" s="104"/>
    </row>
    <row r="17" spans="1:7">
      <c r="A17" s="89">
        <v>12</v>
      </c>
      <c r="B17" s="103" t="s">
        <v>52</v>
      </c>
      <c r="C17" s="91">
        <f>C15*C16</f>
        <v>17499999.99825</v>
      </c>
      <c r="D17" s="92"/>
    </row>
    <row r="18" spans="1:7">
      <c r="A18" s="89">
        <v>13</v>
      </c>
      <c r="B18" s="103" t="s">
        <v>53</v>
      </c>
      <c r="C18" s="91">
        <v>1</v>
      </c>
      <c r="D18" s="92"/>
    </row>
    <row r="19" spans="1:7">
      <c r="A19" s="89">
        <v>14</v>
      </c>
      <c r="B19" s="90" t="s">
        <v>54</v>
      </c>
      <c r="C19" s="91">
        <v>0.99</v>
      </c>
      <c r="D19" s="92"/>
    </row>
    <row r="20" spans="1:7">
      <c r="A20" s="89">
        <v>15</v>
      </c>
      <c r="B20" s="90" t="s">
        <v>55</v>
      </c>
      <c r="C20" s="91">
        <v>1</v>
      </c>
      <c r="D20" s="92"/>
      <c r="G20" s="118" t="s">
        <v>68</v>
      </c>
    </row>
    <row r="21" spans="1:7">
      <c r="A21" s="89">
        <v>16</v>
      </c>
      <c r="B21" s="90" t="s">
        <v>17</v>
      </c>
      <c r="C21" s="91">
        <v>0.9</v>
      </c>
      <c r="D21" s="92"/>
    </row>
    <row r="22" spans="1:7">
      <c r="A22" s="89">
        <v>17</v>
      </c>
      <c r="B22" s="90" t="s">
        <v>18</v>
      </c>
      <c r="C22" s="91">
        <v>3000</v>
      </c>
      <c r="D22" s="92"/>
    </row>
    <row r="23" spans="1:7">
      <c r="A23" s="89">
        <v>18</v>
      </c>
      <c r="B23" s="90" t="s">
        <v>32</v>
      </c>
      <c r="C23" s="91"/>
      <c r="D23" s="92"/>
    </row>
    <row r="24" spans="1:7">
      <c r="A24" s="89"/>
      <c r="B24" s="105" t="s">
        <v>41</v>
      </c>
      <c r="C24" s="91">
        <v>4830000</v>
      </c>
      <c r="D24" s="92"/>
    </row>
    <row r="25" spans="1:7">
      <c r="A25" s="89"/>
      <c r="B25" s="105" t="s">
        <v>42</v>
      </c>
      <c r="C25" s="91">
        <v>29806000</v>
      </c>
      <c r="D25" s="92"/>
    </row>
    <row r="26" spans="1:7">
      <c r="A26" s="89"/>
      <c r="B26" s="105" t="s">
        <v>45</v>
      </c>
      <c r="C26" s="91">
        <v>10000000</v>
      </c>
      <c r="D26" s="92"/>
    </row>
    <row r="27" spans="1:7">
      <c r="A27" s="89"/>
      <c r="B27" s="105">
        <v>4</v>
      </c>
      <c r="C27" s="91">
        <v>0</v>
      </c>
      <c r="D27" s="92"/>
    </row>
    <row r="28" spans="1:7">
      <c r="A28" s="89"/>
      <c r="B28" s="105">
        <v>5</v>
      </c>
      <c r="C28" s="91">
        <v>0</v>
      </c>
      <c r="D28" s="92"/>
    </row>
    <row r="29" spans="1:7">
      <c r="A29" s="89">
        <v>19</v>
      </c>
      <c r="B29" s="90" t="s">
        <v>31</v>
      </c>
      <c r="C29" s="91"/>
      <c r="D29" s="92"/>
    </row>
    <row r="30" spans="1:7">
      <c r="A30" s="89"/>
      <c r="B30" s="105" t="s">
        <v>40</v>
      </c>
      <c r="C30" s="91">
        <v>29181250</v>
      </c>
      <c r="D30" s="92"/>
    </row>
    <row r="31" spans="1:7">
      <c r="A31" s="89"/>
      <c r="B31" s="105" t="s">
        <v>43</v>
      </c>
      <c r="C31" s="91">
        <v>18683700</v>
      </c>
      <c r="D31" s="92"/>
    </row>
    <row r="32" spans="1:7">
      <c r="A32" s="89"/>
      <c r="B32" s="105" t="s">
        <v>44</v>
      </c>
      <c r="C32" s="91">
        <v>3605000</v>
      </c>
      <c r="D32" s="92"/>
    </row>
    <row r="33" spans="1:4">
      <c r="A33" s="89"/>
      <c r="B33" s="105">
        <v>4</v>
      </c>
      <c r="C33" s="91">
        <v>0</v>
      </c>
      <c r="D33" s="92"/>
    </row>
    <row r="34" spans="1:4">
      <c r="A34" s="89"/>
      <c r="B34" s="105">
        <v>5</v>
      </c>
      <c r="C34" s="91">
        <v>0</v>
      </c>
      <c r="D34" s="92"/>
    </row>
    <row r="35" spans="1:4">
      <c r="A35" s="89">
        <v>20</v>
      </c>
      <c r="B35" s="106" t="s">
        <v>19</v>
      </c>
      <c r="C35" s="91">
        <f>((SUM(C17,C30:C34)/C18)+C12*(1-C13)+SUM(C24:C28))/C19/C20/C21/C22/C10/C9</f>
        <v>3.1970019640689298</v>
      </c>
      <c r="D35" s="92"/>
    </row>
    <row r="36" spans="1:4">
      <c r="A36" s="89">
        <v>21</v>
      </c>
      <c r="B36" s="90" t="s">
        <v>46</v>
      </c>
      <c r="C36" s="107">
        <v>0.95</v>
      </c>
      <c r="D36" s="92" t="s">
        <v>47</v>
      </c>
    </row>
    <row r="37" spans="1:4">
      <c r="A37" s="89">
        <v>22</v>
      </c>
      <c r="B37" s="90" t="s">
        <v>48</v>
      </c>
      <c r="C37" s="91">
        <v>0</v>
      </c>
      <c r="D37" s="108"/>
    </row>
    <row r="38" spans="1:4">
      <c r="A38" s="89">
        <v>23</v>
      </c>
      <c r="B38" s="90" t="s">
        <v>20</v>
      </c>
      <c r="C38" s="91">
        <f>C36-C37</f>
        <v>0.95</v>
      </c>
      <c r="D38" s="108"/>
    </row>
    <row r="39" spans="1:4">
      <c r="A39" s="89">
        <v>24</v>
      </c>
      <c r="B39" s="90" t="s">
        <v>21</v>
      </c>
      <c r="C39" s="91">
        <f>C38-C35</f>
        <v>-2.2470019640689296</v>
      </c>
      <c r="D39" s="92"/>
    </row>
    <row r="40" spans="1:4">
      <c r="A40" s="89">
        <v>25</v>
      </c>
      <c r="B40" s="109" t="s">
        <v>34</v>
      </c>
      <c r="C40" s="91">
        <f>C10*C9*C36</f>
        <v>38000</v>
      </c>
      <c r="D40" s="92"/>
    </row>
    <row r="41" spans="1:4">
      <c r="A41" s="89">
        <v>26</v>
      </c>
      <c r="B41" s="109" t="s">
        <v>35</v>
      </c>
      <c r="C41" s="91">
        <f>C10*C9*C37/C19/C20/C21</f>
        <v>0</v>
      </c>
      <c r="D41" s="92"/>
    </row>
    <row r="42" spans="1:4">
      <c r="A42" s="89">
        <v>27</v>
      </c>
      <c r="B42" s="109" t="s">
        <v>36</v>
      </c>
      <c r="C42" s="91">
        <f>C40-C41</f>
        <v>38000</v>
      </c>
      <c r="D42" s="92"/>
    </row>
    <row r="43" spans="1:4">
      <c r="A43" s="89">
        <v>28</v>
      </c>
      <c r="B43" s="90" t="s">
        <v>37</v>
      </c>
      <c r="C43" s="91">
        <v>365</v>
      </c>
      <c r="D43" s="92"/>
    </row>
    <row r="44" spans="1:4">
      <c r="A44" s="89">
        <v>29</v>
      </c>
      <c r="B44" s="90" t="s">
        <v>38</v>
      </c>
      <c r="C44" s="91">
        <f>C22/C43</f>
        <v>8.2191780821917817</v>
      </c>
      <c r="D44" s="92"/>
    </row>
    <row r="45" spans="1:4">
      <c r="A45" s="89">
        <v>30</v>
      </c>
      <c r="B45" s="90" t="s">
        <v>22</v>
      </c>
      <c r="C45" s="91">
        <f>C42*C43</f>
        <v>13870000</v>
      </c>
      <c r="D45" s="92"/>
    </row>
    <row r="46" spans="1:4">
      <c r="A46" s="89">
        <v>31</v>
      </c>
      <c r="B46" s="90" t="s">
        <v>23</v>
      </c>
      <c r="C46" s="91">
        <f>C42*C22</f>
        <v>114000000</v>
      </c>
      <c r="D46" s="92"/>
    </row>
    <row r="47" spans="1:4" ht="14.25" thickBot="1">
      <c r="A47" s="110">
        <v>32</v>
      </c>
      <c r="B47" s="111" t="s">
        <v>39</v>
      </c>
      <c r="C47" s="112">
        <f>C17+C12+SUM(C24:C28,C30:C34)</f>
        <v>417895949.99825001</v>
      </c>
      <c r="D47" s="113"/>
    </row>
    <row r="48" spans="1:4">
      <c r="A48" s="114"/>
      <c r="B48" s="115"/>
      <c r="C48" s="116"/>
      <c r="D48" s="117"/>
    </row>
  </sheetData>
  <sheetProtection password="C41B" sheet="1" formatCells="0" formatColumns="0" formatRows="0" insertColumns="0" insertRows="0" insertHyperlinks="0" deleteColumns="0" deleteRows="0" selectLockedCells="1" sort="0" autoFilter="0" pivotTables="0"/>
  <mergeCells count="1">
    <mergeCell ref="A3:D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90" zoomScaleNormal="90" workbookViewId="0">
      <selection activeCell="G17" sqref="G17"/>
    </sheetView>
  </sheetViews>
  <sheetFormatPr defaultRowHeight="13.5"/>
  <cols>
    <col min="1" max="1" width="6.125" customWidth="1"/>
    <col min="2" max="2" width="46.75" customWidth="1"/>
    <col min="3" max="3" width="18.375" style="2" customWidth="1"/>
    <col min="4" max="4" width="19" customWidth="1"/>
    <col min="6" max="6" width="12.75" customWidth="1"/>
    <col min="7" max="7" width="8.75" customWidth="1"/>
    <col min="8" max="8" width="19.875" customWidth="1"/>
    <col min="9" max="9" width="18.5" customWidth="1"/>
    <col min="10" max="10" width="17.375" customWidth="1"/>
    <col min="11" max="11" width="18.5" customWidth="1"/>
    <col min="12" max="12" width="19.25" customWidth="1"/>
  </cols>
  <sheetData>
    <row r="1" spans="1:12" ht="20.25">
      <c r="A1" s="1" t="s">
        <v>7</v>
      </c>
    </row>
    <row r="2" spans="1:12" ht="14.25">
      <c r="A2" s="6" t="s">
        <v>2</v>
      </c>
    </row>
    <row r="3" spans="1:12" ht="47.25" customHeight="1">
      <c r="A3" s="120" t="s">
        <v>33</v>
      </c>
      <c r="B3" s="120"/>
      <c r="C3" s="120"/>
      <c r="D3" s="120"/>
      <c r="I3" s="50" t="s">
        <v>64</v>
      </c>
    </row>
    <row r="4" spans="1:12" ht="14.25" thickBot="1">
      <c r="A4" s="38" t="s">
        <v>56</v>
      </c>
      <c r="B4" s="21" t="s">
        <v>8</v>
      </c>
      <c r="G4" s="38" t="s">
        <v>30</v>
      </c>
      <c r="I4" s="60">
        <v>0.13880000000000001</v>
      </c>
      <c r="J4" s="23"/>
    </row>
    <row r="5" spans="1:12" ht="14.25" thickBot="1">
      <c r="A5" s="17" t="s">
        <v>0</v>
      </c>
      <c r="B5" s="18" t="s">
        <v>1</v>
      </c>
      <c r="C5" s="19" t="s">
        <v>3</v>
      </c>
      <c r="D5" s="20" t="s">
        <v>4</v>
      </c>
      <c r="G5" s="24" t="s">
        <v>24</v>
      </c>
      <c r="H5" s="25" t="s">
        <v>25</v>
      </c>
      <c r="I5" s="26" t="s">
        <v>26</v>
      </c>
      <c r="J5" s="25" t="s">
        <v>27</v>
      </c>
      <c r="K5" s="26" t="s">
        <v>28</v>
      </c>
      <c r="L5" s="25" t="s">
        <v>29</v>
      </c>
    </row>
    <row r="6" spans="1:12">
      <c r="A6" s="13">
        <v>1</v>
      </c>
      <c r="B6" s="14" t="s">
        <v>9</v>
      </c>
      <c r="C6" s="15">
        <v>1000</v>
      </c>
      <c r="D6" s="16"/>
      <c r="G6" s="27">
        <v>1</v>
      </c>
      <c r="H6" s="28">
        <f>-$C$47</f>
        <v>-417895949.99825001</v>
      </c>
      <c r="I6" s="29">
        <f>$I$4*H6</f>
        <v>-58003957.859757103</v>
      </c>
      <c r="J6" s="28"/>
      <c r="K6" s="29">
        <f>$C$45</f>
        <v>1679000</v>
      </c>
      <c r="L6" s="30">
        <f>SUM(H6,I6,J6)+K6</f>
        <v>-474220907.85800713</v>
      </c>
    </row>
    <row r="7" spans="1:12">
      <c r="A7" s="4">
        <v>2</v>
      </c>
      <c r="B7" s="3" t="s">
        <v>10</v>
      </c>
      <c r="C7" s="7">
        <v>4</v>
      </c>
      <c r="D7" s="5"/>
      <c r="G7" s="31">
        <v>2</v>
      </c>
      <c r="H7" s="32">
        <f>L6</f>
        <v>-474220907.85800713</v>
      </c>
      <c r="I7" s="33">
        <f t="shared" ref="I7:I13" si="0">$I$4*H7</f>
        <v>-65821862.010691397</v>
      </c>
      <c r="J7" s="32">
        <f t="shared" ref="J7:J13" si="1">$J$6</f>
        <v>0</v>
      </c>
      <c r="K7" s="29">
        <f t="shared" ref="K7:K12" si="2">$C$45</f>
        <v>1679000</v>
      </c>
      <c r="L7" s="30">
        <f t="shared" ref="L7:L12" si="3">SUM(H7,I7,J7)+K7</f>
        <v>-538363769.86869848</v>
      </c>
    </row>
    <row r="8" spans="1:12">
      <c r="A8" s="4">
        <v>3</v>
      </c>
      <c r="B8" s="3" t="s">
        <v>11</v>
      </c>
      <c r="C8" s="7">
        <f>C6*C7</f>
        <v>4000</v>
      </c>
      <c r="D8" s="5"/>
      <c r="G8" s="31">
        <v>3</v>
      </c>
      <c r="H8" s="32">
        <f t="shared" ref="H8:H13" si="4">L7</f>
        <v>-538363769.86869848</v>
      </c>
      <c r="I8" s="33">
        <f t="shared" si="0"/>
        <v>-74724891.257775351</v>
      </c>
      <c r="J8" s="32">
        <f t="shared" si="1"/>
        <v>0</v>
      </c>
      <c r="K8" s="29">
        <f t="shared" si="2"/>
        <v>1679000</v>
      </c>
      <c r="L8" s="30">
        <f t="shared" si="3"/>
        <v>-611409661.12647378</v>
      </c>
    </row>
    <row r="9" spans="1:12" ht="27">
      <c r="A9" s="4">
        <v>4</v>
      </c>
      <c r="B9" s="3" t="s">
        <v>12</v>
      </c>
      <c r="C9" s="8">
        <v>0.6</v>
      </c>
      <c r="D9" s="11" t="s">
        <v>5</v>
      </c>
      <c r="G9" s="31">
        <v>4</v>
      </c>
      <c r="H9" s="32">
        <f t="shared" si="4"/>
        <v>-611409661.12647378</v>
      </c>
      <c r="I9" s="33">
        <f t="shared" si="0"/>
        <v>-84863660.96435456</v>
      </c>
      <c r="J9" s="32">
        <f t="shared" si="1"/>
        <v>0</v>
      </c>
      <c r="K9" s="29">
        <f t="shared" si="2"/>
        <v>1679000</v>
      </c>
      <c r="L9" s="30">
        <f t="shared" si="3"/>
        <v>-694594322.0908283</v>
      </c>
    </row>
    <row r="10" spans="1:12">
      <c r="A10" s="4">
        <v>5</v>
      </c>
      <c r="B10" s="3" t="s">
        <v>13</v>
      </c>
      <c r="C10" s="12">
        <f>C8/C9</f>
        <v>6666.666666666667</v>
      </c>
      <c r="D10" s="5"/>
      <c r="G10" s="31">
        <v>5</v>
      </c>
      <c r="H10" s="32">
        <f t="shared" si="4"/>
        <v>-694594322.0908283</v>
      </c>
      <c r="I10" s="33">
        <f t="shared" si="0"/>
        <v>-96409691.906206965</v>
      </c>
      <c r="J10" s="32">
        <f t="shared" si="1"/>
        <v>0</v>
      </c>
      <c r="K10" s="29">
        <f t="shared" si="2"/>
        <v>1679000</v>
      </c>
      <c r="L10" s="30">
        <f t="shared" si="3"/>
        <v>-789325013.99703526</v>
      </c>
    </row>
    <row r="11" spans="1:12">
      <c r="A11" s="4">
        <v>6</v>
      </c>
      <c r="B11" s="3" t="s">
        <v>14</v>
      </c>
      <c r="C11" s="7">
        <f>C12/C10</f>
        <v>45643.5</v>
      </c>
      <c r="D11" s="5"/>
      <c r="G11" s="31">
        <v>6</v>
      </c>
      <c r="H11" s="32">
        <f t="shared" si="4"/>
        <v>-789325013.99703526</v>
      </c>
      <c r="I11" s="33">
        <f t="shared" si="0"/>
        <v>-109558311.9427885</v>
      </c>
      <c r="J11" s="32">
        <f t="shared" si="1"/>
        <v>0</v>
      </c>
      <c r="K11" s="29">
        <f t="shared" si="2"/>
        <v>1679000</v>
      </c>
      <c r="L11" s="30">
        <f t="shared" si="3"/>
        <v>-897204325.93982375</v>
      </c>
    </row>
    <row r="12" spans="1:12">
      <c r="A12" s="4">
        <v>7</v>
      </c>
      <c r="B12" s="3" t="s">
        <v>15</v>
      </c>
      <c r="C12" s="7">
        <v>304290000</v>
      </c>
      <c r="D12" s="5"/>
      <c r="G12" s="31">
        <v>7</v>
      </c>
      <c r="H12" s="32">
        <f t="shared" si="4"/>
        <v>-897204325.93982375</v>
      </c>
      <c r="I12" s="33">
        <f t="shared" si="0"/>
        <v>-124531960.44044754</v>
      </c>
      <c r="J12" s="32">
        <f t="shared" si="1"/>
        <v>0</v>
      </c>
      <c r="K12" s="29">
        <f t="shared" si="2"/>
        <v>1679000</v>
      </c>
      <c r="L12" s="30">
        <f t="shared" si="3"/>
        <v>-1020057286.3802713</v>
      </c>
    </row>
    <row r="13" spans="1:12" ht="14.25" thickBot="1">
      <c r="A13" s="4">
        <v>8</v>
      </c>
      <c r="B13" s="3" t="s">
        <v>16</v>
      </c>
      <c r="C13" s="8">
        <v>0.25</v>
      </c>
      <c r="D13" s="5"/>
      <c r="G13" s="34">
        <v>8</v>
      </c>
      <c r="H13" s="35">
        <f t="shared" si="4"/>
        <v>-1020057286.3802713</v>
      </c>
      <c r="I13" s="35">
        <f t="shared" si="0"/>
        <v>-141583951.34958166</v>
      </c>
      <c r="J13" s="35">
        <f t="shared" si="1"/>
        <v>0</v>
      </c>
      <c r="K13" s="36">
        <f>$C$45+C12*C13</f>
        <v>77751500</v>
      </c>
      <c r="L13" s="37">
        <f>SUM(H13,I13,J13)+K13</f>
        <v>-1083889737.7298529</v>
      </c>
    </row>
    <row r="14" spans="1:12">
      <c r="A14" s="4">
        <v>9</v>
      </c>
      <c r="B14" s="49" t="s">
        <v>49</v>
      </c>
      <c r="C14" s="7">
        <v>0</v>
      </c>
      <c r="D14" s="5"/>
    </row>
    <row r="15" spans="1:12">
      <c r="A15" s="4">
        <v>10</v>
      </c>
      <c r="B15" s="49" t="s">
        <v>50</v>
      </c>
      <c r="C15" s="7">
        <v>52500</v>
      </c>
      <c r="D15" s="5"/>
    </row>
    <row r="16" spans="1:12">
      <c r="A16" s="4">
        <v>11</v>
      </c>
      <c r="B16" s="49" t="s">
        <v>51</v>
      </c>
      <c r="C16" s="7">
        <v>333.33333329999999</v>
      </c>
      <c r="D16" s="5"/>
      <c r="H16" s="43"/>
    </row>
    <row r="17" spans="1:4">
      <c r="A17" s="4">
        <v>12</v>
      </c>
      <c r="B17" s="49" t="s">
        <v>52</v>
      </c>
      <c r="C17" s="7">
        <f>C15*C16</f>
        <v>17499999.99825</v>
      </c>
      <c r="D17" s="5"/>
    </row>
    <row r="18" spans="1:4">
      <c r="A18" s="4">
        <v>13</v>
      </c>
      <c r="B18" s="49" t="s">
        <v>53</v>
      </c>
      <c r="C18" s="7">
        <v>1</v>
      </c>
      <c r="D18" s="5"/>
    </row>
    <row r="19" spans="1:4">
      <c r="A19" s="4">
        <v>14</v>
      </c>
      <c r="B19" s="3" t="s">
        <v>54</v>
      </c>
      <c r="C19" s="7">
        <v>0.99</v>
      </c>
      <c r="D19" s="5"/>
    </row>
    <row r="20" spans="1:4">
      <c r="A20" s="4">
        <v>15</v>
      </c>
      <c r="B20" s="3" t="s">
        <v>55</v>
      </c>
      <c r="C20" s="7">
        <v>1</v>
      </c>
      <c r="D20" s="5"/>
    </row>
    <row r="21" spans="1:4">
      <c r="A21" s="4">
        <v>16</v>
      </c>
      <c r="B21" s="3" t="s">
        <v>17</v>
      </c>
      <c r="C21" s="7">
        <v>0.9</v>
      </c>
      <c r="D21" s="5"/>
    </row>
    <row r="22" spans="1:4">
      <c r="A22" s="4">
        <v>17</v>
      </c>
      <c r="B22" s="3" t="s">
        <v>18</v>
      </c>
      <c r="C22" s="7">
        <v>3000</v>
      </c>
      <c r="D22" s="5"/>
    </row>
    <row r="23" spans="1:4">
      <c r="A23" s="4">
        <v>18</v>
      </c>
      <c r="B23" s="3" t="s">
        <v>32</v>
      </c>
      <c r="C23" s="7"/>
      <c r="D23" s="5"/>
    </row>
    <row r="24" spans="1:4">
      <c r="A24" s="4"/>
      <c r="B24" s="39" t="s">
        <v>41</v>
      </c>
      <c r="C24" s="7">
        <v>4830000</v>
      </c>
      <c r="D24" s="5"/>
    </row>
    <row r="25" spans="1:4">
      <c r="A25" s="4"/>
      <c r="B25" s="39" t="s">
        <v>42</v>
      </c>
      <c r="C25" s="7">
        <v>29806000</v>
      </c>
      <c r="D25" s="5"/>
    </row>
    <row r="26" spans="1:4">
      <c r="A26" s="4"/>
      <c r="B26" s="39" t="s">
        <v>45</v>
      </c>
      <c r="C26" s="7">
        <v>10000000</v>
      </c>
      <c r="D26" s="5"/>
    </row>
    <row r="27" spans="1:4">
      <c r="A27" s="4"/>
      <c r="B27" s="39">
        <v>4</v>
      </c>
      <c r="C27" s="7">
        <v>0</v>
      </c>
      <c r="D27" s="5"/>
    </row>
    <row r="28" spans="1:4">
      <c r="A28" s="4"/>
      <c r="B28" s="39">
        <v>5</v>
      </c>
      <c r="C28" s="7">
        <v>0</v>
      </c>
      <c r="D28" s="5"/>
    </row>
    <row r="29" spans="1:4">
      <c r="A29" s="4">
        <v>19</v>
      </c>
      <c r="B29" s="3" t="s">
        <v>31</v>
      </c>
      <c r="C29" s="7"/>
      <c r="D29" s="5"/>
    </row>
    <row r="30" spans="1:4">
      <c r="A30" s="4"/>
      <c r="B30" s="39" t="s">
        <v>40</v>
      </c>
      <c r="C30" s="7">
        <v>29181250</v>
      </c>
      <c r="D30" s="5"/>
    </row>
    <row r="31" spans="1:4">
      <c r="A31" s="4"/>
      <c r="B31" s="39" t="s">
        <v>43</v>
      </c>
      <c r="C31" s="7">
        <v>18683700</v>
      </c>
      <c r="D31" s="5"/>
    </row>
    <row r="32" spans="1:4">
      <c r="A32" s="4"/>
      <c r="B32" s="39" t="s">
        <v>44</v>
      </c>
      <c r="C32" s="7">
        <v>3605000</v>
      </c>
      <c r="D32" s="5"/>
    </row>
    <row r="33" spans="1:4">
      <c r="A33" s="4"/>
      <c r="B33" s="39">
        <v>4</v>
      </c>
      <c r="C33" s="7">
        <v>0</v>
      </c>
      <c r="D33" s="5"/>
    </row>
    <row r="34" spans="1:4">
      <c r="A34" s="4"/>
      <c r="B34" s="39">
        <v>5</v>
      </c>
      <c r="C34" s="7">
        <v>0</v>
      </c>
      <c r="D34" s="5"/>
    </row>
    <row r="35" spans="1:4">
      <c r="A35" s="4">
        <v>20</v>
      </c>
      <c r="B35" s="22" t="s">
        <v>19</v>
      </c>
      <c r="C35" s="7">
        <f>((SUM(C17,C30:C34)/C18)+C12*(1-C13)+SUM(C24:C28))/C19/C20/C21/C22/C10/C9</f>
        <v>31.970019640689298</v>
      </c>
      <c r="D35" s="5"/>
    </row>
    <row r="36" spans="1:4">
      <c r="A36" s="4">
        <v>21</v>
      </c>
      <c r="B36" s="3" t="s">
        <v>46</v>
      </c>
      <c r="C36" s="51">
        <v>1.1499999999999999</v>
      </c>
      <c r="D36" s="5" t="s">
        <v>46</v>
      </c>
    </row>
    <row r="37" spans="1:4">
      <c r="A37" s="4">
        <v>22</v>
      </c>
      <c r="B37" s="3" t="s">
        <v>48</v>
      </c>
      <c r="C37" s="7">
        <v>0</v>
      </c>
      <c r="D37" s="42"/>
    </row>
    <row r="38" spans="1:4">
      <c r="A38" s="4">
        <v>23</v>
      </c>
      <c r="B38" s="3" t="s">
        <v>20</v>
      </c>
      <c r="C38" s="7">
        <f>C36-C37</f>
        <v>1.1499999999999999</v>
      </c>
      <c r="D38" s="42"/>
    </row>
    <row r="39" spans="1:4">
      <c r="A39" s="4">
        <v>24</v>
      </c>
      <c r="B39" s="3" t="s">
        <v>21</v>
      </c>
      <c r="C39" s="7">
        <f>C38-C35</f>
        <v>-30.820019640689299</v>
      </c>
      <c r="D39" s="5"/>
    </row>
    <row r="40" spans="1:4">
      <c r="A40" s="4">
        <v>25</v>
      </c>
      <c r="B40" s="41" t="s">
        <v>34</v>
      </c>
      <c r="C40" s="7">
        <f>C10*C9*C36</f>
        <v>4600</v>
      </c>
      <c r="D40" s="5"/>
    </row>
    <row r="41" spans="1:4">
      <c r="A41" s="4">
        <v>26</v>
      </c>
      <c r="B41" s="41" t="s">
        <v>35</v>
      </c>
      <c r="C41" s="7">
        <f>C10*C9*C37/C19/C20/C21</f>
        <v>0</v>
      </c>
      <c r="D41" s="5"/>
    </row>
    <row r="42" spans="1:4">
      <c r="A42" s="4">
        <v>27</v>
      </c>
      <c r="B42" s="41" t="s">
        <v>36</v>
      </c>
      <c r="C42" s="7">
        <f>C40-C41</f>
        <v>4600</v>
      </c>
      <c r="D42" s="5"/>
    </row>
    <row r="43" spans="1:4">
      <c r="A43" s="4">
        <v>28</v>
      </c>
      <c r="B43" s="3" t="s">
        <v>37</v>
      </c>
      <c r="C43" s="7">
        <v>365</v>
      </c>
      <c r="D43" s="5"/>
    </row>
    <row r="44" spans="1:4">
      <c r="A44" s="4">
        <v>29</v>
      </c>
      <c r="B44" s="3" t="s">
        <v>38</v>
      </c>
      <c r="C44" s="7">
        <f>C22/C43</f>
        <v>8.2191780821917817</v>
      </c>
      <c r="D44" s="5"/>
    </row>
    <row r="45" spans="1:4">
      <c r="A45" s="4">
        <v>30</v>
      </c>
      <c r="B45" s="3" t="s">
        <v>22</v>
      </c>
      <c r="C45" s="7">
        <f>C42*C43</f>
        <v>1679000</v>
      </c>
      <c r="D45" s="5"/>
    </row>
    <row r="46" spans="1:4">
      <c r="A46" s="4">
        <v>31</v>
      </c>
      <c r="B46" s="3" t="s">
        <v>23</v>
      </c>
      <c r="C46" s="7">
        <f>C42*C22</f>
        <v>13800000</v>
      </c>
      <c r="D46" s="5"/>
    </row>
    <row r="47" spans="1:4" ht="14.25" thickBot="1">
      <c r="A47" s="9">
        <v>32</v>
      </c>
      <c r="B47" s="48" t="s">
        <v>39</v>
      </c>
      <c r="C47" s="10">
        <f>C17+C12+SUM(C24:C28,C30:C34)</f>
        <v>417895949.99825001</v>
      </c>
      <c r="D47" s="40"/>
    </row>
    <row r="48" spans="1:4">
      <c r="A48" s="44"/>
      <c r="B48" s="47"/>
      <c r="C48" s="45"/>
      <c r="D48" s="46"/>
    </row>
  </sheetData>
  <mergeCells count="1">
    <mergeCell ref="A3:D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3.5"/>
  <cols>
    <col min="1" max="1" width="37.25" customWidth="1"/>
    <col min="2" max="2" width="19.375" customWidth="1"/>
    <col min="3" max="3" width="19.5" customWidth="1"/>
  </cols>
  <sheetData>
    <row r="1" spans="1:3" ht="15">
      <c r="A1" s="52" t="s">
        <v>63</v>
      </c>
    </row>
    <row r="2" spans="1:3" ht="14.25" thickBot="1"/>
    <row r="3" spans="1:3" ht="15">
      <c r="A3" s="54" t="s">
        <v>57</v>
      </c>
      <c r="B3" s="61">
        <f>'0.95'!C36</f>
        <v>0.95</v>
      </c>
      <c r="C3" s="62">
        <f>'1.15'!C36</f>
        <v>1.1499999999999999</v>
      </c>
    </row>
    <row r="4" spans="1:3" ht="15">
      <c r="A4" s="55" t="s">
        <v>58</v>
      </c>
      <c r="B4" s="53">
        <f>'0.95'!C47</f>
        <v>417895949.99825001</v>
      </c>
      <c r="C4" s="56">
        <f>'1.15'!C47</f>
        <v>417895949.99825001</v>
      </c>
    </row>
    <row r="5" spans="1:3" ht="15">
      <c r="A5" s="55" t="s">
        <v>59</v>
      </c>
      <c r="B5" s="53">
        <f>'0.95'!C12*'0.95'!C13</f>
        <v>76072500</v>
      </c>
      <c r="C5" s="56">
        <f>'1.15'!C12*'1.15'!C13</f>
        <v>76072500</v>
      </c>
    </row>
    <row r="6" spans="1:3" ht="15">
      <c r="A6" s="55" t="s">
        <v>60</v>
      </c>
      <c r="B6" s="53">
        <v>69350000</v>
      </c>
      <c r="C6" s="56">
        <v>83950000</v>
      </c>
    </row>
    <row r="7" spans="1:3" ht="15">
      <c r="A7" s="55" t="s">
        <v>65</v>
      </c>
      <c r="B7" s="53">
        <f>'0.95'!C46</f>
        <v>114000000</v>
      </c>
      <c r="C7" s="56">
        <f>'1.15'!C46</f>
        <v>13800000</v>
      </c>
    </row>
    <row r="8" spans="1:3" ht="15">
      <c r="A8" s="55" t="s">
        <v>61</v>
      </c>
      <c r="B8" s="53">
        <f>B7+B5</f>
        <v>190072500</v>
      </c>
      <c r="C8" s="56">
        <f>C7+C5</f>
        <v>89872500</v>
      </c>
    </row>
    <row r="9" spans="1:3" ht="15">
      <c r="A9" s="55" t="s">
        <v>62</v>
      </c>
      <c r="B9" s="53">
        <f>B8-B4</f>
        <v>-227823449.99825001</v>
      </c>
      <c r="C9" s="56">
        <f>C8-C4</f>
        <v>-328023449.99825001</v>
      </c>
    </row>
    <row r="10" spans="1:3" ht="15">
      <c r="A10" s="55" t="s">
        <v>67</v>
      </c>
      <c r="B10" s="58">
        <f>B4/B6</f>
        <v>6.0258968997584716</v>
      </c>
      <c r="C10" s="59">
        <f>C4/C6</f>
        <v>4.9779148302352594</v>
      </c>
    </row>
    <row r="11" spans="1:3" ht="15.75" thickBot="1">
      <c r="A11" s="57" t="s">
        <v>66</v>
      </c>
      <c r="B11" s="63">
        <f>'0.95'!I4</f>
        <v>9.2399999999999996E-2</v>
      </c>
      <c r="C11" s="64">
        <f>'1.15'!I4</f>
        <v>0.13880000000000001</v>
      </c>
    </row>
  </sheetData>
  <phoneticPr fontId="1" type="noConversion"/>
  <pageMargins left="0.7" right="0.7" top="0.75" bottom="0.75" header="0.3" footer="0.3"/>
  <pageSetup paperSize="1000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0.95</vt:lpstr>
      <vt:lpstr>1.15</vt:lpstr>
      <vt:lpstr>分析比较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pman</dc:creator>
  <cp:lastModifiedBy>bbs.21spv.com</cp:lastModifiedBy>
  <dcterms:created xsi:type="dcterms:W3CDTF">2015-11-03T02:26:01Z</dcterms:created>
  <dcterms:modified xsi:type="dcterms:W3CDTF">2020-09-10T13:41:09Z</dcterms:modified>
</cp:coreProperties>
</file>