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825" windowHeight="7860" activeTab="1"/>
  </bookViews>
  <sheets>
    <sheet name="项目分析" sheetId="1" r:id="rId1"/>
    <sheet name="效益测算分析表" sheetId="2" r:id="rId2"/>
  </sheets>
  <calcPr calcId="144525"/>
</workbook>
</file>

<file path=xl/comments1.xml><?xml version="1.0" encoding="utf-8"?>
<comments xmlns="http://schemas.openxmlformats.org/spreadsheetml/2006/main">
  <authors>
    <author>lenovo</author>
  </authors>
  <commentList>
    <comment ref="F4" authorId="0">
      <text>
        <r>
          <rPr>
            <b/>
            <sz val="9"/>
            <rFont val="宋体"/>
            <charset val="134"/>
          </rPr>
          <t>lenovo:</t>
        </r>
        <r>
          <rPr>
            <sz val="9"/>
            <rFont val="宋体"/>
            <charset val="134"/>
          </rPr>
          <t xml:space="preserve">
设备占投资70%预计</t>
        </r>
      </text>
    </comment>
    <comment ref="C5" authorId="0">
      <text>
        <r>
          <rPr>
            <b/>
            <sz val="9"/>
            <rFont val="宋体"/>
            <charset val="134"/>
          </rPr>
          <t>lenovo:</t>
        </r>
        <r>
          <rPr>
            <sz val="9"/>
            <rFont val="宋体"/>
            <charset val="134"/>
          </rPr>
          <t xml:space="preserve">
资本金20%</t>
        </r>
      </text>
    </comment>
    <comment ref="D8" authorId="0">
      <text>
        <r>
          <rPr>
            <b/>
            <sz val="9"/>
            <rFont val="宋体"/>
            <charset val="134"/>
          </rPr>
          <t>lenovo:</t>
        </r>
        <r>
          <rPr>
            <sz val="9"/>
            <rFont val="宋体"/>
            <charset val="134"/>
          </rPr>
          <t xml:space="preserve">
设定十年还款期</t>
        </r>
      </text>
    </comment>
  </commentList>
</comments>
</file>

<file path=xl/sharedStrings.xml><?xml version="1.0" encoding="utf-8"?>
<sst xmlns="http://schemas.openxmlformats.org/spreadsheetml/2006/main" count="86" uniqueCount="81">
  <si>
    <t>说明：本次表格按250KW/1MWh储能系统进行相应的计算，储能系统主要按削峰填谷的运行模式进行，储能电站分别在夜间电力低谷期间和下午平段期间对电池进行充电；在早高峰电价时刻和晚高峰电价时刻储能系统进行放电服务。</t>
  </si>
  <si>
    <t>1、峰平谷时</t>
  </si>
  <si>
    <t>名称</t>
  </si>
  <si>
    <t>时间段</t>
  </si>
  <si>
    <t>高峰</t>
  </si>
  <si>
    <t>9:00-12:00、19:00-22:00</t>
  </si>
  <si>
    <t>低谷</t>
  </si>
  <si>
    <t>0:00-8:00</t>
  </si>
  <si>
    <t>平段</t>
  </si>
  <si>
    <t>8:00-9:00、12:00-19:00、22:00-24:00</t>
  </si>
  <si>
    <t>2、充放电时间</t>
  </si>
  <si>
    <t>充电</t>
  </si>
  <si>
    <t>12:00-19:00</t>
  </si>
  <si>
    <t>放电</t>
  </si>
  <si>
    <t>9:00-12:00</t>
  </si>
  <si>
    <t>19:00-22:00</t>
  </si>
  <si>
    <t>3、电费收益（单位：kWh）（按70%的放电深度计算）</t>
  </si>
  <si>
    <t>放电功率（KW）</t>
  </si>
  <si>
    <t>充电功率（kw）</t>
  </si>
  <si>
    <t>充电时间（h）</t>
  </si>
  <si>
    <t>放电时间（h）</t>
  </si>
  <si>
    <t>电池容量（KWh）</t>
  </si>
  <si>
    <t>电价</t>
  </si>
  <si>
    <t>电费日收益元</t>
  </si>
  <si>
    <t>年收益</t>
  </si>
  <si>
    <t>总计</t>
  </si>
  <si>
    <t>4、投入成本</t>
  </si>
  <si>
    <t>单价（元/KWh）</t>
  </si>
  <si>
    <t>投入成本</t>
  </si>
  <si>
    <t>储能项目投资效益测算分析表（更多资料关注公众号 储能）</t>
  </si>
  <si>
    <t>序号</t>
  </si>
  <si>
    <t>项  目</t>
  </si>
  <si>
    <t>一、</t>
  </si>
  <si>
    <t>基本情况</t>
  </si>
  <si>
    <t>总投资（元）</t>
  </si>
  <si>
    <t>设备购置税</t>
  </si>
  <si>
    <t>投入资本金（万元）</t>
  </si>
  <si>
    <t>其中：集团投入</t>
  </si>
  <si>
    <t>贷款余额（万元）</t>
  </si>
  <si>
    <t>其中：归还贷款（万元）</t>
  </si>
  <si>
    <t>折现率</t>
  </si>
  <si>
    <t>现值系数</t>
  </si>
  <si>
    <t>容量(KWh)</t>
  </si>
  <si>
    <t>充放电天数（天）</t>
  </si>
  <si>
    <t>平时段充电量（KWh）</t>
  </si>
  <si>
    <t>谷时段充电量（KWh）</t>
  </si>
  <si>
    <t>峰时段放电量（KWh）</t>
  </si>
  <si>
    <t>日收益值(元/KWH)</t>
  </si>
  <si>
    <t>二、</t>
  </si>
  <si>
    <t>发电收入（元）</t>
  </si>
  <si>
    <t>收入（元）-不含税</t>
  </si>
  <si>
    <t>收入（万元）-税收</t>
  </si>
  <si>
    <t>实际收入</t>
  </si>
  <si>
    <t>三、</t>
  </si>
  <si>
    <t>总成本费用（元）</t>
  </si>
  <si>
    <t>折旧(元)</t>
  </si>
  <si>
    <t>营运成本(元)</t>
  </si>
  <si>
    <t>其中：材料（元）</t>
  </si>
  <si>
    <t>定额5-10元/KWh</t>
  </si>
  <si>
    <t xml:space="preserve">     职工薪酬（元）</t>
  </si>
  <si>
    <t>人均4万元/年</t>
  </si>
  <si>
    <t xml:space="preserve">     其他费用（元）</t>
  </si>
  <si>
    <t>四、</t>
  </si>
  <si>
    <t>利润总额（万元）</t>
  </si>
  <si>
    <t>所得税（元）</t>
  </si>
  <si>
    <t>净利润（元）</t>
  </si>
  <si>
    <t>五、</t>
  </si>
  <si>
    <t>现金流量（万元）</t>
  </si>
  <si>
    <t>净流量（万元）</t>
  </si>
  <si>
    <t>现值（万元）</t>
  </si>
  <si>
    <t>全现金流</t>
  </si>
  <si>
    <t>累计净现值（NPV）（万元）</t>
  </si>
  <si>
    <t>自有资金投资回报率</t>
  </si>
  <si>
    <t>公司现行评价标准为8%</t>
  </si>
  <si>
    <t>全投资回报率</t>
  </si>
  <si>
    <t>公司现行评价标准为7%</t>
  </si>
  <si>
    <t>累计现金流量（万元）</t>
  </si>
  <si>
    <t>投资回收期(年)</t>
  </si>
  <si>
    <t>IRR=k·IRRm+(1-k)IL</t>
  </si>
  <si>
    <t>IRR全投资回报率，IRRM自有资金回报率，IL银行利率，K自有资金百分比；IRR&gt;IL时，IRRm&gt;IRR； IRR&lt;IL时，IRRm&lt;IRR</t>
  </si>
  <si>
    <t xml:space="preserve">资本金内部收益率其实质就是使技资方案在计算期内各年净现金流量的现值累计等于零时的折现率。其数学表达式为： 中FIRR—财务内部收益率。
</t>
  </si>
</sst>
</file>

<file path=xl/styles.xml><?xml version="1.0" encoding="utf-8"?>
<styleSheet xmlns="http://schemas.openxmlformats.org/spreadsheetml/2006/main">
  <numFmts count="13">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 "/>
    <numFmt numFmtId="177" formatCode="0;_ꠀ"/>
    <numFmt numFmtId="178" formatCode="_ * #,##0_ ;_ * \-#,##0_ ;_ * &quot;-&quot;??_ ;_ @_ "/>
    <numFmt numFmtId="179" formatCode="0.00_);[Red]\(0.00\)"/>
    <numFmt numFmtId="180" formatCode="0.000_ "/>
    <numFmt numFmtId="181" formatCode="0;_怀"/>
    <numFmt numFmtId="182" formatCode="0.0000_ "/>
    <numFmt numFmtId="183" formatCode="0_);[Red]\(0\)"/>
    <numFmt numFmtId="184" formatCode="\¥#,##0.00;[Red]\¥\-#,##0.00"/>
  </numFmts>
  <fonts count="37">
    <font>
      <sz val="11"/>
      <color theme="1"/>
      <name val="宋体"/>
      <charset val="134"/>
      <scheme val="minor"/>
    </font>
    <font>
      <b/>
      <sz val="14"/>
      <name val="华文中宋"/>
      <charset val="134"/>
    </font>
    <font>
      <b/>
      <sz val="9"/>
      <name val="宋体"/>
      <charset val="134"/>
    </font>
    <font>
      <sz val="9"/>
      <name val="宋体"/>
      <charset val="134"/>
    </font>
    <font>
      <b/>
      <sz val="9"/>
      <color indexed="10"/>
      <name val="宋体"/>
      <charset val="134"/>
    </font>
    <font>
      <sz val="9"/>
      <color indexed="10"/>
      <name val="宋体"/>
      <charset val="134"/>
    </font>
    <font>
      <b/>
      <sz val="9"/>
      <color indexed="8"/>
      <name val="宋体"/>
      <charset val="134"/>
    </font>
    <font>
      <sz val="9"/>
      <color indexed="8"/>
      <name val="宋体"/>
      <charset val="134"/>
    </font>
    <font>
      <sz val="9"/>
      <name val="Times New Roman"/>
      <charset val="134"/>
    </font>
    <font>
      <sz val="9"/>
      <color rgb="FFFF0000"/>
      <name val="宋体"/>
      <charset val="134"/>
    </font>
    <font>
      <b/>
      <sz val="12"/>
      <color theme="1"/>
      <name val="宋体"/>
      <charset val="134"/>
      <scheme val="minor"/>
    </font>
    <font>
      <b/>
      <sz val="14"/>
      <color theme="1"/>
      <name val="宋体"/>
      <charset val="134"/>
    </font>
    <font>
      <sz val="12"/>
      <color theme="1"/>
      <name val="宋体"/>
      <charset val="134"/>
    </font>
    <font>
      <b/>
      <sz val="12"/>
      <color theme="1"/>
      <name val="宋体"/>
      <charset val="134"/>
    </font>
    <font>
      <b/>
      <sz val="14"/>
      <color theme="1"/>
      <name val="宋体"/>
      <charset val="134"/>
      <scheme val="minor"/>
    </font>
    <font>
      <sz val="11"/>
      <color theme="0"/>
      <name val="宋体"/>
      <charset val="0"/>
      <scheme val="minor"/>
    </font>
    <font>
      <u/>
      <sz val="11"/>
      <color rgb="FF0000FF"/>
      <name val="宋体"/>
      <charset val="0"/>
      <scheme val="minor"/>
    </font>
    <font>
      <sz val="11"/>
      <color theme="1"/>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3"/>
      <color theme="3"/>
      <name val="宋体"/>
      <charset val="134"/>
      <scheme val="minor"/>
    </font>
    <font>
      <b/>
      <sz val="18"/>
      <color theme="3"/>
      <name val="宋体"/>
      <charset val="134"/>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006100"/>
      <name val="宋体"/>
      <charset val="0"/>
      <scheme val="minor"/>
    </font>
    <font>
      <b/>
      <sz val="11"/>
      <color theme="1"/>
      <name val="宋体"/>
      <charset val="0"/>
      <scheme val="minor"/>
    </font>
    <font>
      <sz val="12"/>
      <name val="宋体"/>
      <charset val="134"/>
    </font>
    <font>
      <sz val="9"/>
      <name val="宋体"/>
      <charset val="134"/>
    </font>
    <font>
      <b/>
      <sz val="9"/>
      <name val="宋体"/>
      <charset val="134"/>
    </font>
  </fonts>
  <fills count="35">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30">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7" fillId="8" borderId="0" applyNumberFormat="0" applyBorder="0" applyAlignment="0" applyProtection="0">
      <alignment vertical="center"/>
    </xf>
    <xf numFmtId="0" fontId="22" fillId="16"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5" borderId="0" applyNumberFormat="0" applyBorder="0" applyAlignment="0" applyProtection="0">
      <alignment vertical="center"/>
    </xf>
    <xf numFmtId="0" fontId="19" fillId="14"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2" borderId="25" applyNumberFormat="0" applyFont="0" applyAlignment="0" applyProtection="0">
      <alignment vertical="center"/>
    </xf>
    <xf numFmtId="0" fontId="15" fillId="6"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27" applyNumberFormat="0" applyFill="0" applyAlignment="0" applyProtection="0">
      <alignment vertical="center"/>
    </xf>
    <xf numFmtId="0" fontId="27" fillId="0" borderId="27" applyNumberFormat="0" applyFill="0" applyAlignment="0" applyProtection="0">
      <alignment vertical="center"/>
    </xf>
    <xf numFmtId="0" fontId="15" fillId="24" borderId="0" applyNumberFormat="0" applyBorder="0" applyAlignment="0" applyProtection="0">
      <alignment vertical="center"/>
    </xf>
    <xf numFmtId="0" fontId="24" fillId="0" borderId="26" applyNumberFormat="0" applyFill="0" applyAlignment="0" applyProtection="0">
      <alignment vertical="center"/>
    </xf>
    <xf numFmtId="0" fontId="15" fillId="7" borderId="0" applyNumberFormat="0" applyBorder="0" applyAlignment="0" applyProtection="0">
      <alignment vertical="center"/>
    </xf>
    <xf numFmtId="0" fontId="30" fillId="26" borderId="28" applyNumberFormat="0" applyAlignment="0" applyProtection="0">
      <alignment vertical="center"/>
    </xf>
    <xf numFmtId="0" fontId="29" fillId="26" borderId="23" applyNumberFormat="0" applyAlignment="0" applyProtection="0">
      <alignment vertical="center"/>
    </xf>
    <xf numFmtId="0" fontId="23" fillId="21" borderId="24" applyNumberFormat="0" applyAlignment="0" applyProtection="0">
      <alignment vertical="center"/>
    </xf>
    <xf numFmtId="0" fontId="17" fillId="27" borderId="0" applyNumberFormat="0" applyBorder="0" applyAlignment="0" applyProtection="0">
      <alignment vertical="center"/>
    </xf>
    <xf numFmtId="0" fontId="15" fillId="20" borderId="0" applyNumberFormat="0" applyBorder="0" applyAlignment="0" applyProtection="0">
      <alignment vertical="center"/>
    </xf>
    <xf numFmtId="0" fontId="21" fillId="0" borderId="22" applyNumberFormat="0" applyFill="0" applyAlignment="0" applyProtection="0">
      <alignment vertical="center"/>
    </xf>
    <xf numFmtId="0" fontId="33" fillId="0" borderId="29" applyNumberFormat="0" applyFill="0" applyAlignment="0" applyProtection="0">
      <alignment vertical="center"/>
    </xf>
    <xf numFmtId="0" fontId="32" fillId="29" borderId="0" applyNumberFormat="0" applyBorder="0" applyAlignment="0" applyProtection="0">
      <alignment vertical="center"/>
    </xf>
    <xf numFmtId="0" fontId="20" fillId="15" borderId="0" applyNumberFormat="0" applyBorder="0" applyAlignment="0" applyProtection="0">
      <alignment vertical="center"/>
    </xf>
    <xf numFmtId="0" fontId="17" fillId="30" borderId="0" applyNumberFormat="0" applyBorder="0" applyAlignment="0" applyProtection="0">
      <alignment vertical="center"/>
    </xf>
    <xf numFmtId="0" fontId="15" fillId="13" borderId="0" applyNumberFormat="0" applyBorder="0" applyAlignment="0" applyProtection="0">
      <alignment vertical="center"/>
    </xf>
    <xf numFmtId="0" fontId="17" fillId="28" borderId="0" applyNumberFormat="0" applyBorder="0" applyAlignment="0" applyProtection="0">
      <alignment vertical="center"/>
    </xf>
    <xf numFmtId="0" fontId="17" fillId="25" borderId="0" applyNumberFormat="0" applyBorder="0" applyAlignment="0" applyProtection="0">
      <alignment vertical="center"/>
    </xf>
    <xf numFmtId="0" fontId="17" fillId="12" borderId="0" applyNumberFormat="0" applyBorder="0" applyAlignment="0" applyProtection="0">
      <alignment vertical="center"/>
    </xf>
    <xf numFmtId="0" fontId="17" fillId="23" borderId="0" applyNumberFormat="0" applyBorder="0" applyAlignment="0" applyProtection="0">
      <alignment vertical="center"/>
    </xf>
    <xf numFmtId="0" fontId="15" fillId="19" borderId="0" applyNumberFormat="0" applyBorder="0" applyAlignment="0" applyProtection="0">
      <alignment vertical="center"/>
    </xf>
    <xf numFmtId="0" fontId="15" fillId="4" borderId="0" applyNumberFormat="0" applyBorder="0" applyAlignment="0" applyProtection="0">
      <alignment vertical="center"/>
    </xf>
    <xf numFmtId="0" fontId="17" fillId="9" borderId="0" applyNumberFormat="0" applyBorder="0" applyAlignment="0" applyProtection="0">
      <alignment vertical="center"/>
    </xf>
    <xf numFmtId="0" fontId="17" fillId="11" borderId="0" applyNumberFormat="0" applyBorder="0" applyAlignment="0" applyProtection="0">
      <alignment vertical="center"/>
    </xf>
    <xf numFmtId="0" fontId="15" fillId="32" borderId="0" applyNumberFormat="0" applyBorder="0" applyAlignment="0" applyProtection="0">
      <alignment vertical="center"/>
    </xf>
    <xf numFmtId="0" fontId="17" fillId="18"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7" fillId="10" borderId="0" applyNumberFormat="0" applyBorder="0" applyAlignment="0" applyProtection="0">
      <alignment vertical="center"/>
    </xf>
    <xf numFmtId="0" fontId="15" fillId="31" borderId="0" applyNumberFormat="0" applyBorder="0" applyAlignment="0" applyProtection="0">
      <alignment vertical="center"/>
    </xf>
    <xf numFmtId="0" fontId="34" fillId="0" borderId="0"/>
  </cellStyleXfs>
  <cellXfs count="94">
    <xf numFmtId="0" fontId="0" fillId="0" borderId="0" xfId="0">
      <alignment vertical="center"/>
    </xf>
    <xf numFmtId="0" fontId="0" fillId="0" borderId="0" xfId="0" applyProtection="1">
      <alignment vertical="center"/>
      <protection locked="0"/>
    </xf>
    <xf numFmtId="0" fontId="1" fillId="2" borderId="1" xfId="49" applyFont="1" applyFill="1" applyBorder="1" applyAlignment="1" applyProtection="1">
      <alignment horizontal="center" vertical="center"/>
    </xf>
    <xf numFmtId="0" fontId="2" fillId="0" borderId="2" xfId="49" applyFont="1" applyFill="1" applyBorder="1" applyAlignment="1" applyProtection="1">
      <alignment horizontal="left" vertical="center"/>
      <protection locked="0"/>
    </xf>
    <xf numFmtId="0" fontId="2" fillId="0" borderId="3" xfId="49" applyFont="1" applyFill="1" applyBorder="1" applyAlignment="1" applyProtection="1">
      <alignment horizontal="center" vertical="center"/>
      <protection locked="0"/>
    </xf>
    <xf numFmtId="0" fontId="3" fillId="0" borderId="4" xfId="49" applyFont="1" applyFill="1" applyBorder="1" applyAlignment="1" applyProtection="1">
      <alignment horizontal="center" vertical="center"/>
      <protection locked="0"/>
    </xf>
    <xf numFmtId="0" fontId="2" fillId="0" borderId="5" xfId="49" applyFont="1" applyFill="1" applyBorder="1" applyAlignment="1" applyProtection="1">
      <alignment horizontal="left" vertical="center"/>
      <protection locked="0"/>
    </xf>
    <xf numFmtId="0" fontId="2" fillId="0" borderId="6" xfId="49" applyFont="1" applyFill="1" applyBorder="1" applyAlignment="1" applyProtection="1">
      <alignment horizontal="left" vertical="center"/>
      <protection locked="0"/>
    </xf>
    <xf numFmtId="0" fontId="2" fillId="0" borderId="4" xfId="49" applyFont="1" applyFill="1" applyBorder="1" applyAlignment="1" applyProtection="1">
      <alignment horizontal="center" vertical="center"/>
      <protection locked="0"/>
    </xf>
    <xf numFmtId="0" fontId="3" fillId="0" borderId="7" xfId="49" applyFont="1" applyFill="1" applyBorder="1" applyAlignment="1" applyProtection="1">
      <alignment horizontal="left" vertical="center"/>
      <protection locked="0"/>
    </xf>
    <xf numFmtId="176" fontId="3" fillId="0" borderId="7" xfId="49" applyNumberFormat="1" applyFont="1" applyFill="1" applyBorder="1" applyAlignment="1" applyProtection="1">
      <alignment horizontal="center" vertical="center" wrapText="1"/>
      <protection locked="0"/>
    </xf>
    <xf numFmtId="0" fontId="3" fillId="0" borderId="7" xfId="49" applyFont="1" applyFill="1" applyBorder="1" applyAlignment="1" applyProtection="1">
      <alignment horizontal="center" vertical="center" wrapText="1"/>
      <protection locked="0"/>
    </xf>
    <xf numFmtId="180" fontId="4" fillId="0" borderId="7" xfId="49" applyNumberFormat="1" applyFont="1" applyFill="1" applyBorder="1" applyAlignment="1" applyProtection="1">
      <alignment horizontal="center" vertical="center" wrapText="1"/>
      <protection locked="0"/>
    </xf>
    <xf numFmtId="177" fontId="5" fillId="0" borderId="7" xfId="49" applyNumberFormat="1" applyFont="1" applyFill="1" applyBorder="1" applyAlignment="1" applyProtection="1">
      <alignment horizontal="right" vertical="center" wrapText="1"/>
      <protection locked="0"/>
    </xf>
    <xf numFmtId="181" fontId="3" fillId="0" borderId="7" xfId="49" applyNumberFormat="1" applyFont="1" applyFill="1" applyBorder="1" applyAlignment="1" applyProtection="1">
      <alignment horizontal="center" vertical="center" wrapText="1"/>
      <protection locked="0"/>
    </xf>
    <xf numFmtId="176" fontId="3" fillId="0" borderId="7" xfId="49" applyNumberFormat="1" applyFont="1" applyFill="1" applyBorder="1" applyAlignment="1" applyProtection="1">
      <alignment horizontal="left" vertical="center"/>
      <protection locked="0"/>
    </xf>
    <xf numFmtId="176" fontId="3" fillId="3" borderId="7" xfId="49" applyNumberFormat="1" applyFont="1" applyFill="1" applyBorder="1" applyAlignment="1" applyProtection="1">
      <alignment horizontal="center" vertical="center" wrapText="1"/>
      <protection locked="0"/>
    </xf>
    <xf numFmtId="10" fontId="3" fillId="0" borderId="5" xfId="49" applyNumberFormat="1" applyFont="1" applyFill="1" applyBorder="1" applyAlignment="1" applyProtection="1">
      <alignment horizontal="left" vertical="center"/>
      <protection locked="0"/>
    </xf>
    <xf numFmtId="10" fontId="3" fillId="0" borderId="6" xfId="49" applyNumberFormat="1" applyFont="1" applyFill="1" applyBorder="1" applyAlignment="1" applyProtection="1">
      <alignment horizontal="left" vertical="center"/>
      <protection locked="0"/>
    </xf>
    <xf numFmtId="0" fontId="6" fillId="0" borderId="4" xfId="49" applyFont="1" applyFill="1" applyBorder="1" applyAlignment="1" applyProtection="1">
      <alignment horizontal="center" vertical="center"/>
      <protection locked="0"/>
    </xf>
    <xf numFmtId="0" fontId="7" fillId="0" borderId="7" xfId="49" applyFont="1" applyFill="1" applyBorder="1" applyAlignment="1" applyProtection="1">
      <alignment horizontal="left" vertical="center"/>
      <protection locked="0"/>
    </xf>
    <xf numFmtId="182" fontId="7" fillId="0" borderId="7" xfId="49" applyNumberFormat="1" applyFont="1" applyFill="1" applyBorder="1" applyAlignment="1" applyProtection="1">
      <alignment horizontal="center" vertical="center" wrapText="1"/>
      <protection locked="0"/>
    </xf>
    <xf numFmtId="0" fontId="2" fillId="0" borderId="4" xfId="49" applyFont="1" applyFill="1" applyBorder="1" applyAlignment="1" applyProtection="1">
      <alignment horizontal="center" vertical="center" wrapText="1"/>
      <protection locked="0"/>
    </xf>
    <xf numFmtId="179" fontId="3" fillId="0" borderId="7" xfId="49" applyNumberFormat="1" applyFont="1" applyFill="1" applyBorder="1" applyAlignment="1" applyProtection="1">
      <alignment vertical="center"/>
      <protection locked="0"/>
    </xf>
    <xf numFmtId="179" fontId="3" fillId="3" borderId="7" xfId="49" applyNumberFormat="1" applyFont="1" applyFill="1" applyBorder="1" applyAlignment="1" applyProtection="1">
      <alignment vertical="center"/>
      <protection locked="0"/>
    </xf>
    <xf numFmtId="179" fontId="2" fillId="3" borderId="7" xfId="8" applyNumberFormat="1" applyFont="1" applyFill="1" applyBorder="1" applyAlignment="1" applyProtection="1">
      <alignment horizontal="center" vertical="center" wrapText="1"/>
      <protection locked="0"/>
    </xf>
    <xf numFmtId="179" fontId="3" fillId="0" borderId="7" xfId="8" applyNumberFormat="1" applyFont="1" applyFill="1" applyBorder="1" applyAlignment="1" applyProtection="1">
      <alignment horizontal="center" vertical="center" wrapText="1"/>
      <protection locked="0"/>
    </xf>
    <xf numFmtId="183" fontId="3" fillId="0" borderId="7" xfId="8" applyNumberFormat="1" applyFont="1" applyFill="1" applyBorder="1" applyAlignment="1" applyProtection="1">
      <alignment horizontal="center" vertical="center" wrapText="1"/>
      <protection locked="0"/>
    </xf>
    <xf numFmtId="183" fontId="2" fillId="3" borderId="7" xfId="8" applyNumberFormat="1" applyFont="1" applyFill="1" applyBorder="1" applyAlignment="1" applyProtection="1">
      <alignment vertical="center" wrapText="1"/>
      <protection locked="0"/>
    </xf>
    <xf numFmtId="183" fontId="3" fillId="0" borderId="7" xfId="49" applyNumberFormat="1" applyFont="1" applyFill="1" applyBorder="1" applyAlignment="1" applyProtection="1">
      <alignment vertical="center" wrapText="1"/>
      <protection locked="0"/>
    </xf>
    <xf numFmtId="179" fontId="3" fillId="0" borderId="7" xfId="49" applyNumberFormat="1" applyFont="1" applyFill="1" applyBorder="1" applyAlignment="1" applyProtection="1">
      <alignment vertical="center" wrapText="1"/>
      <protection locked="0"/>
    </xf>
    <xf numFmtId="0" fontId="3" fillId="0" borderId="4" xfId="49" applyFont="1" applyFill="1" applyBorder="1" applyAlignment="1" applyProtection="1">
      <alignment horizontal="center" vertical="center" wrapText="1"/>
      <protection locked="0"/>
    </xf>
    <xf numFmtId="179" fontId="2" fillId="0" borderId="7" xfId="49" applyNumberFormat="1" applyFont="1" applyFill="1" applyBorder="1" applyAlignment="1" applyProtection="1">
      <alignment vertical="center"/>
      <protection locked="0"/>
    </xf>
    <xf numFmtId="179" fontId="3" fillId="0" borderId="7" xfId="49" applyNumberFormat="1" applyFont="1" applyFill="1" applyBorder="1" applyAlignment="1" applyProtection="1">
      <alignment horizontal="right" vertical="center" wrapText="1"/>
      <protection locked="0"/>
    </xf>
    <xf numFmtId="183" fontId="3" fillId="0" borderId="7" xfId="49" applyNumberFormat="1" applyFont="1" applyFill="1" applyBorder="1" applyAlignment="1" applyProtection="1">
      <alignment horizontal="right" vertical="center" wrapText="1"/>
      <protection locked="0"/>
    </xf>
    <xf numFmtId="0" fontId="2" fillId="0" borderId="7" xfId="49" applyFont="1" applyFill="1" applyBorder="1" applyAlignment="1" applyProtection="1">
      <alignment vertical="center"/>
      <protection locked="0"/>
    </xf>
    <xf numFmtId="43" fontId="3" fillId="0" borderId="7" xfId="8" applyFont="1" applyFill="1" applyBorder="1" applyAlignment="1" applyProtection="1">
      <alignment vertical="center"/>
      <protection locked="0"/>
    </xf>
    <xf numFmtId="10" fontId="5" fillId="0" borderId="7" xfId="8" applyNumberFormat="1" applyFont="1" applyFill="1" applyBorder="1" applyAlignment="1" applyProtection="1">
      <alignment vertical="center"/>
      <protection locked="0"/>
    </xf>
    <xf numFmtId="41" fontId="8" fillId="0" borderId="7" xfId="8" applyNumberFormat="1" applyFont="1" applyBorder="1" applyProtection="1">
      <alignment vertical="center"/>
      <protection locked="0"/>
    </xf>
    <xf numFmtId="43" fontId="5" fillId="0" borderId="7" xfId="8" applyFont="1" applyFill="1" applyBorder="1" applyAlignment="1" applyProtection="1">
      <alignment vertical="center"/>
      <protection locked="0"/>
    </xf>
    <xf numFmtId="43" fontId="9" fillId="0" borderId="7" xfId="8" applyFont="1" applyFill="1" applyBorder="1" applyAlignment="1" applyProtection="1">
      <alignment vertical="center"/>
      <protection locked="0"/>
    </xf>
    <xf numFmtId="43" fontId="2" fillId="0" borderId="4" xfId="8" applyFont="1" applyFill="1" applyBorder="1" applyAlignment="1" applyProtection="1">
      <alignment horizontal="center" vertical="center"/>
      <protection locked="0"/>
    </xf>
    <xf numFmtId="43" fontId="2" fillId="0" borderId="7" xfId="8" applyFont="1" applyFill="1" applyBorder="1" applyAlignment="1" applyProtection="1">
      <alignment vertical="center"/>
      <protection locked="0"/>
    </xf>
    <xf numFmtId="178" fontId="3" fillId="0" borderId="7" xfId="8" applyNumberFormat="1" applyFont="1" applyFill="1" applyBorder="1" applyProtection="1">
      <alignment vertical="center"/>
      <protection locked="0"/>
    </xf>
    <xf numFmtId="178" fontId="5" fillId="0" borderId="7" xfId="8" applyNumberFormat="1" applyFont="1" applyFill="1" applyBorder="1" applyProtection="1">
      <alignment vertical="center"/>
      <protection locked="0"/>
    </xf>
    <xf numFmtId="43" fontId="3" fillId="0" borderId="7" xfId="8" applyFont="1" applyFill="1" applyBorder="1" applyAlignment="1" applyProtection="1">
      <alignment vertical="center" shrinkToFit="1"/>
      <protection locked="0"/>
    </xf>
    <xf numFmtId="0" fontId="2" fillId="0" borderId="4" xfId="49" applyFont="1" applyFill="1" applyBorder="1" applyAlignment="1" applyProtection="1">
      <alignment horizontal="left" vertical="center"/>
      <protection locked="0"/>
    </xf>
    <xf numFmtId="0" fontId="2" fillId="3" borderId="7" xfId="49" applyFont="1" applyFill="1" applyBorder="1" applyAlignment="1" applyProtection="1">
      <alignment vertical="center"/>
      <protection locked="0"/>
    </xf>
    <xf numFmtId="178" fontId="3" fillId="3" borderId="7" xfId="49" applyNumberFormat="1" applyFont="1" applyFill="1" applyBorder="1" applyProtection="1">
      <protection locked="0"/>
    </xf>
    <xf numFmtId="0" fontId="5" fillId="0" borderId="8" xfId="49" applyFont="1" applyFill="1" applyBorder="1" applyAlignment="1" applyProtection="1">
      <alignment horizontal="left" vertical="center"/>
      <protection locked="0"/>
    </xf>
    <xf numFmtId="0" fontId="5" fillId="3" borderId="9" xfId="49" applyFont="1" applyFill="1" applyBorder="1" applyAlignment="1" applyProtection="1">
      <alignment vertical="center"/>
      <protection locked="0"/>
    </xf>
    <xf numFmtId="178" fontId="5" fillId="3" borderId="9" xfId="49" applyNumberFormat="1" applyFont="1" applyFill="1" applyBorder="1" applyProtection="1">
      <protection locked="0"/>
    </xf>
    <xf numFmtId="178" fontId="3" fillId="0" borderId="7" xfId="49" applyNumberFormat="1" applyFont="1" applyFill="1" applyBorder="1" applyProtection="1">
      <protection locked="0"/>
    </xf>
    <xf numFmtId="178" fontId="3" fillId="0" borderId="7" xfId="49" applyNumberFormat="1" applyFont="1" applyFill="1" applyBorder="1" applyAlignment="1" applyProtection="1">
      <alignment vertical="center"/>
      <protection locked="0"/>
    </xf>
    <xf numFmtId="178" fontId="3" fillId="0" borderId="10" xfId="49" applyNumberFormat="1" applyFont="1" applyFill="1" applyBorder="1" applyProtection="1">
      <protection locked="0"/>
    </xf>
    <xf numFmtId="178" fontId="3" fillId="0" borderId="11" xfId="49" applyNumberFormat="1" applyFont="1" applyFill="1" applyBorder="1" applyAlignment="1" applyProtection="1">
      <alignment vertical="center"/>
      <protection locked="0"/>
    </xf>
    <xf numFmtId="178" fontId="3" fillId="0" borderId="11" xfId="49" applyNumberFormat="1" applyFont="1" applyFill="1" applyBorder="1" applyProtection="1">
      <protection locked="0"/>
    </xf>
    <xf numFmtId="0" fontId="3" fillId="0" borderId="12" xfId="49" applyFont="1" applyFill="1" applyBorder="1" applyAlignment="1" applyProtection="1">
      <alignment horizontal="left" vertical="center"/>
      <protection locked="0"/>
    </xf>
    <xf numFmtId="0" fontId="3" fillId="0" borderId="13" xfId="49" applyFont="1" applyFill="1" applyBorder="1" applyAlignment="1" applyProtection="1">
      <alignment vertical="center"/>
      <protection locked="0"/>
    </xf>
    <xf numFmtId="178" fontId="3" fillId="0" borderId="13" xfId="49" applyNumberFormat="1" applyFont="1" applyFill="1" applyBorder="1" applyAlignment="1" applyProtection="1">
      <alignment vertical="center"/>
      <protection locked="0"/>
    </xf>
    <xf numFmtId="176" fontId="3" fillId="0" borderId="13" xfId="49" applyNumberFormat="1" applyFont="1" applyFill="1" applyBorder="1" applyProtection="1">
      <protection locked="0"/>
    </xf>
    <xf numFmtId="178" fontId="3" fillId="0" borderId="13" xfId="49" applyNumberFormat="1" applyFont="1" applyFill="1" applyBorder="1" applyProtection="1">
      <protection locked="0"/>
    </xf>
    <xf numFmtId="0" fontId="3" fillId="0" borderId="0" xfId="49" applyFont="1" applyFill="1" applyAlignment="1" applyProtection="1">
      <alignment horizontal="left" vertical="center"/>
      <protection locked="0"/>
    </xf>
    <xf numFmtId="0" fontId="2" fillId="0" borderId="14" xfId="49" applyFont="1" applyFill="1" applyBorder="1" applyAlignment="1" applyProtection="1">
      <alignment vertical="center"/>
      <protection locked="0"/>
    </xf>
    <xf numFmtId="10" fontId="4" fillId="3" borderId="15" xfId="49" applyNumberFormat="1" applyFont="1" applyFill="1" applyBorder="1" applyAlignment="1" applyProtection="1">
      <alignment vertical="center"/>
      <protection locked="0"/>
    </xf>
    <xf numFmtId="0" fontId="3" fillId="0" borderId="0" xfId="49" applyFont="1" applyFill="1" applyProtection="1">
      <protection locked="0"/>
    </xf>
    <xf numFmtId="0" fontId="3" fillId="0" borderId="16" xfId="49" applyFont="1" applyFill="1" applyBorder="1" applyAlignment="1" applyProtection="1">
      <alignment horizontal="left"/>
      <protection locked="0"/>
    </xf>
    <xf numFmtId="0" fontId="2" fillId="0" borderId="17" xfId="49" applyFont="1" applyFill="1" applyBorder="1" applyAlignment="1" applyProtection="1">
      <alignment vertical="center"/>
      <protection locked="0"/>
    </xf>
    <xf numFmtId="10" fontId="4" fillId="3" borderId="18" xfId="49" applyNumberFormat="1" applyFont="1" applyFill="1" applyBorder="1" applyAlignment="1" applyProtection="1">
      <alignment vertical="center"/>
      <protection locked="0"/>
    </xf>
    <xf numFmtId="0" fontId="3" fillId="0" borderId="0" xfId="49" applyFont="1" applyFill="1" applyAlignment="1" applyProtection="1">
      <alignment vertical="center"/>
      <protection locked="0"/>
    </xf>
    <xf numFmtId="178" fontId="3" fillId="0" borderId="0" xfId="49" applyNumberFormat="1" applyFont="1" applyFill="1" applyAlignment="1" applyProtection="1">
      <alignment vertical="center"/>
      <protection locked="0"/>
    </xf>
    <xf numFmtId="43" fontId="3" fillId="0" borderId="0" xfId="49" applyNumberFormat="1" applyFont="1" applyFill="1" applyAlignment="1" applyProtection="1">
      <protection locked="0"/>
    </xf>
    <xf numFmtId="0" fontId="3" fillId="0" borderId="0" xfId="49" applyFont="1" applyFill="1" applyAlignment="1" applyProtection="1">
      <alignment vertical="center" wrapText="1"/>
      <protection locked="0"/>
    </xf>
    <xf numFmtId="184" fontId="3" fillId="0" borderId="0" xfId="49" applyNumberFormat="1" applyFont="1" applyFill="1" applyProtection="1">
      <protection locked="0"/>
    </xf>
    <xf numFmtId="0" fontId="3" fillId="0" borderId="19" xfId="49" applyFont="1" applyFill="1" applyBorder="1" applyAlignment="1" applyProtection="1">
      <alignment horizontal="center" vertical="center" wrapText="1"/>
      <protection locked="0"/>
    </xf>
    <xf numFmtId="10" fontId="3" fillId="0" borderId="19" xfId="49" applyNumberFormat="1" applyFont="1" applyFill="1" applyBorder="1" applyAlignment="1" applyProtection="1">
      <alignment horizontal="left" vertical="center"/>
      <protection locked="0"/>
    </xf>
    <xf numFmtId="0" fontId="2" fillId="0" borderId="7" xfId="49" applyFont="1" applyFill="1" applyBorder="1" applyProtection="1">
      <protection locked="0"/>
    </xf>
    <xf numFmtId="0" fontId="2" fillId="0" borderId="0" xfId="49" applyFont="1" applyFill="1" applyBorder="1" applyProtection="1">
      <protection locked="0"/>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19" xfId="0" applyFont="1" applyBorder="1" applyAlignment="1">
      <alignment horizontal="left" vertical="center" wrapText="1"/>
    </xf>
    <xf numFmtId="0" fontId="11" fillId="0" borderId="7" xfId="0" applyFont="1" applyFill="1" applyBorder="1" applyAlignment="1">
      <alignment horizontal="left" vertical="center" wrapText="1"/>
    </xf>
    <xf numFmtId="0" fontId="12" fillId="0" borderId="0"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1" fillId="0" borderId="20" xfId="0" applyFont="1" applyFill="1" applyBorder="1" applyAlignment="1">
      <alignment horizontal="left" vertical="center" wrapText="1"/>
    </xf>
    <xf numFmtId="0" fontId="11" fillId="0" borderId="0" xfId="0" applyFont="1" applyFill="1" applyAlignment="1">
      <alignment horizontal="left" vertical="center" wrapText="1"/>
    </xf>
    <xf numFmtId="0" fontId="11" fillId="0" borderId="21" xfId="0" applyFont="1" applyFill="1" applyBorder="1" applyAlignment="1">
      <alignment horizontal="left" vertical="center" wrapText="1"/>
    </xf>
    <xf numFmtId="0" fontId="11" fillId="0" borderId="21" xfId="0" applyFont="1" applyFill="1" applyBorder="1" applyAlignment="1">
      <alignment horizontal="left" vertical="center"/>
    </xf>
    <xf numFmtId="0" fontId="0" fillId="0" borderId="7" xfId="0" applyBorder="1" applyAlignment="1">
      <alignment horizontal="center" vertical="center"/>
    </xf>
    <xf numFmtId="0" fontId="12" fillId="0" borderId="0" xfId="0" applyFont="1" applyFill="1" applyAlignment="1">
      <alignment vertical="center" wrapText="1"/>
    </xf>
    <xf numFmtId="0" fontId="13" fillId="0" borderId="7" xfId="0" applyFont="1" applyFill="1" applyBorder="1" applyAlignment="1">
      <alignment vertical="center" wrapText="1"/>
    </xf>
    <xf numFmtId="0" fontId="14"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投资价值估算表20100309v3" xfId="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8" sqref="B8:C8"/>
    </sheetView>
  </sheetViews>
  <sheetFormatPr defaultColWidth="9" defaultRowHeight="13.5" outlineLevelCol="7"/>
  <cols>
    <col min="1" max="1" width="17.625" customWidth="1"/>
    <col min="2" max="2" width="18.625" customWidth="1"/>
    <col min="3" max="3" width="19" customWidth="1"/>
    <col min="4" max="4" width="18.375" customWidth="1"/>
    <col min="5" max="5" width="20.875" customWidth="1"/>
    <col min="6" max="6" width="13.375" customWidth="1"/>
    <col min="7" max="7" width="18.875" customWidth="1"/>
    <col min="8" max="8" width="13.25" customWidth="1"/>
  </cols>
  <sheetData>
    <row r="1" ht="45.95" customHeight="1" spans="1:7">
      <c r="A1" s="78" t="s">
        <v>0</v>
      </c>
      <c r="B1" s="79"/>
      <c r="C1" s="79"/>
      <c r="D1" s="79"/>
      <c r="E1" s="79"/>
      <c r="F1" s="79"/>
      <c r="G1" s="80"/>
    </row>
    <row r="2" ht="21" customHeight="1" spans="1:7">
      <c r="A2" s="81" t="s">
        <v>1</v>
      </c>
      <c r="B2" s="81"/>
      <c r="C2" s="81"/>
      <c r="D2" s="81"/>
      <c r="E2" s="82"/>
      <c r="F2" s="82"/>
      <c r="G2" s="82"/>
    </row>
    <row r="3" ht="21" customHeight="1" spans="1:7">
      <c r="A3" s="83" t="s">
        <v>2</v>
      </c>
      <c r="B3" s="83" t="s">
        <v>3</v>
      </c>
      <c r="C3" s="83"/>
      <c r="D3" s="83"/>
      <c r="E3" s="82"/>
      <c r="F3" s="82"/>
      <c r="G3" s="82"/>
    </row>
    <row r="4" ht="21" customHeight="1" spans="1:7">
      <c r="A4" s="83" t="s">
        <v>4</v>
      </c>
      <c r="B4" s="84" t="s">
        <v>5</v>
      </c>
      <c r="C4" s="84"/>
      <c r="D4" s="84"/>
      <c r="E4" s="82"/>
      <c r="F4" s="82"/>
      <c r="G4" s="82"/>
    </row>
    <row r="5" ht="21" customHeight="1" spans="1:7">
      <c r="A5" s="83" t="s">
        <v>6</v>
      </c>
      <c r="B5" s="84" t="s">
        <v>7</v>
      </c>
      <c r="C5" s="84"/>
      <c r="D5" s="84"/>
      <c r="E5" s="82"/>
      <c r="F5" s="82"/>
      <c r="G5" s="82"/>
    </row>
    <row r="6" ht="21" customHeight="1" spans="1:7">
      <c r="A6" s="83" t="s">
        <v>8</v>
      </c>
      <c r="B6" s="84" t="s">
        <v>9</v>
      </c>
      <c r="C6" s="84"/>
      <c r="D6" s="84"/>
      <c r="E6" s="82"/>
      <c r="F6" s="82"/>
      <c r="G6" s="82"/>
    </row>
    <row r="7" ht="21" customHeight="1" spans="1:7">
      <c r="A7" s="81" t="s">
        <v>10</v>
      </c>
      <c r="B7" s="81"/>
      <c r="C7" s="81"/>
      <c r="D7" s="82"/>
      <c r="E7" s="82"/>
      <c r="F7" s="82"/>
      <c r="G7" s="82"/>
    </row>
    <row r="8" ht="21" customHeight="1" spans="1:7">
      <c r="A8" s="83" t="s">
        <v>2</v>
      </c>
      <c r="B8" s="83" t="s">
        <v>3</v>
      </c>
      <c r="C8" s="83"/>
      <c r="D8" s="82"/>
      <c r="E8" s="82"/>
      <c r="F8" s="82"/>
      <c r="G8" s="82"/>
    </row>
    <row r="9" ht="21" customHeight="1" spans="1:7">
      <c r="A9" s="84" t="s">
        <v>11</v>
      </c>
      <c r="B9" s="84" t="s">
        <v>7</v>
      </c>
      <c r="C9" s="84" t="s">
        <v>12</v>
      </c>
      <c r="D9" s="82"/>
      <c r="E9" s="82"/>
      <c r="F9" s="82"/>
      <c r="G9" s="82"/>
    </row>
    <row r="10" ht="21" customHeight="1" spans="1:7">
      <c r="A10" s="85" t="s">
        <v>13</v>
      </c>
      <c r="B10" s="85" t="s">
        <v>14</v>
      </c>
      <c r="C10" s="85" t="s">
        <v>15</v>
      </c>
      <c r="D10" s="82"/>
      <c r="E10" s="82"/>
      <c r="F10" s="82"/>
      <c r="G10" s="82"/>
    </row>
    <row r="11" ht="18.95" customHeight="1" spans="1:8">
      <c r="A11" s="86" t="s">
        <v>16</v>
      </c>
      <c r="B11" s="87"/>
      <c r="C11" s="87"/>
      <c r="D11" s="87"/>
      <c r="E11" s="87"/>
      <c r="F11" s="87"/>
      <c r="G11" s="87"/>
      <c r="H11" s="87"/>
    </row>
    <row r="12" ht="39" customHeight="1" spans="1:8">
      <c r="A12" s="88" t="s">
        <v>17</v>
      </c>
      <c r="B12" s="89" t="s">
        <v>18</v>
      </c>
      <c r="C12" s="89" t="s">
        <v>19</v>
      </c>
      <c r="D12" s="89" t="s">
        <v>20</v>
      </c>
      <c r="E12" s="89" t="s">
        <v>21</v>
      </c>
      <c r="F12" s="89" t="s">
        <v>22</v>
      </c>
      <c r="G12" s="89" t="s">
        <v>23</v>
      </c>
      <c r="H12" s="89" t="s">
        <v>24</v>
      </c>
    </row>
    <row r="13" ht="18.95" customHeight="1" spans="1:8">
      <c r="A13" s="84">
        <v>234</v>
      </c>
      <c r="B13" s="84"/>
      <c r="C13" s="84"/>
      <c r="D13" s="84">
        <v>6</v>
      </c>
      <c r="E13" s="84">
        <v>1000</v>
      </c>
      <c r="F13" s="84">
        <v>1.0039</v>
      </c>
      <c r="G13" s="84">
        <f>A13*D13*F13</f>
        <v>1409.4756</v>
      </c>
      <c r="H13" s="90">
        <f>G16*365</f>
        <v>281289.294</v>
      </c>
    </row>
    <row r="14" ht="18.95" customHeight="1" spans="1:8">
      <c r="A14" s="84"/>
      <c r="B14" s="84">
        <v>100</v>
      </c>
      <c r="C14" s="84">
        <v>7</v>
      </c>
      <c r="D14" s="84"/>
      <c r="E14" s="84"/>
      <c r="F14" s="84">
        <v>0.6084</v>
      </c>
      <c r="G14" s="84">
        <f>-B14*C14*F14</f>
        <v>-425.88</v>
      </c>
      <c r="H14" s="90"/>
    </row>
    <row r="15" ht="18.95" customHeight="1" spans="1:8">
      <c r="A15" s="84"/>
      <c r="B15" s="84">
        <v>87.5</v>
      </c>
      <c r="C15" s="84">
        <v>8</v>
      </c>
      <c r="D15" s="84"/>
      <c r="E15" s="84"/>
      <c r="F15" s="84">
        <v>0.3042</v>
      </c>
      <c r="G15" s="84">
        <f>-B15*C15*F15</f>
        <v>-212.94</v>
      </c>
      <c r="H15" s="90"/>
    </row>
    <row r="16" ht="18.95" customHeight="1" spans="1:8">
      <c r="A16" s="84"/>
      <c r="B16" s="84"/>
      <c r="C16" s="84"/>
      <c r="D16" s="84"/>
      <c r="E16" s="84"/>
      <c r="F16" s="84" t="s">
        <v>25</v>
      </c>
      <c r="G16" s="84">
        <f>G13+G14+G15</f>
        <v>770.6556</v>
      </c>
      <c r="H16" s="90"/>
    </row>
    <row r="17" ht="24" customHeight="1" spans="1:7">
      <c r="A17" s="87" t="s">
        <v>26</v>
      </c>
      <c r="B17" s="87"/>
      <c r="C17" s="87"/>
      <c r="D17" s="91"/>
      <c r="E17" s="91"/>
      <c r="F17" s="91"/>
      <c r="G17" s="91"/>
    </row>
    <row r="18" ht="33" customHeight="1" spans="1:7">
      <c r="A18" s="92" t="s">
        <v>21</v>
      </c>
      <c r="B18" s="92" t="s">
        <v>27</v>
      </c>
      <c r="C18" s="92" t="s">
        <v>28</v>
      </c>
      <c r="D18" s="91"/>
      <c r="E18" s="91"/>
      <c r="F18" s="91"/>
      <c r="G18" s="91"/>
    </row>
    <row r="19" ht="24" customHeight="1" spans="1:7">
      <c r="A19" s="84">
        <v>1000</v>
      </c>
      <c r="B19" s="84">
        <v>2500</v>
      </c>
      <c r="C19" s="84">
        <f>A19*B19</f>
        <v>2500000</v>
      </c>
      <c r="D19" s="91"/>
      <c r="E19" s="91"/>
      <c r="F19" s="91"/>
      <c r="G19" s="91"/>
    </row>
    <row r="20" ht="18.75" spans="1:6">
      <c r="A20" s="93"/>
      <c r="B20" s="93"/>
      <c r="C20" s="93"/>
      <c r="D20" s="93"/>
      <c r="E20" s="93"/>
      <c r="F20" s="93"/>
    </row>
  </sheetData>
  <mergeCells count="11">
    <mergeCell ref="A1:G1"/>
    <mergeCell ref="A2:D2"/>
    <mergeCell ref="B3:D3"/>
    <mergeCell ref="B4:D4"/>
    <mergeCell ref="B5:D5"/>
    <mergeCell ref="B6:D6"/>
    <mergeCell ref="A7:C7"/>
    <mergeCell ref="B8:C8"/>
    <mergeCell ref="A11:H11"/>
    <mergeCell ref="A17:C17"/>
    <mergeCell ref="H13:H16"/>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0"/>
  <sheetViews>
    <sheetView tabSelected="1" zoomScale="115" zoomScaleNormal="115" workbookViewId="0">
      <selection activeCell="A1" sqref="A1:W1"/>
    </sheetView>
  </sheetViews>
  <sheetFormatPr defaultColWidth="9" defaultRowHeight="13.5"/>
  <cols>
    <col min="1" max="1" width="9" style="1"/>
    <col min="2" max="2" width="19.75" style="1" customWidth="1"/>
    <col min="3" max="3" width="12.75" style="1" customWidth="1"/>
    <col min="4" max="4" width="11.25" style="1" customWidth="1"/>
    <col min="5" max="5" width="10.375" style="1" customWidth="1"/>
    <col min="6" max="6" width="11.25" style="1" customWidth="1"/>
    <col min="7" max="7" width="12.25" style="1" customWidth="1"/>
    <col min="8" max="10" width="9" style="1"/>
    <col min="11" max="11" width="10.25" style="1" customWidth="1"/>
    <col min="12" max="16384" width="9" style="1"/>
  </cols>
  <sheetData>
    <row r="1" ht="20.25" spans="1:23">
      <c r="A1" s="2" t="s">
        <v>29</v>
      </c>
      <c r="B1" s="2"/>
      <c r="C1" s="2"/>
      <c r="D1" s="2"/>
      <c r="E1" s="2"/>
      <c r="F1" s="2"/>
      <c r="G1" s="2"/>
      <c r="H1" s="2"/>
      <c r="I1" s="2"/>
      <c r="J1" s="2"/>
      <c r="K1" s="2"/>
      <c r="L1" s="2"/>
      <c r="M1" s="2"/>
      <c r="N1" s="2"/>
      <c r="O1" s="2"/>
      <c r="P1" s="2"/>
      <c r="Q1" s="2"/>
      <c r="R1" s="2"/>
      <c r="S1" s="2"/>
      <c r="T1" s="2"/>
      <c r="U1" s="2"/>
      <c r="V1" s="2"/>
      <c r="W1" s="2"/>
    </row>
    <row r="2" spans="1:23">
      <c r="A2" s="3" t="s">
        <v>30</v>
      </c>
      <c r="B2" s="4" t="s">
        <v>31</v>
      </c>
      <c r="C2" s="4">
        <v>1</v>
      </c>
      <c r="D2" s="4">
        <v>2</v>
      </c>
      <c r="E2" s="4">
        <v>3</v>
      </c>
      <c r="F2" s="4">
        <v>4</v>
      </c>
      <c r="G2" s="4">
        <v>5</v>
      </c>
      <c r="H2" s="4">
        <v>6</v>
      </c>
      <c r="I2" s="4">
        <v>7</v>
      </c>
      <c r="J2" s="4">
        <v>8</v>
      </c>
      <c r="K2" s="4">
        <v>9</v>
      </c>
      <c r="L2" s="4">
        <v>10</v>
      </c>
      <c r="M2" s="4">
        <v>11</v>
      </c>
      <c r="N2" s="4">
        <v>12</v>
      </c>
      <c r="O2" s="4">
        <v>13</v>
      </c>
      <c r="P2" s="4">
        <v>14</v>
      </c>
      <c r="Q2" s="4">
        <v>15</v>
      </c>
      <c r="R2" s="4">
        <v>16</v>
      </c>
      <c r="S2" s="4">
        <v>17</v>
      </c>
      <c r="T2" s="4">
        <v>18</v>
      </c>
      <c r="U2" s="4">
        <v>19</v>
      </c>
      <c r="V2" s="4">
        <v>20</v>
      </c>
      <c r="W2" s="4">
        <v>21</v>
      </c>
    </row>
    <row r="3" spans="1:23">
      <c r="A3" s="5" t="s">
        <v>32</v>
      </c>
      <c r="B3" s="6" t="s">
        <v>33</v>
      </c>
      <c r="C3" s="7"/>
      <c r="D3" s="7"/>
      <c r="E3" s="7"/>
      <c r="F3" s="7"/>
      <c r="G3" s="7"/>
      <c r="H3" s="7"/>
      <c r="I3" s="7"/>
      <c r="J3" s="7"/>
      <c r="K3" s="7"/>
      <c r="L3" s="7"/>
      <c r="M3" s="7"/>
      <c r="N3" s="7"/>
      <c r="O3" s="7"/>
      <c r="P3" s="7"/>
      <c r="Q3" s="7"/>
      <c r="R3" s="7"/>
      <c r="S3" s="7"/>
      <c r="T3" s="7"/>
      <c r="U3" s="7"/>
      <c r="V3" s="7"/>
      <c r="W3" s="7"/>
    </row>
    <row r="4" spans="1:23">
      <c r="A4" s="8">
        <v>1</v>
      </c>
      <c r="B4" s="9" t="s">
        <v>34</v>
      </c>
      <c r="C4" s="9"/>
      <c r="D4" s="10">
        <v>2500000</v>
      </c>
      <c r="E4" s="11" t="s">
        <v>35</v>
      </c>
      <c r="F4" s="12">
        <f>D4*70%*0.17</f>
        <v>297500</v>
      </c>
      <c r="G4" s="13"/>
      <c r="H4" s="11"/>
      <c r="I4" s="11"/>
      <c r="J4" s="11"/>
      <c r="K4" s="11"/>
      <c r="L4" s="11"/>
      <c r="M4" s="11"/>
      <c r="N4" s="11"/>
      <c r="O4" s="11"/>
      <c r="P4" s="11"/>
      <c r="Q4" s="11"/>
      <c r="R4" s="11"/>
      <c r="S4" s="11"/>
      <c r="T4" s="11"/>
      <c r="U4" s="11"/>
      <c r="V4" s="11"/>
      <c r="W4" s="74"/>
    </row>
    <row r="5" spans="1:23">
      <c r="A5" s="8">
        <v>2</v>
      </c>
      <c r="B5" s="9" t="s">
        <v>36</v>
      </c>
      <c r="C5" s="9">
        <f>D5*1</f>
        <v>500000</v>
      </c>
      <c r="D5" s="10">
        <f>D4*0.2</f>
        <v>500000</v>
      </c>
      <c r="E5" s="11"/>
      <c r="F5" s="11"/>
      <c r="G5" s="11"/>
      <c r="H5" s="11"/>
      <c r="I5" s="11"/>
      <c r="J5" s="11"/>
      <c r="K5" s="11"/>
      <c r="L5" s="11"/>
      <c r="M5" s="11"/>
      <c r="N5" s="11"/>
      <c r="O5" s="11"/>
      <c r="P5" s="11"/>
      <c r="Q5" s="11"/>
      <c r="R5" s="11"/>
      <c r="S5" s="11"/>
      <c r="T5" s="11"/>
      <c r="U5" s="11"/>
      <c r="V5" s="11"/>
      <c r="W5" s="74"/>
    </row>
    <row r="6" spans="1:23">
      <c r="A6" s="8"/>
      <c r="B6" s="9" t="s">
        <v>37</v>
      </c>
      <c r="C6" s="9"/>
      <c r="D6" s="11"/>
      <c r="E6" s="14"/>
      <c r="F6" s="14"/>
      <c r="G6" s="14"/>
      <c r="H6" s="11"/>
      <c r="I6" s="11"/>
      <c r="J6" s="11"/>
      <c r="K6" s="11"/>
      <c r="L6" s="11"/>
      <c r="M6" s="11"/>
      <c r="N6" s="11"/>
      <c r="O6" s="11"/>
      <c r="P6" s="11"/>
      <c r="Q6" s="11"/>
      <c r="R6" s="11"/>
      <c r="S6" s="11"/>
      <c r="T6" s="11"/>
      <c r="U6" s="11"/>
      <c r="V6" s="11"/>
      <c r="W6" s="74"/>
    </row>
    <row r="7" spans="1:23">
      <c r="A7" s="8">
        <v>3</v>
      </c>
      <c r="B7" s="9" t="s">
        <v>38</v>
      </c>
      <c r="C7" s="15">
        <f>D7</f>
        <v>2000000</v>
      </c>
      <c r="D7" s="10">
        <f>D4-D5</f>
        <v>2000000</v>
      </c>
      <c r="E7" s="10">
        <f t="shared" ref="E7:R7" si="0">D7-D8</f>
        <v>1866666.66666667</v>
      </c>
      <c r="F7" s="10">
        <f t="shared" si="0"/>
        <v>1733333.33333333</v>
      </c>
      <c r="G7" s="10">
        <f t="shared" si="0"/>
        <v>1600000</v>
      </c>
      <c r="H7" s="10">
        <f t="shared" si="0"/>
        <v>1466666.66666667</v>
      </c>
      <c r="I7" s="10">
        <f t="shared" si="0"/>
        <v>1333333.33333333</v>
      </c>
      <c r="J7" s="10">
        <f t="shared" si="0"/>
        <v>1200000</v>
      </c>
      <c r="K7" s="10">
        <f t="shared" si="0"/>
        <v>1066666.66666667</v>
      </c>
      <c r="L7" s="10">
        <f t="shared" si="0"/>
        <v>933333.333333334</v>
      </c>
      <c r="M7" s="10">
        <f t="shared" si="0"/>
        <v>800000</v>
      </c>
      <c r="N7" s="10">
        <f t="shared" si="0"/>
        <v>666666.666666667</v>
      </c>
      <c r="O7" s="10">
        <f t="shared" si="0"/>
        <v>533333.333333334</v>
      </c>
      <c r="P7" s="10">
        <f t="shared" si="0"/>
        <v>400000</v>
      </c>
      <c r="Q7" s="10">
        <f t="shared" si="0"/>
        <v>266666.666666667</v>
      </c>
      <c r="R7" s="10">
        <f t="shared" si="0"/>
        <v>133333.333333334</v>
      </c>
      <c r="S7" s="10"/>
      <c r="T7" s="10"/>
      <c r="U7" s="10"/>
      <c r="V7" s="10"/>
      <c r="W7" s="10"/>
    </row>
    <row r="8" spans="1:23">
      <c r="A8" s="8"/>
      <c r="B8" s="9" t="s">
        <v>39</v>
      </c>
      <c r="C8" s="9"/>
      <c r="D8" s="16">
        <f>D7/Q2</f>
        <v>133333.333333333</v>
      </c>
      <c r="E8" s="16">
        <f t="shared" ref="E8:R8" si="1">D8</f>
        <v>133333.333333333</v>
      </c>
      <c r="F8" s="16">
        <f t="shared" si="1"/>
        <v>133333.333333333</v>
      </c>
      <c r="G8" s="16">
        <f t="shared" si="1"/>
        <v>133333.333333333</v>
      </c>
      <c r="H8" s="16">
        <f t="shared" si="1"/>
        <v>133333.333333333</v>
      </c>
      <c r="I8" s="16">
        <f t="shared" si="1"/>
        <v>133333.333333333</v>
      </c>
      <c r="J8" s="16">
        <f t="shared" si="1"/>
        <v>133333.333333333</v>
      </c>
      <c r="K8" s="16">
        <f t="shared" si="1"/>
        <v>133333.333333333</v>
      </c>
      <c r="L8" s="16">
        <f t="shared" si="1"/>
        <v>133333.333333333</v>
      </c>
      <c r="M8" s="16">
        <f t="shared" si="1"/>
        <v>133333.333333333</v>
      </c>
      <c r="N8" s="16">
        <f t="shared" si="1"/>
        <v>133333.333333333</v>
      </c>
      <c r="O8" s="16">
        <f t="shared" si="1"/>
        <v>133333.333333333</v>
      </c>
      <c r="P8" s="16">
        <f t="shared" si="1"/>
        <v>133333.333333333</v>
      </c>
      <c r="Q8" s="16">
        <f t="shared" si="1"/>
        <v>133333.333333333</v>
      </c>
      <c r="R8" s="16">
        <f t="shared" si="1"/>
        <v>133333.333333333</v>
      </c>
      <c r="S8" s="10"/>
      <c r="T8" s="10"/>
      <c r="U8" s="10"/>
      <c r="V8" s="10"/>
      <c r="W8" s="10"/>
    </row>
    <row r="9" spans="1:23">
      <c r="A9" s="8">
        <v>4</v>
      </c>
      <c r="B9" s="9" t="s">
        <v>40</v>
      </c>
      <c r="C9" s="17">
        <v>0.08</v>
      </c>
      <c r="D9" s="18"/>
      <c r="E9" s="18"/>
      <c r="F9" s="18"/>
      <c r="G9" s="18"/>
      <c r="H9" s="18"/>
      <c r="I9" s="18"/>
      <c r="J9" s="18"/>
      <c r="K9" s="18"/>
      <c r="L9" s="18"/>
      <c r="M9" s="18"/>
      <c r="N9" s="18"/>
      <c r="O9" s="18"/>
      <c r="P9" s="18"/>
      <c r="Q9" s="18"/>
      <c r="R9" s="18"/>
      <c r="S9" s="18"/>
      <c r="T9" s="18"/>
      <c r="U9" s="75"/>
      <c r="V9" s="76"/>
      <c r="W9" s="77"/>
    </row>
    <row r="10" spans="1:23">
      <c r="A10" s="19"/>
      <c r="B10" s="20" t="s">
        <v>41</v>
      </c>
      <c r="C10" s="21">
        <f t="shared" ref="C10:W10" si="2">1/(1+$C$9)^(C2-1)</f>
        <v>1</v>
      </c>
      <c r="D10" s="21">
        <f t="shared" si="2"/>
        <v>0.925925925925926</v>
      </c>
      <c r="E10" s="21">
        <f t="shared" si="2"/>
        <v>0.857338820301783</v>
      </c>
      <c r="F10" s="21">
        <f t="shared" si="2"/>
        <v>0.79383224102017</v>
      </c>
      <c r="G10" s="21">
        <f t="shared" si="2"/>
        <v>0.735029852796453</v>
      </c>
      <c r="H10" s="21">
        <f t="shared" si="2"/>
        <v>0.680583197033753</v>
      </c>
      <c r="I10" s="21">
        <f t="shared" si="2"/>
        <v>0.630169626883105</v>
      </c>
      <c r="J10" s="21">
        <f t="shared" si="2"/>
        <v>0.583490395262134</v>
      </c>
      <c r="K10" s="21">
        <f t="shared" si="2"/>
        <v>0.540268884501976</v>
      </c>
      <c r="L10" s="21">
        <f t="shared" si="2"/>
        <v>0.500248967131459</v>
      </c>
      <c r="M10" s="21">
        <f t="shared" si="2"/>
        <v>0.463193488084684</v>
      </c>
      <c r="N10" s="21">
        <f t="shared" si="2"/>
        <v>0.428882859337671</v>
      </c>
      <c r="O10" s="21">
        <f t="shared" si="2"/>
        <v>0.397113758645991</v>
      </c>
      <c r="P10" s="21">
        <f t="shared" si="2"/>
        <v>0.367697924672214</v>
      </c>
      <c r="Q10" s="21">
        <f t="shared" si="2"/>
        <v>0.340461041363161</v>
      </c>
      <c r="R10" s="21">
        <f t="shared" si="2"/>
        <v>0.31524170496589</v>
      </c>
      <c r="S10" s="21">
        <f t="shared" si="2"/>
        <v>0.291890467561009</v>
      </c>
      <c r="T10" s="21">
        <f t="shared" si="2"/>
        <v>0.270268951445379</v>
      </c>
      <c r="U10" s="21">
        <f t="shared" si="2"/>
        <v>0.250249029116091</v>
      </c>
      <c r="V10" s="21">
        <f t="shared" si="2"/>
        <v>0.231712063996381</v>
      </c>
      <c r="W10" s="21">
        <f t="shared" si="2"/>
        <v>0.214548207404056</v>
      </c>
    </row>
    <row r="11" spans="1:23">
      <c r="A11" s="22">
        <v>5</v>
      </c>
      <c r="B11" s="23" t="s">
        <v>42</v>
      </c>
      <c r="C11" s="24">
        <v>1000</v>
      </c>
      <c r="D11" s="25">
        <f>C11</f>
        <v>1000</v>
      </c>
      <c r="E11" s="26"/>
      <c r="F11" s="26"/>
      <c r="G11" s="27"/>
      <c r="H11" s="27"/>
      <c r="I11" s="27"/>
      <c r="J11" s="27"/>
      <c r="K11" s="27"/>
      <c r="L11" s="27"/>
      <c r="M11" s="27"/>
      <c r="N11" s="27"/>
      <c r="O11" s="27"/>
      <c r="P11" s="27"/>
      <c r="Q11" s="27"/>
      <c r="R11" s="27"/>
      <c r="S11" s="27"/>
      <c r="T11" s="27"/>
      <c r="U11" s="26"/>
      <c r="V11" s="26"/>
      <c r="W11" s="26"/>
    </row>
    <row r="12" spans="1:23">
      <c r="A12" s="22"/>
      <c r="B12" s="23" t="s">
        <v>43</v>
      </c>
      <c r="C12" s="23"/>
      <c r="D12" s="28">
        <v>365</v>
      </c>
      <c r="E12" s="26"/>
      <c r="F12" s="26"/>
      <c r="G12" s="27"/>
      <c r="H12" s="27"/>
      <c r="I12" s="27"/>
      <c r="J12" s="27"/>
      <c r="K12" s="27"/>
      <c r="L12" s="27"/>
      <c r="M12" s="27"/>
      <c r="N12" s="27"/>
      <c r="O12" s="27"/>
      <c r="P12" s="27"/>
      <c r="Q12" s="27"/>
      <c r="R12" s="27"/>
      <c r="S12" s="27"/>
      <c r="T12" s="27"/>
      <c r="U12" s="26"/>
      <c r="V12" s="26"/>
      <c r="W12" s="26"/>
    </row>
    <row r="13" spans="1:23">
      <c r="A13" s="22"/>
      <c r="B13" s="23" t="s">
        <v>44</v>
      </c>
      <c r="C13" s="23"/>
      <c r="D13" s="29">
        <f>D12*D11*0.7</f>
        <v>255500</v>
      </c>
      <c r="E13" s="30"/>
      <c r="F13" s="30"/>
      <c r="G13" s="29"/>
      <c r="H13" s="29"/>
      <c r="I13" s="29"/>
      <c r="J13" s="29"/>
      <c r="K13" s="29"/>
      <c r="L13" s="29"/>
      <c r="M13" s="29"/>
      <c r="N13" s="29"/>
      <c r="O13" s="29"/>
      <c r="P13" s="29"/>
      <c r="Q13" s="29"/>
      <c r="R13" s="29"/>
      <c r="S13" s="29"/>
      <c r="T13" s="29"/>
      <c r="U13" s="29"/>
      <c r="V13" s="29"/>
      <c r="W13" s="29"/>
    </row>
    <row r="14" spans="1:23">
      <c r="A14" s="22"/>
      <c r="B14" s="23" t="s">
        <v>45</v>
      </c>
      <c r="C14" s="23"/>
      <c r="D14" s="29">
        <f>D11*D12*0.7</f>
        <v>255500</v>
      </c>
      <c r="E14" s="30"/>
      <c r="F14" s="30"/>
      <c r="G14" s="29"/>
      <c r="H14" s="29"/>
      <c r="I14" s="29"/>
      <c r="J14" s="29"/>
      <c r="K14" s="29"/>
      <c r="L14" s="29"/>
      <c r="M14" s="29"/>
      <c r="N14" s="29"/>
      <c r="O14" s="29"/>
      <c r="P14" s="29"/>
      <c r="Q14" s="29"/>
      <c r="R14" s="29"/>
      <c r="S14" s="29"/>
      <c r="T14" s="29"/>
      <c r="U14" s="29"/>
      <c r="V14" s="29"/>
      <c r="W14" s="29"/>
    </row>
    <row r="15" spans="1:23">
      <c r="A15" s="22"/>
      <c r="B15" s="23" t="s">
        <v>46</v>
      </c>
      <c r="C15" s="23"/>
      <c r="D15" s="29">
        <f>D13+D14</f>
        <v>511000</v>
      </c>
      <c r="E15" s="30"/>
      <c r="F15" s="30"/>
      <c r="G15" s="29"/>
      <c r="H15" s="29"/>
      <c r="I15" s="29"/>
      <c r="J15" s="29"/>
      <c r="K15" s="29"/>
      <c r="L15" s="29"/>
      <c r="M15" s="29"/>
      <c r="N15" s="29"/>
      <c r="O15" s="29"/>
      <c r="P15" s="29"/>
      <c r="Q15" s="29"/>
      <c r="R15" s="29"/>
      <c r="S15" s="29"/>
      <c r="T15" s="29"/>
      <c r="U15" s="29"/>
      <c r="V15" s="29"/>
      <c r="W15" s="29"/>
    </row>
    <row r="16" spans="1:23">
      <c r="A16" s="22">
        <v>6</v>
      </c>
      <c r="B16" s="23" t="s">
        <v>47</v>
      </c>
      <c r="C16" s="23">
        <v>0.56</v>
      </c>
      <c r="D16" s="23">
        <f>C16</f>
        <v>0.56</v>
      </c>
      <c r="E16" s="23">
        <f t="shared" ref="E16:W16" si="3">D16</f>
        <v>0.56</v>
      </c>
      <c r="F16" s="23">
        <f t="shared" si="3"/>
        <v>0.56</v>
      </c>
      <c r="G16" s="23">
        <f t="shared" si="3"/>
        <v>0.56</v>
      </c>
      <c r="H16" s="23">
        <f t="shared" si="3"/>
        <v>0.56</v>
      </c>
      <c r="I16" s="23">
        <f t="shared" si="3"/>
        <v>0.56</v>
      </c>
      <c r="J16" s="23">
        <f t="shared" si="3"/>
        <v>0.56</v>
      </c>
      <c r="K16" s="23">
        <f t="shared" si="3"/>
        <v>0.56</v>
      </c>
      <c r="L16" s="23">
        <f t="shared" si="3"/>
        <v>0.56</v>
      </c>
      <c r="M16" s="23">
        <f t="shared" si="3"/>
        <v>0.56</v>
      </c>
      <c r="N16" s="23">
        <f t="shared" si="3"/>
        <v>0.56</v>
      </c>
      <c r="O16" s="23">
        <f t="shared" si="3"/>
        <v>0.56</v>
      </c>
      <c r="P16" s="23">
        <f t="shared" si="3"/>
        <v>0.56</v>
      </c>
      <c r="Q16" s="23">
        <f t="shared" si="3"/>
        <v>0.56</v>
      </c>
      <c r="R16" s="23">
        <f t="shared" si="3"/>
        <v>0.56</v>
      </c>
      <c r="S16" s="23">
        <f t="shared" si="3"/>
        <v>0.56</v>
      </c>
      <c r="T16" s="23">
        <f t="shared" si="3"/>
        <v>0.56</v>
      </c>
      <c r="U16" s="23">
        <f t="shared" si="3"/>
        <v>0.56</v>
      </c>
      <c r="V16" s="23">
        <f t="shared" si="3"/>
        <v>0.56</v>
      </c>
      <c r="W16" s="23">
        <f t="shared" si="3"/>
        <v>0.56</v>
      </c>
    </row>
    <row r="17" spans="1:23">
      <c r="A17" s="31" t="s">
        <v>48</v>
      </c>
      <c r="B17" s="32" t="s">
        <v>49</v>
      </c>
      <c r="C17" s="32"/>
      <c r="D17" s="33"/>
      <c r="E17" s="34"/>
      <c r="F17" s="34"/>
      <c r="G17" s="34"/>
      <c r="H17" s="34"/>
      <c r="I17" s="34"/>
      <c r="J17" s="34"/>
      <c r="K17" s="34"/>
      <c r="L17" s="34"/>
      <c r="M17" s="34"/>
      <c r="N17" s="34"/>
      <c r="O17" s="34"/>
      <c r="P17" s="34"/>
      <c r="Q17" s="34"/>
      <c r="R17" s="34"/>
      <c r="S17" s="34"/>
      <c r="T17" s="34"/>
      <c r="U17" s="34"/>
      <c r="V17" s="34"/>
      <c r="W17" s="34"/>
    </row>
    <row r="18" spans="1:23">
      <c r="A18" s="31"/>
      <c r="B18" s="23" t="s">
        <v>50</v>
      </c>
      <c r="C18" s="32"/>
      <c r="D18" s="34">
        <f>D15*D16</f>
        <v>286160</v>
      </c>
      <c r="E18" s="34">
        <f t="shared" ref="E18:W18" si="4">D18</f>
        <v>286160</v>
      </c>
      <c r="F18" s="34">
        <f t="shared" si="4"/>
        <v>286160</v>
      </c>
      <c r="G18" s="34">
        <f t="shared" si="4"/>
        <v>286160</v>
      </c>
      <c r="H18" s="34">
        <f t="shared" si="4"/>
        <v>286160</v>
      </c>
      <c r="I18" s="34">
        <f t="shared" si="4"/>
        <v>286160</v>
      </c>
      <c r="J18" s="34">
        <f t="shared" si="4"/>
        <v>286160</v>
      </c>
      <c r="K18" s="34">
        <f t="shared" si="4"/>
        <v>286160</v>
      </c>
      <c r="L18" s="34">
        <f t="shared" si="4"/>
        <v>286160</v>
      </c>
      <c r="M18" s="34">
        <f t="shared" si="4"/>
        <v>286160</v>
      </c>
      <c r="N18" s="34">
        <f t="shared" si="4"/>
        <v>286160</v>
      </c>
      <c r="O18" s="34">
        <f t="shared" si="4"/>
        <v>286160</v>
      </c>
      <c r="P18" s="34">
        <f t="shared" si="4"/>
        <v>286160</v>
      </c>
      <c r="Q18" s="34">
        <f t="shared" si="4"/>
        <v>286160</v>
      </c>
      <c r="R18" s="34">
        <f t="shared" si="4"/>
        <v>286160</v>
      </c>
      <c r="S18" s="34">
        <f t="shared" si="4"/>
        <v>286160</v>
      </c>
      <c r="T18" s="34">
        <f t="shared" si="4"/>
        <v>286160</v>
      </c>
      <c r="U18" s="34">
        <f t="shared" si="4"/>
        <v>286160</v>
      </c>
      <c r="V18" s="34">
        <f t="shared" si="4"/>
        <v>286160</v>
      </c>
      <c r="W18" s="34">
        <f t="shared" si="4"/>
        <v>286160</v>
      </c>
    </row>
    <row r="19" spans="1:23">
      <c r="A19" s="31"/>
      <c r="B19" s="23" t="s">
        <v>51</v>
      </c>
      <c r="C19" s="23"/>
      <c r="D19" s="33">
        <f>D18*0.17</f>
        <v>48647.2</v>
      </c>
      <c r="E19" s="33">
        <f t="shared" ref="E19:W19" si="5">E18*0.17</f>
        <v>48647.2</v>
      </c>
      <c r="F19" s="33">
        <f t="shared" si="5"/>
        <v>48647.2</v>
      </c>
      <c r="G19" s="33">
        <f t="shared" si="5"/>
        <v>48647.2</v>
      </c>
      <c r="H19" s="33">
        <f t="shared" si="5"/>
        <v>48647.2</v>
      </c>
      <c r="I19" s="33">
        <f t="shared" si="5"/>
        <v>48647.2</v>
      </c>
      <c r="J19" s="33">
        <f t="shared" si="5"/>
        <v>48647.2</v>
      </c>
      <c r="K19" s="33">
        <f t="shared" si="5"/>
        <v>48647.2</v>
      </c>
      <c r="L19" s="33">
        <f t="shared" si="5"/>
        <v>48647.2</v>
      </c>
      <c r="M19" s="33">
        <f t="shared" si="5"/>
        <v>48647.2</v>
      </c>
      <c r="N19" s="33">
        <f t="shared" si="5"/>
        <v>48647.2</v>
      </c>
      <c r="O19" s="33">
        <f t="shared" si="5"/>
        <v>48647.2</v>
      </c>
      <c r="P19" s="33">
        <f t="shared" si="5"/>
        <v>48647.2</v>
      </c>
      <c r="Q19" s="33">
        <f t="shared" si="5"/>
        <v>48647.2</v>
      </c>
      <c r="R19" s="33">
        <f t="shared" si="5"/>
        <v>48647.2</v>
      </c>
      <c r="S19" s="33">
        <f t="shared" si="5"/>
        <v>48647.2</v>
      </c>
      <c r="T19" s="33">
        <f t="shared" si="5"/>
        <v>48647.2</v>
      </c>
      <c r="U19" s="33">
        <f t="shared" si="5"/>
        <v>48647.2</v>
      </c>
      <c r="V19" s="33">
        <f t="shared" si="5"/>
        <v>48647.2</v>
      </c>
      <c r="W19" s="33">
        <f t="shared" si="5"/>
        <v>48647.2</v>
      </c>
    </row>
    <row r="20" spans="1:23">
      <c r="A20" s="31"/>
      <c r="B20" s="23" t="s">
        <v>52</v>
      </c>
      <c r="C20" s="23"/>
      <c r="D20" s="33">
        <f>D18-D19</f>
        <v>237512.8</v>
      </c>
      <c r="E20" s="33">
        <f t="shared" ref="E20:W20" si="6">E18-E19</f>
        <v>237512.8</v>
      </c>
      <c r="F20" s="33">
        <f t="shared" si="6"/>
        <v>237512.8</v>
      </c>
      <c r="G20" s="33">
        <f t="shared" si="6"/>
        <v>237512.8</v>
      </c>
      <c r="H20" s="33">
        <f t="shared" si="6"/>
        <v>237512.8</v>
      </c>
      <c r="I20" s="33">
        <f t="shared" si="6"/>
        <v>237512.8</v>
      </c>
      <c r="J20" s="33">
        <f t="shared" si="6"/>
        <v>237512.8</v>
      </c>
      <c r="K20" s="33">
        <f t="shared" si="6"/>
        <v>237512.8</v>
      </c>
      <c r="L20" s="33">
        <f t="shared" si="6"/>
        <v>237512.8</v>
      </c>
      <c r="M20" s="33">
        <f t="shared" si="6"/>
        <v>237512.8</v>
      </c>
      <c r="N20" s="33">
        <f t="shared" si="6"/>
        <v>237512.8</v>
      </c>
      <c r="O20" s="33">
        <f t="shared" si="6"/>
        <v>237512.8</v>
      </c>
      <c r="P20" s="33">
        <f t="shared" si="6"/>
        <v>237512.8</v>
      </c>
      <c r="Q20" s="33">
        <f t="shared" si="6"/>
        <v>237512.8</v>
      </c>
      <c r="R20" s="33">
        <f t="shared" si="6"/>
        <v>237512.8</v>
      </c>
      <c r="S20" s="33">
        <f t="shared" si="6"/>
        <v>237512.8</v>
      </c>
      <c r="T20" s="33">
        <f t="shared" si="6"/>
        <v>237512.8</v>
      </c>
      <c r="U20" s="33">
        <f t="shared" si="6"/>
        <v>237512.8</v>
      </c>
      <c r="V20" s="33">
        <f t="shared" si="6"/>
        <v>237512.8</v>
      </c>
      <c r="W20" s="33">
        <f t="shared" si="6"/>
        <v>237512.8</v>
      </c>
    </row>
    <row r="21" spans="1:23">
      <c r="A21" s="22" t="s">
        <v>53</v>
      </c>
      <c r="B21" s="35" t="s">
        <v>54</v>
      </c>
      <c r="C21" s="35"/>
      <c r="D21" s="34">
        <f>D22+D23</f>
        <v>175000</v>
      </c>
      <c r="E21" s="34">
        <f t="shared" ref="E21:W21" si="7">E22+E23</f>
        <v>175000</v>
      </c>
      <c r="F21" s="34">
        <f t="shared" si="7"/>
        <v>175000</v>
      </c>
      <c r="G21" s="34">
        <f t="shared" si="7"/>
        <v>175000</v>
      </c>
      <c r="H21" s="34">
        <f t="shared" si="7"/>
        <v>175000</v>
      </c>
      <c r="I21" s="34">
        <f t="shared" si="7"/>
        <v>175000</v>
      </c>
      <c r="J21" s="34">
        <f t="shared" si="7"/>
        <v>175000</v>
      </c>
      <c r="K21" s="34">
        <f t="shared" si="7"/>
        <v>175000</v>
      </c>
      <c r="L21" s="34">
        <f t="shared" si="7"/>
        <v>175000</v>
      </c>
      <c r="M21" s="34">
        <f t="shared" si="7"/>
        <v>175000</v>
      </c>
      <c r="N21" s="34">
        <f t="shared" si="7"/>
        <v>175000</v>
      </c>
      <c r="O21" s="34">
        <f t="shared" si="7"/>
        <v>175000</v>
      </c>
      <c r="P21" s="34">
        <f t="shared" si="7"/>
        <v>175000</v>
      </c>
      <c r="Q21" s="34">
        <f t="shared" si="7"/>
        <v>175000</v>
      </c>
      <c r="R21" s="34">
        <f t="shared" si="7"/>
        <v>175000</v>
      </c>
      <c r="S21" s="34">
        <f t="shared" si="7"/>
        <v>175000</v>
      </c>
      <c r="T21" s="34">
        <f t="shared" si="7"/>
        <v>175000</v>
      </c>
      <c r="U21" s="34">
        <f t="shared" si="7"/>
        <v>175000</v>
      </c>
      <c r="V21" s="34">
        <f t="shared" si="7"/>
        <v>175000</v>
      </c>
      <c r="W21" s="34">
        <f t="shared" si="7"/>
        <v>175000</v>
      </c>
    </row>
    <row r="22" spans="1:23">
      <c r="A22" s="22">
        <v>1</v>
      </c>
      <c r="B22" s="36" t="s">
        <v>55</v>
      </c>
      <c r="C22" s="37">
        <v>0.05</v>
      </c>
      <c r="D22" s="38">
        <f>D4*C22</f>
        <v>125000</v>
      </c>
      <c r="E22" s="38">
        <f t="shared" ref="E22:W22" si="8">D22</f>
        <v>125000</v>
      </c>
      <c r="F22" s="38">
        <f t="shared" si="8"/>
        <v>125000</v>
      </c>
      <c r="G22" s="38">
        <f t="shared" si="8"/>
        <v>125000</v>
      </c>
      <c r="H22" s="38">
        <f t="shared" si="8"/>
        <v>125000</v>
      </c>
      <c r="I22" s="38">
        <f t="shared" si="8"/>
        <v>125000</v>
      </c>
      <c r="J22" s="38">
        <f t="shared" si="8"/>
        <v>125000</v>
      </c>
      <c r="K22" s="38">
        <f t="shared" si="8"/>
        <v>125000</v>
      </c>
      <c r="L22" s="38">
        <f t="shared" si="8"/>
        <v>125000</v>
      </c>
      <c r="M22" s="38">
        <f t="shared" si="8"/>
        <v>125000</v>
      </c>
      <c r="N22" s="38">
        <f t="shared" si="8"/>
        <v>125000</v>
      </c>
      <c r="O22" s="38">
        <f t="shared" si="8"/>
        <v>125000</v>
      </c>
      <c r="P22" s="38">
        <f t="shared" si="8"/>
        <v>125000</v>
      </c>
      <c r="Q22" s="38">
        <f t="shared" si="8"/>
        <v>125000</v>
      </c>
      <c r="R22" s="38">
        <f t="shared" si="8"/>
        <v>125000</v>
      </c>
      <c r="S22" s="38">
        <f t="shared" si="8"/>
        <v>125000</v>
      </c>
      <c r="T22" s="38">
        <f t="shared" si="8"/>
        <v>125000</v>
      </c>
      <c r="U22" s="38">
        <f t="shared" si="8"/>
        <v>125000</v>
      </c>
      <c r="V22" s="38">
        <f t="shared" si="8"/>
        <v>125000</v>
      </c>
      <c r="W22" s="38">
        <f t="shared" si="8"/>
        <v>125000</v>
      </c>
    </row>
    <row r="23" spans="1:23">
      <c r="A23" s="22">
        <v>2</v>
      </c>
      <c r="B23" s="36" t="s">
        <v>56</v>
      </c>
      <c r="C23" s="39"/>
      <c r="D23" s="34">
        <v>50000</v>
      </c>
      <c r="E23" s="34">
        <f>D23</f>
        <v>50000</v>
      </c>
      <c r="F23" s="34">
        <f t="shared" ref="F23:W23" si="9">E23</f>
        <v>50000</v>
      </c>
      <c r="G23" s="34">
        <f t="shared" si="9"/>
        <v>50000</v>
      </c>
      <c r="H23" s="34">
        <f t="shared" si="9"/>
        <v>50000</v>
      </c>
      <c r="I23" s="34">
        <f t="shared" si="9"/>
        <v>50000</v>
      </c>
      <c r="J23" s="34">
        <f t="shared" si="9"/>
        <v>50000</v>
      </c>
      <c r="K23" s="34">
        <f t="shared" si="9"/>
        <v>50000</v>
      </c>
      <c r="L23" s="34">
        <f t="shared" si="9"/>
        <v>50000</v>
      </c>
      <c r="M23" s="34">
        <f t="shared" si="9"/>
        <v>50000</v>
      </c>
      <c r="N23" s="34">
        <f t="shared" si="9"/>
        <v>50000</v>
      </c>
      <c r="O23" s="34">
        <f t="shared" si="9"/>
        <v>50000</v>
      </c>
      <c r="P23" s="34">
        <f t="shared" si="9"/>
        <v>50000</v>
      </c>
      <c r="Q23" s="34">
        <f t="shared" si="9"/>
        <v>50000</v>
      </c>
      <c r="R23" s="34">
        <f t="shared" si="9"/>
        <v>50000</v>
      </c>
      <c r="S23" s="34">
        <f t="shared" si="9"/>
        <v>50000</v>
      </c>
      <c r="T23" s="34">
        <f t="shared" si="9"/>
        <v>50000</v>
      </c>
      <c r="U23" s="34">
        <f t="shared" si="9"/>
        <v>50000</v>
      </c>
      <c r="V23" s="34">
        <f t="shared" si="9"/>
        <v>50000</v>
      </c>
      <c r="W23" s="34">
        <f t="shared" si="9"/>
        <v>50000</v>
      </c>
    </row>
    <row r="24" spans="1:23">
      <c r="A24" s="22"/>
      <c r="B24" s="36" t="s">
        <v>57</v>
      </c>
      <c r="C24" s="40" t="s">
        <v>58</v>
      </c>
      <c r="D24" s="33"/>
      <c r="E24" s="33"/>
      <c r="F24" s="33"/>
      <c r="G24" s="33"/>
      <c r="H24" s="33"/>
      <c r="I24" s="33"/>
      <c r="J24" s="33"/>
      <c r="K24" s="33"/>
      <c r="L24" s="33"/>
      <c r="M24" s="33"/>
      <c r="N24" s="33"/>
      <c r="O24" s="33"/>
      <c r="P24" s="33"/>
      <c r="Q24" s="33"/>
      <c r="R24" s="33"/>
      <c r="S24" s="33"/>
      <c r="T24" s="33"/>
      <c r="U24" s="33"/>
      <c r="V24" s="33"/>
      <c r="W24" s="33"/>
    </row>
    <row r="25" spans="1:23">
      <c r="A25" s="22"/>
      <c r="B25" s="36" t="s">
        <v>59</v>
      </c>
      <c r="C25" s="40" t="s">
        <v>60</v>
      </c>
      <c r="D25" s="33"/>
      <c r="E25" s="33"/>
      <c r="F25" s="33"/>
      <c r="G25" s="33"/>
      <c r="H25" s="33"/>
      <c r="I25" s="33"/>
      <c r="J25" s="33"/>
      <c r="K25" s="33"/>
      <c r="L25" s="33"/>
      <c r="M25" s="33"/>
      <c r="N25" s="33"/>
      <c r="O25" s="33"/>
      <c r="P25" s="33"/>
      <c r="Q25" s="33"/>
      <c r="R25" s="33"/>
      <c r="S25" s="33"/>
      <c r="T25" s="33"/>
      <c r="U25" s="33"/>
      <c r="V25" s="33"/>
      <c r="W25" s="33"/>
    </row>
    <row r="26" spans="1:23">
      <c r="A26" s="22"/>
      <c r="B26" s="36" t="s">
        <v>61</v>
      </c>
      <c r="C26" s="40" t="s">
        <v>58</v>
      </c>
      <c r="D26" s="34"/>
      <c r="E26" s="34"/>
      <c r="F26" s="34"/>
      <c r="G26" s="34"/>
      <c r="H26" s="34"/>
      <c r="I26" s="34"/>
      <c r="J26" s="34"/>
      <c r="K26" s="34"/>
      <c r="L26" s="34"/>
      <c r="M26" s="34"/>
      <c r="N26" s="34"/>
      <c r="O26" s="34"/>
      <c r="P26" s="34"/>
      <c r="Q26" s="34"/>
      <c r="R26" s="34"/>
      <c r="S26" s="34"/>
      <c r="T26" s="34"/>
      <c r="U26" s="34"/>
      <c r="V26" s="34"/>
      <c r="W26" s="34"/>
    </row>
    <row r="27" spans="1:23">
      <c r="A27" s="41" t="s">
        <v>62</v>
      </c>
      <c r="B27" s="42" t="s">
        <v>63</v>
      </c>
      <c r="C27" s="42"/>
      <c r="D27" s="43">
        <f>D20-D21</f>
        <v>62512.8</v>
      </c>
      <c r="E27" s="43">
        <f t="shared" ref="E27:W27" si="10">E20-E21</f>
        <v>62512.8</v>
      </c>
      <c r="F27" s="43">
        <f t="shared" si="10"/>
        <v>62512.8</v>
      </c>
      <c r="G27" s="43">
        <f t="shared" si="10"/>
        <v>62512.8</v>
      </c>
      <c r="H27" s="43">
        <f t="shared" si="10"/>
        <v>62512.8</v>
      </c>
      <c r="I27" s="43">
        <f t="shared" si="10"/>
        <v>62512.8</v>
      </c>
      <c r="J27" s="43">
        <f t="shared" si="10"/>
        <v>62512.8</v>
      </c>
      <c r="K27" s="43">
        <f t="shared" si="10"/>
        <v>62512.8</v>
      </c>
      <c r="L27" s="43">
        <f t="shared" si="10"/>
        <v>62512.8</v>
      </c>
      <c r="M27" s="43">
        <f t="shared" si="10"/>
        <v>62512.8</v>
      </c>
      <c r="N27" s="43">
        <f t="shared" si="10"/>
        <v>62512.8</v>
      </c>
      <c r="O27" s="43">
        <f t="shared" si="10"/>
        <v>62512.8</v>
      </c>
      <c r="P27" s="43">
        <f t="shared" si="10"/>
        <v>62512.8</v>
      </c>
      <c r="Q27" s="43">
        <f t="shared" si="10"/>
        <v>62512.8</v>
      </c>
      <c r="R27" s="43">
        <f t="shared" si="10"/>
        <v>62512.8</v>
      </c>
      <c r="S27" s="43">
        <f t="shared" si="10"/>
        <v>62512.8</v>
      </c>
      <c r="T27" s="43">
        <f t="shared" si="10"/>
        <v>62512.8</v>
      </c>
      <c r="U27" s="43">
        <f t="shared" si="10"/>
        <v>62512.8</v>
      </c>
      <c r="V27" s="43">
        <f t="shared" si="10"/>
        <v>62512.8</v>
      </c>
      <c r="W27" s="43">
        <f t="shared" si="10"/>
        <v>62512.8</v>
      </c>
    </row>
    <row r="28" spans="1:23">
      <c r="A28" s="22">
        <v>1</v>
      </c>
      <c r="B28" s="36" t="s">
        <v>64</v>
      </c>
      <c r="C28" s="36"/>
      <c r="D28" s="44">
        <f t="shared" ref="D28:F28" si="11">D27*0.25*0</f>
        <v>0</v>
      </c>
      <c r="E28" s="44">
        <f t="shared" si="11"/>
        <v>0</v>
      </c>
      <c r="F28" s="44">
        <f t="shared" si="11"/>
        <v>0</v>
      </c>
      <c r="G28" s="44">
        <f>G27*0.25*0.5</f>
        <v>7814.1</v>
      </c>
      <c r="H28" s="44">
        <f t="shared" ref="H28:I28" si="12">H27*0.25*0.5</f>
        <v>7814.1</v>
      </c>
      <c r="I28" s="44">
        <f t="shared" si="12"/>
        <v>7814.1</v>
      </c>
      <c r="J28" s="43">
        <f t="shared" ref="J28:W28" si="13">J27*0.25</f>
        <v>15628.2</v>
      </c>
      <c r="K28" s="43">
        <f t="shared" si="13"/>
        <v>15628.2</v>
      </c>
      <c r="L28" s="43">
        <f t="shared" si="13"/>
        <v>15628.2</v>
      </c>
      <c r="M28" s="43">
        <f t="shared" si="13"/>
        <v>15628.2</v>
      </c>
      <c r="N28" s="43">
        <f t="shared" si="13"/>
        <v>15628.2</v>
      </c>
      <c r="O28" s="43">
        <f t="shared" si="13"/>
        <v>15628.2</v>
      </c>
      <c r="P28" s="43">
        <f t="shared" si="13"/>
        <v>15628.2</v>
      </c>
      <c r="Q28" s="43">
        <f t="shared" si="13"/>
        <v>15628.2</v>
      </c>
      <c r="R28" s="43">
        <f t="shared" si="13"/>
        <v>15628.2</v>
      </c>
      <c r="S28" s="43">
        <f t="shared" si="13"/>
        <v>15628.2</v>
      </c>
      <c r="T28" s="43">
        <f t="shared" si="13"/>
        <v>15628.2</v>
      </c>
      <c r="U28" s="43">
        <f t="shared" si="13"/>
        <v>15628.2</v>
      </c>
      <c r="V28" s="43">
        <f t="shared" si="13"/>
        <v>15628.2</v>
      </c>
      <c r="W28" s="43">
        <f t="shared" si="13"/>
        <v>15628.2</v>
      </c>
    </row>
    <row r="29" spans="1:23">
      <c r="A29" s="22">
        <v>2</v>
      </c>
      <c r="B29" s="45" t="s">
        <v>65</v>
      </c>
      <c r="C29" s="45"/>
      <c r="D29" s="43">
        <f>D27-D28</f>
        <v>62512.8</v>
      </c>
      <c r="E29" s="43">
        <f>E27-E28</f>
        <v>62512.8</v>
      </c>
      <c r="F29" s="43">
        <f t="shared" ref="F29:W29" si="14">F27-F28</f>
        <v>62512.8</v>
      </c>
      <c r="G29" s="43">
        <f t="shared" si="14"/>
        <v>54698.7</v>
      </c>
      <c r="H29" s="43">
        <f t="shared" si="14"/>
        <v>54698.7</v>
      </c>
      <c r="I29" s="43">
        <f t="shared" si="14"/>
        <v>54698.7</v>
      </c>
      <c r="J29" s="43">
        <f t="shared" si="14"/>
        <v>46884.6</v>
      </c>
      <c r="K29" s="43">
        <f t="shared" si="14"/>
        <v>46884.6</v>
      </c>
      <c r="L29" s="43">
        <f t="shared" si="14"/>
        <v>46884.6</v>
      </c>
      <c r="M29" s="43">
        <f t="shared" si="14"/>
        <v>46884.6</v>
      </c>
      <c r="N29" s="43">
        <f t="shared" si="14"/>
        <v>46884.6</v>
      </c>
      <c r="O29" s="43">
        <f t="shared" si="14"/>
        <v>46884.6</v>
      </c>
      <c r="P29" s="43">
        <f t="shared" si="14"/>
        <v>46884.6</v>
      </c>
      <c r="Q29" s="43">
        <f t="shared" si="14"/>
        <v>46884.6</v>
      </c>
      <c r="R29" s="43">
        <f t="shared" si="14"/>
        <v>46884.6</v>
      </c>
      <c r="S29" s="43">
        <f t="shared" si="14"/>
        <v>46884.6</v>
      </c>
      <c r="T29" s="43">
        <f t="shared" si="14"/>
        <v>46884.6</v>
      </c>
      <c r="U29" s="43">
        <f t="shared" si="14"/>
        <v>46884.6</v>
      </c>
      <c r="V29" s="43">
        <f t="shared" si="14"/>
        <v>46884.6</v>
      </c>
      <c r="W29" s="43">
        <f t="shared" si="14"/>
        <v>46884.6</v>
      </c>
    </row>
    <row r="30" spans="1:23">
      <c r="A30" s="46" t="s">
        <v>66</v>
      </c>
      <c r="B30" s="47" t="s">
        <v>67</v>
      </c>
      <c r="C30" s="47">
        <f>C31</f>
        <v>-500000</v>
      </c>
      <c r="D30" s="48">
        <f>D29+D22-D8</f>
        <v>54179.4666666666</v>
      </c>
      <c r="E30" s="48">
        <f t="shared" ref="E30:M30" si="15">E29+E22-E8</f>
        <v>54179.4666666666</v>
      </c>
      <c r="F30" s="48">
        <f t="shared" si="15"/>
        <v>54179.4666666666</v>
      </c>
      <c r="G30" s="48">
        <f t="shared" si="15"/>
        <v>46365.3666666666</v>
      </c>
      <c r="H30" s="48">
        <f t="shared" si="15"/>
        <v>46365.3666666666</v>
      </c>
      <c r="I30" s="48">
        <f t="shared" si="15"/>
        <v>46365.3666666666</v>
      </c>
      <c r="J30" s="48">
        <f t="shared" si="15"/>
        <v>38551.2666666666</v>
      </c>
      <c r="K30" s="48">
        <f t="shared" si="15"/>
        <v>38551.2666666666</v>
      </c>
      <c r="L30" s="48">
        <f t="shared" si="15"/>
        <v>38551.2666666666</v>
      </c>
      <c r="M30" s="48">
        <f t="shared" si="15"/>
        <v>38551.2666666666</v>
      </c>
      <c r="N30" s="48">
        <f t="shared" ref="N30:W30" si="16">N29+N22-N8</f>
        <v>38551.2666666666</v>
      </c>
      <c r="O30" s="48">
        <f t="shared" si="16"/>
        <v>38551.2666666666</v>
      </c>
      <c r="P30" s="48">
        <f t="shared" si="16"/>
        <v>38551.2666666666</v>
      </c>
      <c r="Q30" s="48">
        <f t="shared" si="16"/>
        <v>38551.2666666666</v>
      </c>
      <c r="R30" s="48">
        <f t="shared" si="16"/>
        <v>38551.2666666666</v>
      </c>
      <c r="S30" s="48">
        <f t="shared" si="16"/>
        <v>171884.6</v>
      </c>
      <c r="T30" s="48">
        <f t="shared" si="16"/>
        <v>171884.6</v>
      </c>
      <c r="U30" s="48">
        <f t="shared" si="16"/>
        <v>171884.6</v>
      </c>
      <c r="V30" s="48">
        <f t="shared" si="16"/>
        <v>171884.6</v>
      </c>
      <c r="W30" s="48">
        <f t="shared" si="16"/>
        <v>171884.6</v>
      </c>
    </row>
    <row r="31" spans="1:23">
      <c r="A31" s="49"/>
      <c r="B31" s="50" t="s">
        <v>68</v>
      </c>
      <c r="C31" s="50">
        <f>-C5</f>
        <v>-500000</v>
      </c>
      <c r="D31" s="51">
        <f>D29+D22-D8</f>
        <v>54179.4666666666</v>
      </c>
      <c r="E31" s="51">
        <f t="shared" ref="E31:W31" si="17">E29+E22-E8</f>
        <v>54179.4666666666</v>
      </c>
      <c r="F31" s="51">
        <f t="shared" si="17"/>
        <v>54179.4666666666</v>
      </c>
      <c r="G31" s="51">
        <f t="shared" si="17"/>
        <v>46365.3666666666</v>
      </c>
      <c r="H31" s="51">
        <f t="shared" si="17"/>
        <v>46365.3666666666</v>
      </c>
      <c r="I31" s="51">
        <f t="shared" si="17"/>
        <v>46365.3666666666</v>
      </c>
      <c r="J31" s="51">
        <f t="shared" si="17"/>
        <v>38551.2666666666</v>
      </c>
      <c r="K31" s="51">
        <f t="shared" si="17"/>
        <v>38551.2666666666</v>
      </c>
      <c r="L31" s="51">
        <f t="shared" si="17"/>
        <v>38551.2666666666</v>
      </c>
      <c r="M31" s="51">
        <f t="shared" si="17"/>
        <v>38551.2666666666</v>
      </c>
      <c r="N31" s="51">
        <f t="shared" si="17"/>
        <v>38551.2666666666</v>
      </c>
      <c r="O31" s="51">
        <f t="shared" si="17"/>
        <v>38551.2666666666</v>
      </c>
      <c r="P31" s="51">
        <f t="shared" si="17"/>
        <v>38551.2666666666</v>
      </c>
      <c r="Q31" s="51">
        <f t="shared" si="17"/>
        <v>38551.2666666666</v>
      </c>
      <c r="R31" s="51">
        <f t="shared" si="17"/>
        <v>38551.2666666666</v>
      </c>
      <c r="S31" s="51">
        <f t="shared" si="17"/>
        <v>171884.6</v>
      </c>
      <c r="T31" s="51">
        <f t="shared" si="17"/>
        <v>171884.6</v>
      </c>
      <c r="U31" s="51">
        <f t="shared" si="17"/>
        <v>171884.6</v>
      </c>
      <c r="V31" s="51">
        <f t="shared" si="17"/>
        <v>171884.6</v>
      </c>
      <c r="W31" s="51">
        <f t="shared" si="17"/>
        <v>171884.6</v>
      </c>
    </row>
    <row r="32" spans="1:23">
      <c r="A32" s="52"/>
      <c r="B32" s="53" t="s">
        <v>69</v>
      </c>
      <c r="C32" s="52">
        <f t="shared" ref="C32:W32" si="18">C30*C10</f>
        <v>-500000</v>
      </c>
      <c r="D32" s="52">
        <f t="shared" si="18"/>
        <v>50166.1728395062</v>
      </c>
      <c r="E32" s="52">
        <f t="shared" si="18"/>
        <v>46450.1600365798</v>
      </c>
      <c r="F32" s="52">
        <f t="shared" si="18"/>
        <v>43009.4074412776</v>
      </c>
      <c r="G32" s="52">
        <f t="shared" si="18"/>
        <v>34079.9286358536</v>
      </c>
      <c r="H32" s="52">
        <f t="shared" si="18"/>
        <v>31555.4894776422</v>
      </c>
      <c r="I32" s="52">
        <f t="shared" si="18"/>
        <v>29218.0458126316</v>
      </c>
      <c r="J32" s="52">
        <f t="shared" si="18"/>
        <v>22494.2938251892</v>
      </c>
      <c r="K32" s="52">
        <f t="shared" si="18"/>
        <v>20828.0498381382</v>
      </c>
      <c r="L32" s="52">
        <f t="shared" si="18"/>
        <v>19285.2313316094</v>
      </c>
      <c r="M32" s="52">
        <f t="shared" si="18"/>
        <v>17856.6956774161</v>
      </c>
      <c r="N32" s="52">
        <f t="shared" si="18"/>
        <v>16533.977479089</v>
      </c>
      <c r="O32" s="52">
        <f t="shared" si="18"/>
        <v>15309.2384065639</v>
      </c>
      <c r="P32" s="52">
        <f t="shared" si="18"/>
        <v>14175.2207468184</v>
      </c>
      <c r="Q32" s="52">
        <f t="shared" si="18"/>
        <v>13125.2043952022</v>
      </c>
      <c r="R32" s="52">
        <f t="shared" si="18"/>
        <v>12152.9670325947</v>
      </c>
      <c r="S32" s="52">
        <f t="shared" si="18"/>
        <v>50171.476260537</v>
      </c>
      <c r="T32" s="52">
        <f t="shared" si="18"/>
        <v>46455.0706116084</v>
      </c>
      <c r="U32" s="52">
        <f t="shared" si="18"/>
        <v>43013.9542700077</v>
      </c>
      <c r="V32" s="52">
        <f t="shared" si="18"/>
        <v>39827.7354351923</v>
      </c>
      <c r="W32" s="52">
        <f t="shared" si="18"/>
        <v>36877.5328103633</v>
      </c>
    </row>
    <row r="33" spans="1:23">
      <c r="A33" s="54"/>
      <c r="B33" s="55" t="s">
        <v>70</v>
      </c>
      <c r="C33" s="56">
        <f>-D4</f>
        <v>-2500000</v>
      </c>
      <c r="D33" s="56">
        <f>D31+D8</f>
        <v>187512.8</v>
      </c>
      <c r="E33" s="56">
        <f t="shared" ref="E33:W33" si="19">E31+E8</f>
        <v>187512.8</v>
      </c>
      <c r="F33" s="56">
        <f t="shared" si="19"/>
        <v>187512.8</v>
      </c>
      <c r="G33" s="56">
        <f t="shared" si="19"/>
        <v>179698.7</v>
      </c>
      <c r="H33" s="56">
        <f t="shared" si="19"/>
        <v>179698.7</v>
      </c>
      <c r="I33" s="56">
        <f t="shared" si="19"/>
        <v>179698.7</v>
      </c>
      <c r="J33" s="56">
        <f t="shared" si="19"/>
        <v>171884.6</v>
      </c>
      <c r="K33" s="56">
        <f t="shared" si="19"/>
        <v>171884.6</v>
      </c>
      <c r="L33" s="56">
        <f t="shared" si="19"/>
        <v>171884.6</v>
      </c>
      <c r="M33" s="56">
        <f t="shared" si="19"/>
        <v>171884.6</v>
      </c>
      <c r="N33" s="56">
        <f t="shared" si="19"/>
        <v>171884.6</v>
      </c>
      <c r="O33" s="56">
        <f t="shared" si="19"/>
        <v>171884.6</v>
      </c>
      <c r="P33" s="56">
        <f t="shared" si="19"/>
        <v>171884.6</v>
      </c>
      <c r="Q33" s="56">
        <f t="shared" si="19"/>
        <v>171884.6</v>
      </c>
      <c r="R33" s="56">
        <f t="shared" si="19"/>
        <v>171884.6</v>
      </c>
      <c r="S33" s="56">
        <f t="shared" si="19"/>
        <v>171884.6</v>
      </c>
      <c r="T33" s="56">
        <f t="shared" si="19"/>
        <v>171884.6</v>
      </c>
      <c r="U33" s="56">
        <f t="shared" si="19"/>
        <v>171884.6</v>
      </c>
      <c r="V33" s="56">
        <f t="shared" si="19"/>
        <v>171884.6</v>
      </c>
      <c r="W33" s="56">
        <f t="shared" si="19"/>
        <v>171884.6</v>
      </c>
    </row>
    <row r="34" ht="14.25" spans="1:23">
      <c r="A34" s="57"/>
      <c r="B34" s="58" t="s">
        <v>71</v>
      </c>
      <c r="C34" s="59">
        <f>SUM(C33:AB33)</f>
        <v>1008018.9</v>
      </c>
      <c r="D34" s="60"/>
      <c r="E34" s="61"/>
      <c r="F34" s="61"/>
      <c r="G34" s="61"/>
      <c r="H34" s="61"/>
      <c r="I34" s="61"/>
      <c r="J34" s="61"/>
      <c r="K34" s="61"/>
      <c r="L34" s="61"/>
      <c r="M34" s="61"/>
      <c r="N34" s="61"/>
      <c r="O34" s="61"/>
      <c r="P34" s="61"/>
      <c r="Q34" s="61"/>
      <c r="R34" s="61"/>
      <c r="S34" s="61"/>
      <c r="T34" s="61"/>
      <c r="U34" s="61"/>
      <c r="V34" s="61"/>
      <c r="W34" s="61"/>
    </row>
    <row r="35" ht="14.25" spans="1:23">
      <c r="A35" s="62"/>
      <c r="B35" s="63" t="s">
        <v>72</v>
      </c>
      <c r="C35" s="64">
        <f>IRR(C31:AB31)</f>
        <v>0.100619127947879</v>
      </c>
      <c r="D35" s="65"/>
      <c r="E35" s="66" t="s">
        <v>73</v>
      </c>
      <c r="F35" s="66"/>
      <c r="G35" s="66"/>
      <c r="H35" s="66"/>
      <c r="I35" s="66"/>
      <c r="J35" s="65"/>
      <c r="K35" s="65"/>
      <c r="L35" s="65"/>
      <c r="M35" s="65"/>
      <c r="N35" s="65"/>
      <c r="O35" s="65"/>
      <c r="P35" s="65"/>
      <c r="Q35" s="65"/>
      <c r="R35" s="65"/>
      <c r="S35" s="65"/>
      <c r="T35" s="65"/>
      <c r="U35" s="65"/>
      <c r="V35" s="65"/>
      <c r="W35" s="65"/>
    </row>
    <row r="36" ht="14.25" spans="1:23">
      <c r="A36" s="62"/>
      <c r="B36" s="67" t="s">
        <v>74</v>
      </c>
      <c r="C36" s="68">
        <f>IRR(C33:W33)</f>
        <v>0.0352888186950022</v>
      </c>
      <c r="D36" s="65"/>
      <c r="E36" s="66" t="s">
        <v>75</v>
      </c>
      <c r="F36" s="66"/>
      <c r="G36" s="66"/>
      <c r="H36" s="66"/>
      <c r="I36" s="66"/>
      <c r="J36" s="65"/>
      <c r="K36" s="65"/>
      <c r="L36" s="65"/>
      <c r="M36" s="65"/>
      <c r="N36" s="65"/>
      <c r="O36" s="65"/>
      <c r="P36" s="65"/>
      <c r="Q36" s="65"/>
      <c r="R36" s="65"/>
      <c r="S36" s="65"/>
      <c r="T36" s="65"/>
      <c r="U36" s="65"/>
      <c r="V36" s="65"/>
      <c r="W36" s="65"/>
    </row>
    <row r="37" spans="1:23">
      <c r="A37" s="62"/>
      <c r="B37" s="69" t="s">
        <v>76</v>
      </c>
      <c r="C37" s="69">
        <f>C31</f>
        <v>-500000</v>
      </c>
      <c r="D37" s="70">
        <f t="shared" ref="D37:W37" si="20">C37+D31</f>
        <v>-445820.533333333</v>
      </c>
      <c r="E37" s="70">
        <f t="shared" si="20"/>
        <v>-391641.066666667</v>
      </c>
      <c r="F37" s="70">
        <f t="shared" si="20"/>
        <v>-337461.6</v>
      </c>
      <c r="G37" s="70">
        <f t="shared" si="20"/>
        <v>-291096.233333333</v>
      </c>
      <c r="H37" s="70">
        <f t="shared" si="20"/>
        <v>-244730.866666667</v>
      </c>
      <c r="I37" s="70">
        <f t="shared" si="20"/>
        <v>-198365.5</v>
      </c>
      <c r="J37" s="70">
        <f t="shared" si="20"/>
        <v>-159814.233333333</v>
      </c>
      <c r="K37" s="70">
        <f t="shared" si="20"/>
        <v>-121262.966666667</v>
      </c>
      <c r="L37" s="70">
        <f t="shared" si="20"/>
        <v>-82711.7000000002</v>
      </c>
      <c r="M37" s="70">
        <f t="shared" si="20"/>
        <v>-44160.4333333335</v>
      </c>
      <c r="N37" s="70">
        <f t="shared" si="20"/>
        <v>-5609.16666666689</v>
      </c>
      <c r="O37" s="70">
        <f t="shared" si="20"/>
        <v>32942.0999999997</v>
      </c>
      <c r="P37" s="70">
        <f t="shared" si="20"/>
        <v>71493.3666666664</v>
      </c>
      <c r="Q37" s="70">
        <f t="shared" si="20"/>
        <v>110044.633333333</v>
      </c>
      <c r="R37" s="70">
        <f t="shared" si="20"/>
        <v>148595.9</v>
      </c>
      <c r="S37" s="70">
        <f t="shared" si="20"/>
        <v>320480.5</v>
      </c>
      <c r="T37" s="70">
        <f t="shared" si="20"/>
        <v>492365.1</v>
      </c>
      <c r="U37" s="70">
        <f t="shared" si="20"/>
        <v>664249.7</v>
      </c>
      <c r="V37" s="70">
        <f t="shared" si="20"/>
        <v>836134.3</v>
      </c>
      <c r="W37" s="70">
        <f t="shared" si="20"/>
        <v>1008018.9</v>
      </c>
    </row>
    <row r="38" spans="1:23">
      <c r="A38" s="62"/>
      <c r="B38" s="69" t="s">
        <v>77</v>
      </c>
      <c r="C38" s="71">
        <f>O2-O37/P31</f>
        <v>12.1454988941133</v>
      </c>
      <c r="D38" s="71"/>
      <c r="E38" s="71"/>
      <c r="F38" s="71"/>
      <c r="G38" s="71"/>
      <c r="H38" s="71"/>
      <c r="I38" s="71"/>
      <c r="J38" s="71"/>
      <c r="K38" s="71"/>
      <c r="L38" s="71"/>
      <c r="M38" s="71"/>
      <c r="N38" s="71"/>
      <c r="O38" s="71"/>
      <c r="P38" s="71"/>
      <c r="Q38" s="71"/>
      <c r="R38" s="71"/>
      <c r="S38" s="71"/>
      <c r="T38" s="71"/>
      <c r="U38" s="71"/>
      <c r="V38" s="71"/>
      <c r="W38" s="71"/>
    </row>
    <row r="39" ht="90" spans="1:23">
      <c r="A39" s="62"/>
      <c r="B39" s="69" t="s">
        <v>78</v>
      </c>
      <c r="C39" s="72" t="s">
        <v>79</v>
      </c>
      <c r="D39" s="72"/>
      <c r="E39" s="72"/>
      <c r="F39" s="72"/>
      <c r="G39" s="72"/>
      <c r="H39" s="65"/>
      <c r="I39" s="65"/>
      <c r="J39" s="65"/>
      <c r="K39" s="65"/>
      <c r="L39" s="65"/>
      <c r="M39" s="65"/>
      <c r="N39" s="65"/>
      <c r="O39" s="65"/>
      <c r="P39" s="65"/>
      <c r="Q39" s="65"/>
      <c r="R39" s="65"/>
      <c r="S39" s="65"/>
      <c r="T39" s="65"/>
      <c r="U39" s="65"/>
      <c r="V39" s="65"/>
      <c r="W39" s="65"/>
    </row>
    <row r="40" ht="72.95" customHeight="1" spans="1:23">
      <c r="A40" s="62"/>
      <c r="B40" s="72" t="s">
        <v>80</v>
      </c>
      <c r="C40" s="69"/>
      <c r="D40" s="65"/>
      <c r="E40" s="65"/>
      <c r="F40" s="65"/>
      <c r="G40" s="73"/>
      <c r="H40" s="65"/>
      <c r="I40" s="65"/>
      <c r="J40" s="65"/>
      <c r="K40" s="65"/>
      <c r="L40" s="65"/>
      <c r="M40" s="65"/>
      <c r="N40" s="65"/>
      <c r="O40" s="65"/>
      <c r="P40" s="65"/>
      <c r="Q40" s="65"/>
      <c r="R40" s="65"/>
      <c r="S40" s="65"/>
      <c r="T40" s="65"/>
      <c r="U40" s="65"/>
      <c r="V40" s="65"/>
      <c r="W40" s="65"/>
    </row>
    <row r="41" spans="1:23">
      <c r="A41" s="62"/>
      <c r="B41" s="69"/>
      <c r="C41" s="69"/>
      <c r="D41" s="65"/>
      <c r="E41" s="65"/>
      <c r="F41" s="65"/>
      <c r="G41" s="65"/>
      <c r="H41" s="65"/>
      <c r="I41" s="65"/>
      <c r="J41" s="65"/>
      <c r="K41" s="65"/>
      <c r="L41" s="65"/>
      <c r="M41" s="65"/>
      <c r="N41" s="65"/>
      <c r="O41" s="65"/>
      <c r="P41" s="65"/>
      <c r="Q41" s="65"/>
      <c r="R41" s="65"/>
      <c r="S41" s="65"/>
      <c r="T41" s="65"/>
      <c r="U41" s="65"/>
      <c r="V41" s="65"/>
      <c r="W41" s="65"/>
    </row>
    <row r="42" spans="1:23">
      <c r="A42" s="62"/>
      <c r="B42" s="69"/>
      <c r="C42" s="69"/>
      <c r="D42" s="65"/>
      <c r="E42" s="65"/>
      <c r="F42" s="65"/>
      <c r="G42" s="65"/>
      <c r="H42" s="65"/>
      <c r="I42" s="65"/>
      <c r="J42" s="65"/>
      <c r="K42" s="65"/>
      <c r="L42" s="65"/>
      <c r="M42" s="65"/>
      <c r="N42" s="65"/>
      <c r="O42" s="65"/>
      <c r="P42" s="65"/>
      <c r="Q42" s="65"/>
      <c r="R42" s="65"/>
      <c r="S42" s="65"/>
      <c r="T42" s="65"/>
      <c r="U42" s="65"/>
      <c r="V42" s="65"/>
      <c r="W42" s="65"/>
    </row>
    <row r="43" spans="1:23">
      <c r="A43" s="62"/>
      <c r="B43" s="69"/>
      <c r="C43" s="69"/>
      <c r="D43" s="65"/>
      <c r="E43" s="65"/>
      <c r="F43" s="65"/>
      <c r="G43" s="65"/>
      <c r="H43" s="65"/>
      <c r="I43" s="65"/>
      <c r="J43" s="65"/>
      <c r="K43" s="65"/>
      <c r="L43" s="65"/>
      <c r="M43" s="65"/>
      <c r="N43" s="65"/>
      <c r="O43" s="65"/>
      <c r="P43" s="65"/>
      <c r="Q43" s="65"/>
      <c r="R43" s="65"/>
      <c r="S43" s="65"/>
      <c r="T43" s="65"/>
      <c r="U43" s="65"/>
      <c r="V43" s="65"/>
      <c r="W43" s="65"/>
    </row>
    <row r="44" spans="1:23">
      <c r="A44" s="62"/>
      <c r="B44" s="69"/>
      <c r="C44" s="69"/>
      <c r="D44" s="65"/>
      <c r="E44" s="65"/>
      <c r="F44" s="65"/>
      <c r="G44" s="65"/>
      <c r="H44" s="65"/>
      <c r="I44" s="65"/>
      <c r="J44" s="65"/>
      <c r="K44" s="65"/>
      <c r="L44" s="65"/>
      <c r="M44" s="65"/>
      <c r="N44" s="65"/>
      <c r="O44" s="65"/>
      <c r="P44" s="65"/>
      <c r="Q44" s="65"/>
      <c r="R44" s="65"/>
      <c r="S44" s="65"/>
      <c r="T44" s="65"/>
      <c r="U44" s="65"/>
      <c r="V44" s="65"/>
      <c r="W44" s="65"/>
    </row>
    <row r="45" spans="1:23">
      <c r="A45" s="62"/>
      <c r="B45" s="69"/>
      <c r="C45" s="69"/>
      <c r="D45" s="65"/>
      <c r="E45" s="65"/>
      <c r="F45" s="65"/>
      <c r="G45" s="65"/>
      <c r="H45" s="65"/>
      <c r="I45" s="65"/>
      <c r="J45" s="65"/>
      <c r="K45" s="65"/>
      <c r="L45" s="65"/>
      <c r="M45" s="65"/>
      <c r="N45" s="65"/>
      <c r="O45" s="65"/>
      <c r="P45" s="65"/>
      <c r="Q45" s="65"/>
      <c r="R45" s="65"/>
      <c r="S45" s="65"/>
      <c r="T45" s="65"/>
      <c r="U45" s="65"/>
      <c r="V45" s="65"/>
      <c r="W45" s="65"/>
    </row>
    <row r="46" spans="1:23">
      <c r="A46" s="62"/>
      <c r="B46" s="69"/>
      <c r="C46" s="69"/>
      <c r="D46" s="65"/>
      <c r="E46" s="65"/>
      <c r="F46" s="65"/>
      <c r="G46" s="65"/>
      <c r="H46" s="65"/>
      <c r="I46" s="65"/>
      <c r="J46" s="65"/>
      <c r="K46" s="65"/>
      <c r="L46" s="65"/>
      <c r="M46" s="65"/>
      <c r="N46" s="65"/>
      <c r="O46" s="65"/>
      <c r="P46" s="65"/>
      <c r="Q46" s="65"/>
      <c r="R46" s="65"/>
      <c r="S46" s="65"/>
      <c r="T46" s="65"/>
      <c r="U46" s="65"/>
      <c r="V46" s="65"/>
      <c r="W46" s="65"/>
    </row>
    <row r="47" spans="1:23">
      <c r="A47" s="62"/>
      <c r="B47" s="69"/>
      <c r="C47" s="69"/>
      <c r="D47" s="65"/>
      <c r="E47" s="65"/>
      <c r="F47" s="65"/>
      <c r="G47" s="65"/>
      <c r="H47" s="65"/>
      <c r="I47" s="65"/>
      <c r="J47" s="65"/>
      <c r="K47" s="65"/>
      <c r="L47" s="65"/>
      <c r="M47" s="65"/>
      <c r="N47" s="65"/>
      <c r="O47" s="65"/>
      <c r="P47" s="65"/>
      <c r="Q47" s="65"/>
      <c r="R47" s="65"/>
      <c r="S47" s="65"/>
      <c r="T47" s="65"/>
      <c r="U47" s="65"/>
      <c r="V47" s="65"/>
      <c r="W47" s="65"/>
    </row>
    <row r="48" spans="1:23">
      <c r="A48" s="62"/>
      <c r="B48" s="69"/>
      <c r="C48" s="69"/>
      <c r="D48" s="65"/>
      <c r="E48" s="65"/>
      <c r="F48" s="65"/>
      <c r="G48" s="65"/>
      <c r="H48" s="65"/>
      <c r="I48" s="65"/>
      <c r="J48" s="65"/>
      <c r="K48" s="65"/>
      <c r="L48" s="65"/>
      <c r="M48" s="65"/>
      <c r="N48" s="65"/>
      <c r="O48" s="65"/>
      <c r="P48" s="65"/>
      <c r="Q48" s="65"/>
      <c r="R48" s="65"/>
      <c r="S48" s="65"/>
      <c r="T48" s="65"/>
      <c r="U48" s="65"/>
      <c r="V48" s="65"/>
      <c r="W48" s="65"/>
    </row>
    <row r="49" spans="1:23">
      <c r="A49" s="62"/>
      <c r="B49" s="69"/>
      <c r="C49" s="69"/>
      <c r="D49" s="65"/>
      <c r="E49" s="65"/>
      <c r="F49" s="65"/>
      <c r="G49" s="65"/>
      <c r="H49" s="65"/>
      <c r="I49" s="65"/>
      <c r="J49" s="65"/>
      <c r="K49" s="65"/>
      <c r="L49" s="65"/>
      <c r="M49" s="65"/>
      <c r="N49" s="65"/>
      <c r="O49" s="65"/>
      <c r="P49" s="65"/>
      <c r="Q49" s="65"/>
      <c r="R49" s="65"/>
      <c r="S49" s="65"/>
      <c r="T49" s="65"/>
      <c r="U49" s="65"/>
      <c r="V49" s="65"/>
      <c r="W49" s="65"/>
    </row>
    <row r="50" spans="1:23">
      <c r="A50" s="62"/>
      <c r="B50" s="69"/>
      <c r="C50" s="69"/>
      <c r="D50" s="65"/>
      <c r="E50" s="65"/>
      <c r="F50" s="65"/>
      <c r="G50" s="65"/>
      <c r="H50" s="65"/>
      <c r="I50" s="65"/>
      <c r="J50" s="65"/>
      <c r="K50" s="65"/>
      <c r="L50" s="65"/>
      <c r="M50" s="65"/>
      <c r="N50" s="65"/>
      <c r="O50" s="65"/>
      <c r="P50" s="65"/>
      <c r="Q50" s="65"/>
      <c r="R50" s="65"/>
      <c r="S50" s="65"/>
      <c r="T50" s="65"/>
      <c r="U50" s="65"/>
      <c r="V50" s="65"/>
      <c r="W50" s="65"/>
    </row>
    <row r="51" spans="1:23">
      <c r="A51" s="62"/>
      <c r="B51" s="69"/>
      <c r="C51" s="69"/>
      <c r="D51" s="65"/>
      <c r="E51" s="65"/>
      <c r="F51" s="65"/>
      <c r="G51" s="65"/>
      <c r="H51" s="65"/>
      <c r="I51" s="65"/>
      <c r="J51" s="65"/>
      <c r="K51" s="65"/>
      <c r="L51" s="65"/>
      <c r="M51" s="65"/>
      <c r="N51" s="65"/>
      <c r="O51" s="65"/>
      <c r="P51" s="65"/>
      <c r="Q51" s="65"/>
      <c r="R51" s="65"/>
      <c r="S51" s="65"/>
      <c r="T51" s="65"/>
      <c r="U51" s="65"/>
      <c r="V51" s="65"/>
      <c r="W51" s="65"/>
    </row>
    <row r="52" spans="1:23">
      <c r="A52" s="62"/>
      <c r="B52" s="69"/>
      <c r="C52" s="69"/>
      <c r="D52" s="65"/>
      <c r="E52" s="65"/>
      <c r="F52" s="65"/>
      <c r="G52" s="65"/>
      <c r="H52" s="65"/>
      <c r="I52" s="65"/>
      <c r="J52" s="65"/>
      <c r="K52" s="65"/>
      <c r="L52" s="65"/>
      <c r="M52" s="65"/>
      <c r="N52" s="65"/>
      <c r="O52" s="65"/>
      <c r="P52" s="65"/>
      <c r="Q52" s="65"/>
      <c r="R52" s="65"/>
      <c r="S52" s="65"/>
      <c r="T52" s="65"/>
      <c r="U52" s="65"/>
      <c r="V52" s="65"/>
      <c r="W52" s="65"/>
    </row>
    <row r="53" spans="1:23">
      <c r="A53" s="62"/>
      <c r="B53" s="69"/>
      <c r="C53" s="69"/>
      <c r="D53" s="65"/>
      <c r="E53" s="65"/>
      <c r="F53" s="65"/>
      <c r="G53" s="65"/>
      <c r="H53" s="65"/>
      <c r="I53" s="65"/>
      <c r="J53" s="65"/>
      <c r="K53" s="65"/>
      <c r="L53" s="65"/>
      <c r="M53" s="65"/>
      <c r="N53" s="65"/>
      <c r="O53" s="65"/>
      <c r="P53" s="65"/>
      <c r="Q53" s="65"/>
      <c r="R53" s="65"/>
      <c r="S53" s="65"/>
      <c r="T53" s="65"/>
      <c r="U53" s="65"/>
      <c r="V53" s="65"/>
      <c r="W53" s="65"/>
    </row>
    <row r="54" spans="1:23">
      <c r="A54" s="62"/>
      <c r="B54" s="69"/>
      <c r="C54" s="69"/>
      <c r="D54" s="65"/>
      <c r="E54" s="65"/>
      <c r="F54" s="65"/>
      <c r="G54" s="65"/>
      <c r="H54" s="65"/>
      <c r="I54" s="65"/>
      <c r="J54" s="65"/>
      <c r="K54" s="65"/>
      <c r="L54" s="65"/>
      <c r="M54" s="65"/>
      <c r="N54" s="65"/>
      <c r="O54" s="65"/>
      <c r="P54" s="65"/>
      <c r="Q54" s="65"/>
      <c r="R54" s="65"/>
      <c r="S54" s="65"/>
      <c r="T54" s="65"/>
      <c r="U54" s="65"/>
      <c r="V54" s="65"/>
      <c r="W54" s="65"/>
    </row>
    <row r="55" spans="1:23">
      <c r="A55" s="62"/>
      <c r="B55" s="69"/>
      <c r="C55" s="69"/>
      <c r="D55" s="65"/>
      <c r="E55" s="65"/>
      <c r="F55" s="65"/>
      <c r="G55" s="65"/>
      <c r="H55" s="65"/>
      <c r="I55" s="65"/>
      <c r="J55" s="65"/>
      <c r="K55" s="65"/>
      <c r="L55" s="65"/>
      <c r="M55" s="65"/>
      <c r="N55" s="65"/>
      <c r="O55" s="65"/>
      <c r="P55" s="65"/>
      <c r="Q55" s="65"/>
      <c r="R55" s="65"/>
      <c r="S55" s="65"/>
      <c r="T55" s="65"/>
      <c r="U55" s="65"/>
      <c r="V55" s="65"/>
      <c r="W55" s="65"/>
    </row>
    <row r="56" spans="1:23">
      <c r="A56" s="62"/>
      <c r="B56" s="69"/>
      <c r="C56" s="69"/>
      <c r="D56" s="65"/>
      <c r="E56" s="65"/>
      <c r="F56" s="65"/>
      <c r="G56" s="65"/>
      <c r="H56" s="65"/>
      <c r="I56" s="65"/>
      <c r="J56" s="65"/>
      <c r="K56" s="65"/>
      <c r="L56" s="65"/>
      <c r="M56" s="65"/>
      <c r="N56" s="65"/>
      <c r="O56" s="65"/>
      <c r="P56" s="65"/>
      <c r="Q56" s="65"/>
      <c r="R56" s="65"/>
      <c r="S56" s="65"/>
      <c r="T56" s="65"/>
      <c r="U56" s="65"/>
      <c r="V56" s="65"/>
      <c r="W56" s="65"/>
    </row>
    <row r="57" spans="1:23">
      <c r="A57" s="62"/>
      <c r="B57" s="69"/>
      <c r="C57" s="69"/>
      <c r="D57" s="65"/>
      <c r="E57" s="65"/>
      <c r="F57" s="65"/>
      <c r="G57" s="65"/>
      <c r="H57" s="65"/>
      <c r="I57" s="65"/>
      <c r="J57" s="65"/>
      <c r="K57" s="65"/>
      <c r="L57" s="65"/>
      <c r="M57" s="65"/>
      <c r="N57" s="65"/>
      <c r="O57" s="65"/>
      <c r="P57" s="65"/>
      <c r="Q57" s="65"/>
      <c r="R57" s="65"/>
      <c r="S57" s="65"/>
      <c r="T57" s="65"/>
      <c r="U57" s="65"/>
      <c r="V57" s="65"/>
      <c r="W57" s="65"/>
    </row>
    <row r="58" spans="1:23">
      <c r="A58" s="62"/>
      <c r="B58" s="69"/>
      <c r="C58" s="69"/>
      <c r="D58" s="65"/>
      <c r="E58" s="65"/>
      <c r="F58" s="65"/>
      <c r="G58" s="65"/>
      <c r="H58" s="65"/>
      <c r="I58" s="65"/>
      <c r="J58" s="65"/>
      <c r="K58" s="65"/>
      <c r="L58" s="65"/>
      <c r="M58" s="65"/>
      <c r="N58" s="65"/>
      <c r="O58" s="65"/>
      <c r="P58" s="65"/>
      <c r="Q58" s="65"/>
      <c r="R58" s="65"/>
      <c r="S58" s="65"/>
      <c r="T58" s="65"/>
      <c r="U58" s="65"/>
      <c r="V58" s="65"/>
      <c r="W58" s="65"/>
    </row>
    <row r="59" spans="1:23">
      <c r="A59" s="62"/>
      <c r="B59" s="69"/>
      <c r="C59" s="69"/>
      <c r="D59" s="65"/>
      <c r="E59" s="65"/>
      <c r="F59" s="65"/>
      <c r="G59" s="65"/>
      <c r="H59" s="65"/>
      <c r="I59" s="65"/>
      <c r="J59" s="65"/>
      <c r="K59" s="65"/>
      <c r="L59" s="65"/>
      <c r="M59" s="65"/>
      <c r="N59" s="65"/>
      <c r="O59" s="65"/>
      <c r="P59" s="65"/>
      <c r="Q59" s="65"/>
      <c r="R59" s="65"/>
      <c r="S59" s="65"/>
      <c r="T59" s="65"/>
      <c r="U59" s="65"/>
      <c r="V59" s="65"/>
      <c r="W59" s="65"/>
    </row>
    <row r="60" spans="1:23">
      <c r="A60" s="62"/>
      <c r="B60" s="69"/>
      <c r="C60" s="69"/>
      <c r="D60" s="65"/>
      <c r="E60" s="65"/>
      <c r="F60" s="65"/>
      <c r="G60" s="65"/>
      <c r="H60" s="65"/>
      <c r="I60" s="65"/>
      <c r="J60" s="65"/>
      <c r="K60" s="65"/>
      <c r="L60" s="65"/>
      <c r="M60" s="65"/>
      <c r="N60" s="65"/>
      <c r="O60" s="65"/>
      <c r="P60" s="65"/>
      <c r="Q60" s="65"/>
      <c r="R60" s="65"/>
      <c r="S60" s="65"/>
      <c r="T60" s="65"/>
      <c r="U60" s="65"/>
      <c r="V60" s="65"/>
      <c r="W60" s="65"/>
    </row>
  </sheetData>
  <sheetProtection password="DF0A" sheet="1" objects="1"/>
  <mergeCells count="5">
    <mergeCell ref="A1:W1"/>
    <mergeCell ref="B3:W3"/>
    <mergeCell ref="C9:U9"/>
    <mergeCell ref="E35:I35"/>
    <mergeCell ref="E36:I36"/>
  </mergeCells>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项目分析</vt:lpstr>
      <vt:lpstr>效益测算分析表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V.</cp:lastModifiedBy>
  <dcterms:created xsi:type="dcterms:W3CDTF">2018-02-27T11:14:00Z</dcterms:created>
  <dcterms:modified xsi:type="dcterms:W3CDTF">2020-09-21T06:17:48Z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